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chart4.xml" ContentType="application/vnd.openxmlformats-officedocument.drawingml.chart+xml"/>
  <Override PartName="/xl/tables/table2.xml" ContentType="application/vnd.openxmlformats-officedocument.spreadsheetml.table+xml"/>
  <Override PartName="/xl/comments1.xml" ContentType="application/vnd.openxmlformats-officedocument.spreadsheetml.comments+xml"/>
  <Override PartName="/xl/drawings/drawing3.xml" ContentType="application/vnd.openxmlformats-officedocument.drawing+xml"/>
  <Override PartName="/xl/tables/table3.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oimspp-my.sharepoint.com/personal/mhsuh_ios_doi_gov/Documents/Desktop/"/>
    </mc:Choice>
  </mc:AlternateContent>
  <xr:revisionPtr revIDLastSave="2" documentId="8_{88A0234A-501C-4EC4-BD1A-1AF70820DCD3}" xr6:coauthVersionLast="47" xr6:coauthVersionMax="47" xr10:uidLastSave="{2B4642C3-346E-48DC-90B2-E9BE6A2F55A9}"/>
  <bookViews>
    <workbookView xWindow="-108" yWindow="-108" windowWidth="30936" windowHeight="16776" tabRatio="500" firstSheet="1" activeTab="3" xr2:uid="{00000000-000D-0000-FFFF-FFFF00000000}"/>
  </bookViews>
  <sheets>
    <sheet name="Instructions" sheetId="1" r:id="rId1"/>
    <sheet name="Summary" sheetId="2" r:id="rId2"/>
    <sheet name="Lifting Data" sheetId="3" r:id="rId3"/>
    <sheet name="Previous Highlights" sheetId="4" r:id="rId4"/>
    <sheet name="Tables" sheetId="5" r:id="rId5"/>
    <sheet name="Dropdown Options" sheetId="6" state="hidden" r:id="rId6"/>
  </sheets>
  <definedNames>
    <definedName name="_xlnm.Print_Area" localSheetId="1">Summary!$A$1:$V$107</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2" i="5" l="1"/>
  <c r="J25" i="6"/>
  <c r="J24" i="6"/>
  <c r="J23" i="6"/>
  <c r="J18" i="6"/>
  <c r="J17" i="6"/>
  <c r="J16" i="6"/>
  <c r="J15" i="6"/>
  <c r="J14" i="6"/>
  <c r="J13" i="6"/>
  <c r="J12" i="6"/>
  <c r="J11" i="6"/>
  <c r="J10" i="6"/>
  <c r="J9" i="6"/>
  <c r="J8" i="6"/>
  <c r="J7" i="6"/>
  <c r="J6" i="6"/>
  <c r="J5" i="6"/>
  <c r="J4" i="6"/>
  <c r="J3" i="6"/>
  <c r="J2" i="6"/>
  <c r="B1" i="5"/>
  <c r="C132" i="5" s="1"/>
  <c r="D26" i="2"/>
  <c r="C26" i="2"/>
  <c r="B26" i="2"/>
  <c r="D25" i="2"/>
  <c r="C25" i="2"/>
  <c r="B25" i="2"/>
  <c r="D24" i="2"/>
  <c r="C24" i="2"/>
  <c r="B24" i="2"/>
  <c r="D23" i="2"/>
  <c r="C23" i="2"/>
  <c r="B23" i="2"/>
  <c r="D22" i="2"/>
  <c r="C22" i="2"/>
  <c r="B22" i="2"/>
  <c r="D21" i="2"/>
  <c r="C21" i="2"/>
  <c r="B21" i="2"/>
  <c r="D20" i="2"/>
  <c r="C20" i="2"/>
  <c r="B20" i="2"/>
  <c r="D19" i="2"/>
  <c r="C19" i="2"/>
  <c r="B19" i="2"/>
  <c r="D18" i="2"/>
  <c r="C18" i="2"/>
  <c r="B18" i="2"/>
  <c r="D17" i="2"/>
  <c r="C17" i="2"/>
  <c r="B17" i="2"/>
  <c r="D16" i="2"/>
  <c r="C16" i="2"/>
  <c r="B16" i="2"/>
  <c r="D15" i="2"/>
  <c r="C15" i="2"/>
  <c r="B15" i="2"/>
  <c r="D14" i="2"/>
  <c r="C14" i="2"/>
  <c r="B14" i="2"/>
  <c r="D13" i="2"/>
  <c r="C13" i="2"/>
  <c r="B13" i="2"/>
  <c r="D12" i="2"/>
  <c r="C12" i="2"/>
  <c r="B12" i="2"/>
  <c r="D11" i="2"/>
  <c r="C11" i="2"/>
  <c r="B11" i="2"/>
  <c r="D10" i="2"/>
  <c r="C10" i="2"/>
  <c r="B10" i="2"/>
  <c r="D9" i="2"/>
  <c r="C9" i="2"/>
  <c r="B9" i="2"/>
  <c r="D8" i="2"/>
  <c r="C8" i="2"/>
  <c r="B8" i="2"/>
  <c r="D7" i="2"/>
  <c r="C7" i="2"/>
  <c r="B7" i="2"/>
  <c r="D6" i="2"/>
  <c r="C6" i="2"/>
  <c r="B6" i="2"/>
  <c r="B13" i="5" l="1"/>
  <c r="C78" i="5"/>
  <c r="C15" i="5"/>
  <c r="B27" i="5"/>
  <c r="B111" i="5"/>
  <c r="B34" i="5"/>
  <c r="B138" i="5"/>
  <c r="B37" i="5"/>
  <c r="C138" i="5"/>
  <c r="C105" i="5"/>
  <c r="B41" i="5"/>
  <c r="B144" i="5"/>
  <c r="C43" i="5"/>
  <c r="B150" i="5"/>
  <c r="C46" i="5"/>
  <c r="C106" i="5"/>
  <c r="B48" i="5"/>
  <c r="B69" i="5"/>
  <c r="B4" i="5"/>
  <c r="C71" i="5"/>
  <c r="B6" i="5"/>
  <c r="B72" i="5"/>
  <c r="C8" i="5"/>
  <c r="B9" i="5"/>
  <c r="B105" i="5"/>
  <c r="C120" i="5"/>
  <c r="B76" i="5"/>
  <c r="C109" i="5"/>
  <c r="C144" i="5"/>
  <c r="C27" i="2"/>
  <c r="C18" i="5"/>
  <c r="C50" i="5"/>
  <c r="C81" i="5"/>
  <c r="C113" i="5"/>
  <c r="C150" i="5"/>
  <c r="B20" i="5"/>
  <c r="B51" i="5"/>
  <c r="B83" i="5"/>
  <c r="B114" i="5"/>
  <c r="B151" i="5"/>
  <c r="D27" i="2"/>
  <c r="C22" i="5"/>
  <c r="B55" i="5"/>
  <c r="C85" i="5"/>
  <c r="B118" i="5"/>
  <c r="B27" i="2"/>
  <c r="B23" i="5"/>
  <c r="C57" i="5"/>
  <c r="B86" i="5"/>
  <c r="C60" i="5"/>
  <c r="B90" i="5"/>
  <c r="C122" i="5"/>
  <c r="C29" i="5"/>
  <c r="B62" i="5"/>
  <c r="B95" i="5"/>
  <c r="B126" i="5"/>
  <c r="B28" i="2"/>
  <c r="B152" i="5"/>
  <c r="C32" i="5"/>
  <c r="C64" i="5"/>
  <c r="C95" i="5"/>
  <c r="C126" i="5"/>
  <c r="B68" i="5"/>
  <c r="B97" i="5"/>
  <c r="B132" i="5"/>
  <c r="C28" i="2"/>
  <c r="D28" i="2"/>
  <c r="C4" i="5"/>
  <c r="C36" i="5"/>
  <c r="C68" i="5"/>
  <c r="C99" i="5"/>
  <c r="C14" i="5"/>
  <c r="B19" i="5"/>
  <c r="C28" i="5"/>
  <c r="B33" i="5"/>
  <c r="C42" i="5"/>
  <c r="B47" i="5"/>
  <c r="C56" i="5"/>
  <c r="B61" i="5"/>
  <c r="C77" i="5"/>
  <c r="B82" i="5"/>
  <c r="C91" i="5"/>
  <c r="C98" i="5"/>
  <c r="B110" i="5"/>
  <c r="C119" i="5"/>
  <c r="C139" i="5"/>
  <c r="C145" i="5"/>
  <c r="C152" i="5"/>
  <c r="B10" i="5"/>
  <c r="C19" i="5"/>
  <c r="B24" i="5"/>
  <c r="C33" i="5"/>
  <c r="B38" i="5"/>
  <c r="C47" i="5"/>
  <c r="B52" i="5"/>
  <c r="C61" i="5"/>
  <c r="B73" i="5"/>
  <c r="C82" i="5"/>
  <c r="B87" i="5"/>
  <c r="C110" i="5"/>
  <c r="B115" i="5"/>
  <c r="C10" i="5"/>
  <c r="B15" i="5"/>
  <c r="C24" i="5"/>
  <c r="B29" i="5"/>
  <c r="C38" i="5"/>
  <c r="B43" i="5"/>
  <c r="C52" i="5"/>
  <c r="B57" i="5"/>
  <c r="C73" i="5"/>
  <c r="B78" i="5"/>
  <c r="C87" i="5"/>
  <c r="B99" i="5"/>
  <c r="B106" i="5"/>
  <c r="C115" i="5"/>
  <c r="B120" i="5"/>
  <c r="B133" i="5"/>
  <c r="B140" i="5"/>
  <c r="B146" i="5"/>
  <c r="C6" i="5"/>
  <c r="B11" i="5"/>
  <c r="C20" i="5"/>
  <c r="B25" i="5"/>
  <c r="C34" i="5"/>
  <c r="B39" i="5"/>
  <c r="C48" i="5"/>
  <c r="B53" i="5"/>
  <c r="C62" i="5"/>
  <c r="C69" i="5"/>
  <c r="B74" i="5"/>
  <c r="C83" i="5"/>
  <c r="B88" i="5"/>
  <c r="C111" i="5"/>
  <c r="B116" i="5"/>
  <c r="C11" i="5"/>
  <c r="B16" i="5"/>
  <c r="C25" i="5"/>
  <c r="B30" i="5"/>
  <c r="C39" i="5"/>
  <c r="B44" i="5"/>
  <c r="C53" i="5"/>
  <c r="B58" i="5"/>
  <c r="C74" i="5"/>
  <c r="B79" i="5"/>
  <c r="C88" i="5"/>
  <c r="B100" i="5"/>
  <c r="B107" i="5"/>
  <c r="C116" i="5"/>
  <c r="B127" i="5"/>
  <c r="B134" i="5"/>
  <c r="B7" i="5"/>
  <c r="C16" i="5"/>
  <c r="B21" i="5"/>
  <c r="C30" i="5"/>
  <c r="B35" i="5"/>
  <c r="C44" i="5"/>
  <c r="B49" i="5"/>
  <c r="C58" i="5"/>
  <c r="B63" i="5"/>
  <c r="B70" i="5"/>
  <c r="C79" i="5"/>
  <c r="B84" i="5"/>
  <c r="C100" i="5"/>
  <c r="C107" i="5"/>
  <c r="B112" i="5"/>
  <c r="C127" i="5"/>
  <c r="C134" i="5"/>
  <c r="C133" i="5"/>
  <c r="C140" i="5"/>
  <c r="C146" i="5"/>
  <c r="C7" i="5"/>
  <c r="B12" i="5"/>
  <c r="C21" i="5"/>
  <c r="B26" i="5"/>
  <c r="C35" i="5"/>
  <c r="B40" i="5"/>
  <c r="C49" i="5"/>
  <c r="B54" i="5"/>
  <c r="C63" i="5"/>
  <c r="C70" i="5"/>
  <c r="B75" i="5"/>
  <c r="C84" i="5"/>
  <c r="B89" i="5"/>
  <c r="B96" i="5"/>
  <c r="C112" i="5"/>
  <c r="B117" i="5"/>
  <c r="C12" i="5"/>
  <c r="B17" i="5"/>
  <c r="C26" i="5"/>
  <c r="B31" i="5"/>
  <c r="C40" i="5"/>
  <c r="B45" i="5"/>
  <c r="C54" i="5"/>
  <c r="B59" i="5"/>
  <c r="C75" i="5"/>
  <c r="B80" i="5"/>
  <c r="C89" i="5"/>
  <c r="C96" i="5"/>
  <c r="B101" i="5"/>
  <c r="B108" i="5"/>
  <c r="C117" i="5"/>
  <c r="B121" i="5"/>
  <c r="B128" i="5"/>
  <c r="B8" i="5"/>
  <c r="C17" i="5"/>
  <c r="B22" i="5"/>
  <c r="C31" i="5"/>
  <c r="B36" i="5"/>
  <c r="C45" i="5"/>
  <c r="B50" i="5"/>
  <c r="C59" i="5"/>
  <c r="B64" i="5"/>
  <c r="B71" i="5"/>
  <c r="C80" i="5"/>
  <c r="B85" i="5"/>
  <c r="C101" i="5"/>
  <c r="C108" i="5"/>
  <c r="B113" i="5"/>
  <c r="C121" i="5"/>
  <c r="C128" i="5"/>
  <c r="C13" i="5"/>
  <c r="B18" i="5"/>
  <c r="C27" i="5"/>
  <c r="B32" i="5"/>
  <c r="C41" i="5"/>
  <c r="B46" i="5"/>
  <c r="C55" i="5"/>
  <c r="B60" i="5"/>
  <c r="C76" i="5"/>
  <c r="B81" i="5"/>
  <c r="C90" i="5"/>
  <c r="C97" i="5"/>
  <c r="B109" i="5"/>
  <c r="C118" i="5"/>
  <c r="B122" i="5"/>
  <c r="C151" i="5"/>
  <c r="C9" i="5"/>
  <c r="B14" i="5"/>
  <c r="C23" i="5"/>
  <c r="B28" i="5"/>
  <c r="C37" i="5"/>
  <c r="B42" i="5"/>
  <c r="C51" i="5"/>
  <c r="B56" i="5"/>
  <c r="C72" i="5"/>
  <c r="B77" i="5"/>
  <c r="C86" i="5"/>
  <c r="B91" i="5"/>
  <c r="B98" i="5"/>
  <c r="C114" i="5"/>
  <c r="B119" i="5"/>
  <c r="B139" i="5"/>
  <c r="B145" i="5"/>
  <c r="D78" i="5" l="1"/>
  <c r="D13" i="5"/>
  <c r="D14" i="5"/>
  <c r="D99" i="5"/>
  <c r="D23" i="5"/>
  <c r="D50" i="5"/>
  <c r="D91" i="5"/>
  <c r="B141" i="5"/>
  <c r="D85" i="5"/>
  <c r="D152" i="5"/>
  <c r="D37" i="5"/>
  <c r="D32" i="5"/>
  <c r="D48" i="5"/>
  <c r="D18" i="5"/>
  <c r="D118" i="5"/>
  <c r="D72" i="5"/>
  <c r="D56" i="5"/>
  <c r="D15" i="5"/>
  <c r="D8" i="5"/>
  <c r="D22" i="5"/>
  <c r="D114" i="5"/>
  <c r="D122" i="5"/>
  <c r="D29" i="5"/>
  <c r="D83" i="5"/>
  <c r="D41" i="5"/>
  <c r="D9" i="5"/>
  <c r="D98" i="5"/>
  <c r="D49" i="5"/>
  <c r="D29" i="2"/>
  <c r="D76" i="5"/>
  <c r="D43" i="5"/>
  <c r="D81" i="5"/>
  <c r="D111" i="5"/>
  <c r="D64" i="5"/>
  <c r="D27" i="5"/>
  <c r="D36" i="5"/>
  <c r="D109" i="5"/>
  <c r="D55" i="5"/>
  <c r="D86" i="5"/>
  <c r="D46" i="5"/>
  <c r="D120" i="5"/>
  <c r="B29" i="2"/>
  <c r="D62" i="5"/>
  <c r="D119" i="5"/>
  <c r="D113" i="5"/>
  <c r="D34" i="5"/>
  <c r="D57" i="5"/>
  <c r="D117" i="5"/>
  <c r="D12" i="5"/>
  <c r="D71" i="5"/>
  <c r="D6" i="5"/>
  <c r="D42" i="5"/>
  <c r="D28" i="5"/>
  <c r="C102" i="5"/>
  <c r="D63" i="5"/>
  <c r="D89" i="5"/>
  <c r="D100" i="5"/>
  <c r="D88" i="5"/>
  <c r="D24" i="5"/>
  <c r="D110" i="5"/>
  <c r="D90" i="5"/>
  <c r="D128" i="5"/>
  <c r="C123" i="5"/>
  <c r="D30" i="5"/>
  <c r="C29" i="2"/>
  <c r="D51" i="5"/>
  <c r="D20" i="5"/>
  <c r="D52" i="5"/>
  <c r="D82" i="5"/>
  <c r="B65" i="5"/>
  <c r="D97" i="5"/>
  <c r="D60" i="5"/>
  <c r="D101" i="5"/>
  <c r="D70" i="5"/>
  <c r="D38" i="5"/>
  <c r="D61" i="5"/>
  <c r="D121" i="5"/>
  <c r="D17" i="5"/>
  <c r="D26" i="5"/>
  <c r="D134" i="5"/>
  <c r="D25" i="5"/>
  <c r="D73" i="5"/>
  <c r="D84" i="5"/>
  <c r="B129" i="5"/>
  <c r="D127" i="5"/>
  <c r="D16" i="5"/>
  <c r="D116" i="5"/>
  <c r="B147" i="5"/>
  <c r="D145" i="5"/>
  <c r="D146" i="5"/>
  <c r="D11" i="5"/>
  <c r="D107" i="5"/>
  <c r="D80" i="5"/>
  <c r="D140" i="5"/>
  <c r="D47" i="5"/>
  <c r="B153" i="5"/>
  <c r="C65" i="5"/>
  <c r="B102" i="5"/>
  <c r="D96" i="5"/>
  <c r="D75" i="5"/>
  <c r="C135" i="5"/>
  <c r="D79" i="5"/>
  <c r="D74" i="5"/>
  <c r="B135" i="5"/>
  <c r="D133" i="5"/>
  <c r="C153" i="5"/>
  <c r="D59" i="5"/>
  <c r="D35" i="5"/>
  <c r="C92" i="5"/>
  <c r="D10" i="5"/>
  <c r="D33" i="5"/>
  <c r="D139" i="5"/>
  <c r="D58" i="5"/>
  <c r="D108" i="5"/>
  <c r="D45" i="5"/>
  <c r="D54" i="5"/>
  <c r="C129" i="5"/>
  <c r="D21" i="5"/>
  <c r="D53" i="5"/>
  <c r="D106" i="5"/>
  <c r="B123" i="5"/>
  <c r="D115" i="5"/>
  <c r="C147" i="5"/>
  <c r="D19" i="5"/>
  <c r="D44" i="5"/>
  <c r="C141" i="5"/>
  <c r="D77" i="5"/>
  <c r="D31" i="5"/>
  <c r="D40" i="5"/>
  <c r="D112" i="5"/>
  <c r="D7" i="5"/>
  <c r="D39" i="5"/>
  <c r="B92" i="5"/>
  <c r="D87" i="5"/>
  <c r="D151" i="5"/>
  <c r="D69" i="5"/>
  <c r="D135" i="5" l="1"/>
  <c r="D65" i="5"/>
  <c r="D141" i="5"/>
  <c r="D102" i="5"/>
  <c r="D129" i="5"/>
  <c r="D153" i="5"/>
  <c r="D92" i="5"/>
  <c r="D123" i="5"/>
  <c r="D147"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F59" authorId="0" shapeId="0" xr:uid="{00000000-0006-0000-0200-000002000000}">
      <text>
        <r>
          <rPr>
            <sz val="10"/>
            <rFont val="Arial"/>
            <family val="2"/>
          </rPr>
          <t>Whitespace normalized to match the standard category label used elsewhere (was 'Load Shift ', an inconsistent-spacing variant that the Tables tab's exact-match COUNTIFS formulas could not match, so this record was silently dropped from the 'Type of Lifting Failure' breakdown).</t>
        </r>
      </text>
    </comment>
    <comment ref="F204" authorId="0" shapeId="0" xr:uid="{00000000-0006-0000-0200-000003000000}">
      <text>
        <r>
          <rPr>
            <sz val="10"/>
            <rFont val="Arial"/>
            <family val="2"/>
          </rPr>
          <t>Whitespace normalized to match the standard category label used elsewhere (was 'Human Error / Load Snag or Contact / Crane Boom Contact', an inconsistent-spacing variant that the Tables tab's exact-match COUNTIFS formulas could not match, so this record was silently dropped from the 'Type of Lifting Failure' breakdown).</t>
        </r>
      </text>
    </comment>
    <comment ref="F267" authorId="0" shapeId="0" xr:uid="{00000000-0006-0000-0200-000004000000}">
      <text>
        <r>
          <rPr>
            <sz val="10"/>
            <rFont val="Arial"/>
            <family val="2"/>
          </rPr>
          <t>Whitespace normalized to match the standard category label used elsewhere (was 'Rigging Equipment Failure / Dropped Object', an inconsistent-spacing variant that the Tables tab's exact-match COUNTIFS formulas could not match, so this record was silently dropped from the 'Type of Lifting Failure' breakdown).</t>
        </r>
      </text>
    </comment>
    <comment ref="F310" authorId="0" shapeId="0" xr:uid="{00000000-0006-0000-0200-000005000000}">
      <text>
        <r>
          <rPr>
            <sz val="10"/>
            <rFont val="Arial"/>
            <family val="2"/>
          </rPr>
          <t>Whitespace normalized to match the standard category label used elsewhere (was 'Rigging Equipment Failure / Dropped Object', an inconsistent-spacing variant that the Tables tab's exact-match COUNTIFS formulas could not match, so this record was silently dropped from the 'Type of Lifting Failure' breakdown).</t>
        </r>
      </text>
    </comment>
    <comment ref="B452" authorId="0" shapeId="0" xr:uid="{00000000-0006-0000-0200-000001000000}">
      <text>
        <r>
          <rPr>
            <sz val="10"/>
            <rFont val="Arial"/>
            <family val="2"/>
          </rPr>
          <t>Corrected by request: original value was the text string '2/29/2026'. 2026 is not a leap year (Feb has 28 days), so Excel could not store this as a real date and it was entered as text instead. This caused the row to be silently excluded from every date-filtered COUNTIFS table on the Tables tab. Changed to 02/28/2026 per user confirmation.</t>
        </r>
      </text>
    </comment>
  </commentList>
</comments>
</file>

<file path=xl/sharedStrings.xml><?xml version="1.0" encoding="utf-8"?>
<sst xmlns="http://schemas.openxmlformats.org/spreadsheetml/2006/main" count="11654" uniqueCount="1692">
  <si>
    <t>BSEE Lifting Incident Findings Tool (LIFT)</t>
  </si>
  <si>
    <t>December 2025</t>
  </si>
  <si>
    <t>Welcome to BSEE's Lifting Incident Findings Tool. This workbook is updated on a monthly basis in order to bring awareness on lifting incidents and trends BSEE receives throughout the year. The information contained in this workbook is subject to be updated by BSEE at any point in time. The use of this tool is optional and does not replace any regulatory requirements. For any questions or comments, please contact the BSEE Lifting Team email at BSEELifting@bsee.gov.</t>
  </si>
  <si>
    <t>Summary Tab</t>
  </si>
  <si>
    <t>The Summary tab provides a visual summary of lifting incidents, with charts and graphs that display data based on the selected report month and region/district.
(1) Selecting Report Month: Go to cell B2 to select the desired Report Month. This selection will automatically update the summary charts and graphs to reflect the lifting incidents for that specific month. The selected month will be highlighted in color (e.g., blue), while all previous months will be shown in grey.
(2) Filtering by Region/District: To view data specific to a particular region or district, change the selection in cell B3. This will filter the displayed data to show incidents relevant to your chosen region/district.</t>
  </si>
  <si>
    <t>Lifting Data Tab</t>
  </si>
  <si>
    <t>The Lifting Data tab contains the raw data that feeds into the Summary tab. This tab provides detailed descriptions of individual lifting incidents. To ensure confidentiality, any identifying company information has been scrubbed from the incident descriptions.
Use this tab to explore incident details, which can help in analyzing trends or understanding specific incidents that are reflected in the visual data on the Summary tab.</t>
  </si>
  <si>
    <t>Tables Tab</t>
  </si>
  <si>
    <t xml:space="preserve">The Tables tab presents the information displayed in the Summary tab in a tabular format. 
Here, you can find the data that is visualized in charts, making it easy to reference specific figures and compare data alongside the visual representations from the Summary tab. 
The Current Month and Region/District (grey) cells are linked to the Summary tab and should not be manually updated. 
To view data specific to a particular region or district, change the selections on the Summary tab. </t>
  </si>
  <si>
    <t>Previous Highlights Tab</t>
  </si>
  <si>
    <t>The Previous Highlights tab is designed to provide users with insights from the review of lifting incidents reported in previous months.</t>
  </si>
  <si>
    <t xml:space="preserve">Last Updated: </t>
  </si>
  <si>
    <t>Report Month:</t>
  </si>
  <si>
    <t>August 2026</t>
  </si>
  <si>
    <t>Region/District:</t>
  </si>
  <si>
    <t>All</t>
  </si>
  <si>
    <t>Month</t>
  </si>
  <si>
    <t xml:space="preserve"># Crane </t>
  </si>
  <si>
    <t># Other Lifting Device</t>
  </si>
  <si>
    <t>Total</t>
  </si>
  <si>
    <t>January 2025</t>
  </si>
  <si>
    <t>February 2025</t>
  </si>
  <si>
    <t>March 2025</t>
  </si>
  <si>
    <t>April 2025</t>
  </si>
  <si>
    <t>May 2025</t>
  </si>
  <si>
    <t>June 2025</t>
  </si>
  <si>
    <t>July 2025</t>
  </si>
  <si>
    <t>August 2025</t>
  </si>
  <si>
    <t>September 2025</t>
  </si>
  <si>
    <t>October 2025</t>
  </si>
  <si>
    <t>November 2025</t>
  </si>
  <si>
    <t>January 2026</t>
  </si>
  <si>
    <t>February 2026</t>
  </si>
  <si>
    <t>March 2026</t>
  </si>
  <si>
    <t>April 2026</t>
  </si>
  <si>
    <t>May 2026</t>
  </si>
  <si>
    <t>June 2026</t>
  </si>
  <si>
    <t>July 2026</t>
  </si>
  <si>
    <t xml:space="preserve">      Lifting Incidents by Failure Type1</t>
  </si>
  <si>
    <t>Lifting Incidents by Type of Load2</t>
  </si>
  <si>
    <t>Lifting Incidents by Type of Operation</t>
  </si>
  <si>
    <t>Lifting Incidents Involving Dropped Objects</t>
  </si>
  <si>
    <t>1. Failure type categories:</t>
  </si>
  <si>
    <t>Load Shift - Incidents where the load moves unexpectedly during lifting.</t>
  </si>
  <si>
    <t>Load Snag or Contact - Incidents where the load inadvertently became caught on or contacted something during the lift.</t>
  </si>
  <si>
    <t>Crane Boom Contact or Failure - Covers incidents where a component of the crane boom contacts other equipment, structures, or experiences a failure.</t>
  </si>
  <si>
    <t>Lifting Device Component  - Refers to failures or issues specifically related to mechanical parts of the crane or other lifting device.</t>
  </si>
  <si>
    <t>Rigging Equipment Failure - Failures related to lifting equipment, such as hoists, slings, taglines or shackles malfunctioning or breaking.</t>
  </si>
  <si>
    <t>Human Error - Errors made by personnel when apparent or stated in the incident report, such as improper communication, deviating from procedures, or not staying out of the red zone.</t>
  </si>
  <si>
    <t>Environmental Factors - Issues arising from environmental conditions such as high winds, poor visibility, or slippery surfaces affecting the lift.</t>
  </si>
  <si>
    <t>Rigging Equipment Snag or Contact - Similar to Load Snag or Contact but specifically focuses on the rigging equipment (not the load itself) encountering obstructions.</t>
  </si>
  <si>
    <t>Maintenance Issues - Failures linked to insufficient or improper maintenance of lifting equipment.</t>
  </si>
  <si>
    <t>Crane component Failure - Failure of a crane’s mechanical, structural, or functional parts (e.g., boom, hoist line, blocks, brakes, hydraulics). These incidents are due to the crane itself, not rigging or load issues.</t>
  </si>
  <si>
    <t>Other - A catch-all category for incidents or failures that do not fit any of the above categories but still require consideration.</t>
  </si>
  <si>
    <t>2. Load type categories:</t>
  </si>
  <si>
    <t>Piping/casing - Includes all types of pipes, casings, fittings, and associated materials used in drilling and production.</t>
  </si>
  <si>
    <t>Supply containers - Includes supply boxes, toolboxes, and shipping containers holding tools and equipment for operations, often due to imbalance, improper rigging, or sudden crane motion.</t>
  </si>
  <si>
    <t>Heavy equipment - Includes large machinery and equipment, like compressors, generators, and drilling rig equipment.</t>
  </si>
  <si>
    <t>Living Quarters/Skids - Covers prefabricated skids including living quarters, processing units, and integrated systems.</t>
  </si>
  <si>
    <t>Personnel basket - Baskets or cages for transporting personnel.</t>
  </si>
  <si>
    <t>Tank - Contains substances or chemicals like chemical tote tanks.</t>
  </si>
  <si>
    <t>Other - Doesn't fit any of the categories above.</t>
  </si>
  <si>
    <t>No load - Involves the crane or lifting device with no load.</t>
  </si>
  <si>
    <t>Month-Year</t>
  </si>
  <si>
    <t>Date</t>
  </si>
  <si>
    <t>Region/District</t>
  </si>
  <si>
    <t>Operation Type</t>
  </si>
  <si>
    <t>Type of Lifting Failure</t>
  </si>
  <si>
    <t>Item Lifted</t>
  </si>
  <si>
    <t>Item Lifted Category</t>
  </si>
  <si>
    <t>Dropped Object? (Y/N)</t>
  </si>
  <si>
    <t>Crane? (Y/N)</t>
  </si>
  <si>
    <t>Other Lifting Device? (Y/N)</t>
  </si>
  <si>
    <t xml:space="preserve">Lifting Device </t>
  </si>
  <si>
    <t>Injury? (Y/N)</t>
  </si>
  <si>
    <t>Blind Lift? (Y/N)</t>
  </si>
  <si>
    <t>Facility Type    (Fixed /Floater)</t>
  </si>
  <si>
    <t xml:space="preserve">Other Operation Type </t>
  </si>
  <si>
    <t>New Orleans District (GOAR)</t>
  </si>
  <si>
    <t>Drilling</t>
  </si>
  <si>
    <t>While lifting bundle of casing slings, the sling eyes became caught on handrail grating, causing an overload of a sling. The sling parted and the bundle fell to rest on the walkway.</t>
  </si>
  <si>
    <t>Rigging Equipment Snag or Contact</t>
  </si>
  <si>
    <t>Bundle of casing slings</t>
  </si>
  <si>
    <t>Other</t>
  </si>
  <si>
    <t>Yes</t>
  </si>
  <si>
    <t>No</t>
  </si>
  <si>
    <t>N/A</t>
  </si>
  <si>
    <t>Floater</t>
  </si>
  <si>
    <t>Lake Jackson District (GOAR)</t>
  </si>
  <si>
    <t>Decommissioning</t>
  </si>
  <si>
    <t>While milling upward, the work string dropped in the slips as the screen sub was being disconnected from the upper drill pipe's box tool joint due to the sling being overloaded.</t>
  </si>
  <si>
    <t>Human Error</t>
  </si>
  <si>
    <t>Drill pipe joint</t>
  </si>
  <si>
    <t>Piping/Casing</t>
  </si>
  <si>
    <t>Slips</t>
  </si>
  <si>
    <t>While laying down a single using the gripper, the boom tip protector contacted the pipe skate crash bar, bending the camera guard on the crane.</t>
  </si>
  <si>
    <t>Crane Boom Contact or Failure</t>
  </si>
  <si>
    <t>Drill pipe</t>
  </si>
  <si>
    <t>Production</t>
  </si>
  <si>
    <t>While moving a connex box, the load contacted the comms equipment box, cracking the enclosure door.</t>
  </si>
  <si>
    <t>Load Snag or Contact</t>
  </si>
  <si>
    <t>Connex box</t>
  </si>
  <si>
    <t>Supply Container</t>
  </si>
  <si>
    <t>While offloading a cutting box from the MV, a bolt fell 20 feet from the cutting box lid to the deck. The bolt was found to be installed upside down with a nut and washers and not properly tightened. The equipment was also not inspected prior to the lift.</t>
  </si>
  <si>
    <t>Cutting box</t>
  </si>
  <si>
    <t>Other- Offloading from M/V to platform</t>
  </si>
  <si>
    <t>Houma District (GOAR)</t>
  </si>
  <si>
    <t>While removing a cuttings box from the drill deck cutting box slide, the crew attached the crane stinger to the box's D-ring and were taking up slack in the slings when the auxiliary hoist cable contacted a lighting circuit on the corner of the overhanging structure cutting the wire insulation. This contact caused small arcing when the hoist cable was lowered to get the cable off the circuit wiring.</t>
  </si>
  <si>
    <t>While moving a ball valve to the deck using a rope system, the force of the wind caused the ball valve to swing and contact a pole light. The light fixture broke and fell to the deck, and the rigging rope detached from the valve, causing the valve to fall in the water.</t>
  </si>
  <si>
    <t>Environmental Factors</t>
  </si>
  <si>
    <t>Ball valve</t>
  </si>
  <si>
    <t>Rope system</t>
  </si>
  <si>
    <t>During a dry run before performing a personnel transfer, the personnel transfer device was caught by the wind and contacted a bracket on the upper deck of the facility.</t>
  </si>
  <si>
    <t>Personnel transfer device</t>
  </si>
  <si>
    <t>Personnel Basket</t>
  </si>
  <si>
    <t>While shutting down crane operations, the crane operator was cabling up when the anti-two block engaged, causing the stinger to swing, unlatch from the fast line hook, and fall into the Gulf of America.</t>
  </si>
  <si>
    <t>None</t>
  </si>
  <si>
    <t>No Load</t>
  </si>
  <si>
    <t>Fixed</t>
  </si>
  <si>
    <t>While moving the sales gas skid piping from the main deck to the loading station, the path required passing through an opening in the upper-level compression module. As the load moved through the opening, it contacted the handrail, causing a supporting leg to snap off and fall.</t>
  </si>
  <si>
    <t>Sales gas skid piping</t>
  </si>
  <si>
    <t>While offloading a grocery box, a tagline wrapped around a light fixture on top of the MCC building, damaging the light fixture.</t>
  </si>
  <si>
    <t>Grocery box</t>
  </si>
  <si>
    <t>Lafayette District (GOAR)</t>
  </si>
  <si>
    <t>After landing a tote tank in the tote holder, the flaggers attached the taglines to the stinger hook and the crane operator began to move the next lift. The stinger hook then contacted the catwalk, damaging the mid-rail.</t>
  </si>
  <si>
    <t>Tote tank</t>
  </si>
  <si>
    <t>Tank</t>
  </si>
  <si>
    <t>The crane operator was lifting one bundle of pre-slung wash pipe to the starboard (STBD) side. Once the bundle was on the STBD side, the operator attempted to steady the load by placing it against the riser stanchions. While doing this, the sling caught the edge of a stanchion post, causing the load to slide toward the other end of the pipe and leading to the bundle's end shifting and falling onto the deck.</t>
  </si>
  <si>
    <t>Bundle of wash pipe</t>
  </si>
  <si>
    <t>The Driller and Assistant Driller were hoisting a complete stand from the auxiliary rotary sock to rack back in the derrick using the top drive and racker. While lifting the tubing, the single joint tubing elevators contacted the top racker guide arm, causing them to release the tubing stand, which fell into the rotary sock. This dislodged two single joint elevator die carriers and they fell to the rig floor.</t>
  </si>
  <si>
    <t>Tubing stand</t>
  </si>
  <si>
    <t>Single lift elevators</t>
  </si>
  <si>
    <t>While lifting the BOP test joint after a shell test, the sling parted below the thimble connected to the crane hook. This caused the test joint to drop back into the BOP bore, coming to rest on the test stump.</t>
  </si>
  <si>
    <t>Rigging Equipment Failure</t>
  </si>
  <si>
    <t>BOP test joint</t>
  </si>
  <si>
    <t>Heavy Equipment</t>
  </si>
  <si>
    <t>Workover</t>
  </si>
  <si>
    <t>While lifting the spreader bar to move the jumper overboard, the rigging caught on an exposed hydraulic hose, breaking a fitting.</t>
  </si>
  <si>
    <t>Spreader bar</t>
  </si>
  <si>
    <t xml:space="preserve">While the crane was beginning to lift a basket to the rig from a MV, a lid on one of the crates inside the basket became dislodged and fell to the deck of the MV. </t>
  </si>
  <si>
    <t>Basket</t>
  </si>
  <si>
    <t>While a BHA assembly was being picked up with the hydraracker to be racked back in the derrick, a camera bracket mounted on top of the auxiliary rig floor hydraracker was bent upwards.</t>
  </si>
  <si>
    <t>BHA</t>
  </si>
  <si>
    <t>Hydraracker</t>
  </si>
  <si>
    <t xml:space="preserve">While positioning a load between railing and a power pack, the load contacted the power pack. When the load was moved, the door fell off the power pack due to a bolt that held the door in place being sheared off. </t>
  </si>
  <si>
    <t>Unknown</t>
  </si>
  <si>
    <t xml:space="preserve">While performing pipelay activities, part of the tensioner track chain link component fell into the drops netting above the Upper Work Station. </t>
  </si>
  <si>
    <t>Maintenance Issue</t>
  </si>
  <si>
    <t>Tensioner</t>
  </si>
  <si>
    <t>While positioning the crane for inspection, the crane contacted the I-beam frame of the upright separator tank, damaging the mounting bracket for the boom tip camera and the remote hydraulic panel at the boom tip.</t>
  </si>
  <si>
    <t>No load</t>
  </si>
  <si>
    <t xml:space="preserve">While offloading a tote tank, the lid was struck by the lifting slings, knocking the lid off the tank fill on top of the tote. </t>
  </si>
  <si>
    <t>While operating a forklift, the forklift contacted the outer sack room door with tote resulting in damage to the door.</t>
  </si>
  <si>
    <t>Lifting Device Component</t>
  </si>
  <si>
    <t>Tote</t>
  </si>
  <si>
    <t>Forklift</t>
  </si>
  <si>
    <t>During a personnel transfer at the platform, a Gulf Crane Services employee attempted to swing from the platform to the M/V using a manual body swing. While transitioning, the individual mistimed the swing, lost control, and fell into the water between the platform and the vessel. The person was able to swim back to the platform, and the M/V assisted in safely recovering him on board the vessel. No injuries were reported, and no additional hazards or equipment damage were identified.</t>
  </si>
  <si>
    <t>manual personnel transfer;</t>
  </si>
  <si>
    <t>Manual body swing (no mechanical lifting device used)</t>
  </si>
  <si>
    <t>Other- Personnel Transfer platform to M/V</t>
  </si>
  <si>
    <t>While moving the LMRP, the load swung and contacted a light in the moonpool.</t>
  </si>
  <si>
    <t>Load Shift</t>
  </si>
  <si>
    <t>LMRP</t>
  </si>
  <si>
    <t>While moving a cutting box, the cutting box contacted a deluge control box, damaging the door and door hinges of the control box. It was found that the proximity of the cutting box to the deluge control box was overlooked as a hazard, and during a blind lift, only one rigger was present at the lifting point instead of the required two. Corrective actions include installing a boom-tip camera for enhanced visibility during blind lifts, requiring two personnel to handle tag-lines with at least one experienced rigger for complex lifts, and assessing blind and critical lifts to ensure adherence to the updated procedures.</t>
  </si>
  <si>
    <t>While lifting a Flowhead Assembly from the work boat to the rig, the sling caught the actuator of the flow control valve, shearing four bolts and bending the guard. The damage was discovered upon landing. No taglines were used, and VHF radio was the primary communication method.</t>
  </si>
  <si>
    <t>Flowhead Assembly</t>
  </si>
  <si>
    <t>While lifting a 4,000-pound HVAC unit from a cargo basket using a spreader bar and two straps, the unit's offset center of gravity caused it to shift forward and fall back into the basket. The job was stopped, and the unit was repositioned. The damaged unit will be sent for evaluation, but replacement units with updated refrigerant are already on order.</t>
  </si>
  <si>
    <t>Generation module condensing unit (HVAC unit)</t>
  </si>
  <si>
    <t>While lowering a 4,000-lb supersack of sand from the main deck to the NE top of the column, the load contacted a fiberglass cable tray, damaging a 90-degree section. No personnel were in the cone of exposure. Some sand spilled onto the deck, and the supersack sustained damage.</t>
  </si>
  <si>
    <t>Supersack of sand</t>
  </si>
  <si>
    <t>While pulling out of hole (POOH) with 5” XT drill pipe, the assistant driller was breaking out a connection using the Hydratong while the MW driller engaged ‘Creep’ mode. The driller noticed a weight gain on the hook load indicator and attempted to slack off, but the TDS moved faster than expected, making contact with the top of the drill pipe stand. Operations were stopped, and key personnel were informed.</t>
  </si>
  <si>
    <t>Drill Pipe</t>
  </si>
  <si>
    <t>Top Drive System - TDS</t>
  </si>
  <si>
    <t>During crane operations to hoist a temporary washroom from a marine vessel to a platform, the load shifted approximately 8–10 inches, making contact with a light fixture mounted above the entry door of a temporary living quarter. The crane operator was informed of the contact, and operations were paused for investigation.</t>
  </si>
  <si>
    <t>Temporary washroom</t>
  </si>
  <si>
    <t>Living Quarters/Skids</t>
  </si>
  <si>
    <t>While offloading a 550-gallon diesel tote from the work boat using the South Crane, the sling became caught under the sealing ring bolt/nut on the tote lid. The crane operator immediately stopped, set the tote back on the deck, freed the slings, and safely completed the lift. The lid sustained minor damage but no injuries, spills, or pollution occurred.</t>
  </si>
  <si>
    <t>550-gallon diesel tote</t>
  </si>
  <si>
    <t>Other- Offloading from work boat to platform</t>
  </si>
  <si>
    <t>The deck crew transferred the side struts for the skid frame from the port to starboard side using the starboard TTS crane at a 35m radius. With the boom rest positioned out of view of both the banksman and crane operator, the banksman requested the crane operator to slew left. As the operator complied, the crane boom brushed against the camera mounted on the boom rest, dislodging it from its bracket. Fortunately, the camera remained secured by the DROPS lanyard and electrical cables.</t>
  </si>
  <si>
    <t>Side struts for the skid frame</t>
  </si>
  <si>
    <t>During the retrieval of a mooring line to the work boat, the shackle attached to the mooring line chain was pinched between two links, causing the shackle pin nut to crack. The nut was immediately replaced, and no recovery was needed.</t>
  </si>
  <si>
    <t>Mooring line chain segment</t>
  </si>
  <si>
    <t>Mooring line chain and shackle</t>
  </si>
  <si>
    <t xml:space="preserve">Other - Uploading- lifted onto work boat </t>
  </si>
  <si>
    <t>During crane operations to offload a basket from a support vessel to the main deck, the load struck a fixed PF light fixture. The fixture was detached from the bracket and fell 6' to the deck. No personnel were in the drop zone, and there were no injuries.</t>
  </si>
  <si>
    <t>6' x 16' basket</t>
  </si>
  <si>
    <t>Other - Offloading from Support vessel to platform</t>
  </si>
  <si>
    <t>While lowering the Coil Tubing Injector Head onto the Coil Tubing Platform, the hydraulic line fitting made contact with the handrail, causing a slight bend in the 1.5-inch hydraulic line. No injuries or dropped objects occurred.</t>
  </si>
  <si>
    <t>Coil Tubing Injector Head</t>
  </si>
  <si>
    <t>Pacific Region</t>
  </si>
  <si>
    <t>While lifting an empty chemical tote with a monorail, the crew boat dropped due to a large swell, causing the monorail to shake. This resulted in the small chain holding the anti-two block weight breaking. The crane was taken out of service, and after inspection, the weight was reattached, with no other damage found. The monorail passed function tests and was returned to service.</t>
  </si>
  <si>
    <t>Empty chemical tote</t>
  </si>
  <si>
    <t>Monorail</t>
  </si>
  <si>
    <t>During the breakout of a 5" XT50 connection, the MW Hydratong Cassette detached from the main frame while the pipe was set in the slips. This occurred due to the simultaneous activation of two auto sequences (Auto Break Out and Auto Mud Bucket Extend), causing the Hydratong clamp to remain engaged on the drill pipe. The cassette fell 2-3 feet, and a hydraulic hose ruptured, spilling approximately 150-200 liters of hydraulic fluid on the rig floor (no LOPC to sea).</t>
  </si>
  <si>
    <t>5" XT50 Connection</t>
  </si>
  <si>
    <t>MW Hydratong Cassette</t>
  </si>
  <si>
    <t>During tripping operations, the wear bushing retrieval tool tagged in the riser. As the driller noticed the weight indicator drop, they released the joystick, but the TDS continued traveling, applying tension to the drill pipe. The TDS traveled 18 feet, causing the box end of the stand to bow. No personnel were in the red zone.</t>
  </si>
  <si>
    <t>Wear bushing retrieval tool and drill pipe</t>
  </si>
  <si>
    <t>Top Drive System (TDS)</t>
  </si>
  <si>
    <t>While lowering an 8x24 basket onto a crew boat, the suspended load made contact with a reel inside another basket, causing a muffler to break off. The boat roustabouts were positioned safely, waiting to retrieve the tag lines. No injuries occurred, and the load was successfully landed.</t>
  </si>
  <si>
    <t>8x24 basket</t>
  </si>
  <si>
    <t>While making a lift to the rig floor with the #2 crane, the knuckle portion of the crane contacted a sign on the forward side of the derrick, causing minimal damage to one panel. The ACS (Anti-Collision System) did not alert the crane operator, as it only detected the crane boom tip, not the knuckle portion. No dropped objects occurred, and all personnel were confirmed to be in the designated safe step-back area during the incident.</t>
  </si>
  <si>
    <t>Crane boom contact with structure</t>
  </si>
  <si>
    <t>During a material handling operation, the crew was laying out tubing from a work basket to a pipe rack. The laydown line sheave became entangled in a strap, causing the pipe to stop while the top continued moving. The winch line also snagged on the anchor point shackle. As the winch operator put the winch in neutral, the line whipped and struck the operator's left wrist. The operator received first aid treatment and returned to work.</t>
  </si>
  <si>
    <t xml:space="preserve">Human Error / Rigging Equipment Failure  </t>
  </si>
  <si>
    <t>Tubing</t>
  </si>
  <si>
    <t>Right counterbalance winch</t>
  </si>
  <si>
    <t>While offloading an Oil States Grease Injector Unit from the motor vessel, one leg of the four-part sling looped under a hose reel's brake lever, causing the lever assembly to break. The crane operator was stopped before the lift left the deck, and the boat rigger removed the damaged lever assembly. The Grease Injector Unit was inspected for further damage and successfully landed on the rig without further incident.</t>
  </si>
  <si>
    <t>Oil States Grease Injector Unit</t>
  </si>
  <si>
    <t>While backloading the motor vessel, the crane operator lowered an 8x10 cargo box. Vessel motion caused the box to contact the top handrail of the boat. The load was immediately hoisted and repositioned. Inspection revealed damage to the boat's top handrail, but no damage to the load or rigging.</t>
  </si>
  <si>
    <t>Cargo box</t>
  </si>
  <si>
    <t xml:space="preserve">Other- Backloading from platform to M/V </t>
  </si>
  <si>
    <t xml:space="preserve">Contractors were removing a starter motor (977 lbs) from Turbine Generator A gearbox when the lifting point failed, causing the motor to drop approximately 8 feet to the deck. The motor had been rigged using a chain fall, 4-part shackle, and an eye bolt. </t>
  </si>
  <si>
    <t>Starter motor</t>
  </si>
  <si>
    <t>Chain fall, 4-part shackle, trolley</t>
  </si>
  <si>
    <t>While removing a 20' pup joint using hands-free operations, the crane operator swung the load, causing the end of the pup joint to contact an adjacent service building door, breaking the glass. No injuries occurred, and the unit was inspected afterward.</t>
  </si>
  <si>
    <t>20' pup joint</t>
  </si>
  <si>
    <t>During the movement of a diverter to the riser cart, the flow line seals contacted the cart’s inner wall, resulting in damage to the lower metal and rubber seals. Weather conditions (6-8' sea state, 16-18 knot winds) contributed to the incident.</t>
  </si>
  <si>
    <t>Diverter</t>
  </si>
  <si>
    <t>Lake Charles District (GOAR)</t>
  </si>
  <si>
    <t>While disconnecting a 2" water transfer hose from the M/V, the deckhand attached the strap to the crane hook and walked away. The slack hose swung under a tie-down cleat on the M/V, and when the crane operator began to lift, it caused tension, stretching, and damaging the hose. The crane operator immediately lowered the hose, freed it from the cleat, and safely lifted it to the platform. No injuries or other damages occurred. The hose will be replaced.</t>
  </si>
  <si>
    <t>Water transfer hose</t>
  </si>
  <si>
    <t>While running 14" casing, a single joint of casing was being hoisted from the catwalk with the TDS. PRS was in position to tail the single of casing in from catwalk. Once the casing joint was received by the PRS lower claw, the rig floor crew observed a piece fall to the rig floor from the claw. Corrective actions include reviewing practices and developing alternative strategies to minimize risks to rig floor equipment.</t>
  </si>
  <si>
    <t>Casing joint</t>
  </si>
  <si>
    <t>TDS</t>
  </si>
  <si>
    <t>While lowering a riser spider, the corner of the spider contacted a steel barrier, causing minor damage. The load was safely landed, with no dropped objects. The crew followed proper red zone management. Corrective actions include discussing tight locations with the crew and repairing the damage.</t>
  </si>
  <si>
    <t>Riser spider</t>
  </si>
  <si>
    <t>The boom of the unmanned east crane on an offshore platform made contact with the heliport skirting, causing minor damage during wireline operations for well diagnostics. The investigation revealed that the crane's swing brake had failed due to the requirement for manual adjustments, which were not effectively managed amid increased use. Immediate corrective actions include implementing daily function tests of the brake systems and training operators on necessary adjustments. Additionally, plans are in place to upgrade the crane's brake system to an automatic internal design to prevent future issues.</t>
  </si>
  <si>
    <t>A lifting incident occurred when a representative using a man rider descended rapidly to the rig floor after tightening a leaking hose. The investigation uncovered altered OEM programming, component deterioration, and insufficient inspections, along with the absence of secondary fall protection and proper inclusion in the Control of Workflow. Corrective actions include securing OEM programming, improving inspection protocols, overhauling critical components, and requiring fall protection for man riding operations.</t>
  </si>
  <si>
    <t>Individual on man rider</t>
  </si>
  <si>
    <t>Man Rider</t>
  </si>
  <si>
    <t>While backloading the motor vessel, the crane operator placed an MPT tank on the deck. A swell caused the vessel to drop and drift, lifting the tank off the deck and swinging it toward the boathouse. A deckhand sustained a minor abrasion on his calf after being caught between the tank and a toolbox. The crane operator safely re-landed the tank, and the deckhand confirmed he did not require medical evaluation or transport.</t>
  </si>
  <si>
    <t>MPT tank</t>
  </si>
  <si>
    <t>While backloading the motor vessel, the crane operator was landing a nitrogen tank when vessel swells caused a drift. The slight shift resulted in the nitrogen tank contacting the top of a roll-off container, breaking the handle of the roll-off lid. The tank was safely landed on deck without further issues.</t>
  </si>
  <si>
    <t>Nitrogen tank</t>
  </si>
  <si>
    <t>While backloading equipment from the motor vessel, the crane operator accidentally struck a handrail on the weather deck while lowering a 50-bbl. tank. The vessel sustained cosmetic damage, and the tank was inspected for damage and leaks with no issues found. The handrail had a slight bend and some scuffed paint. No cost for repairs.
Corrective Actions: Stand down held with the vessel regulatory lead to emphasize the importance of reporting even minimal damage to the drill rig.</t>
  </si>
  <si>
    <t>50-bbl. tank</t>
  </si>
  <si>
    <t xml:space="preserve">Crane crew was landing an empty sling rack when it contacted a wireless access point antenna (4.1 lbs.). The antenna fell approximately 2 feet, stopped by the connection cable. No injuries occurred, and the nearest personnel were 15 feet away. </t>
  </si>
  <si>
    <t>Empty sling rack</t>
  </si>
  <si>
    <t>Completion</t>
  </si>
  <si>
    <t>The drill crew was storing a 2" Black Eagle hose using an air hoist and Kellems grip when the hose slipped through the grip and fell approximately 10 feet to the rig floor. The nearest worker was about 28 feet away.</t>
  </si>
  <si>
    <t>2" Black Eagle hose</t>
  </si>
  <si>
    <t>Air hoist</t>
  </si>
  <si>
    <t>During P&amp;A operations, a remotely operated vehicle (ROV) saw was used to cut gas lift tubing in the gap between the wellhead and the tieback connector. After the cut was completed, the riser misaligned when the production riser was lifted, causing the gas lift tubing and production tubing above the ROV cut to slide out of the riser and onto the mudline. Proposed corrective actions include cutting the gas lift tubing before applying overpull or pressure and ensuring the tubing is held securely from above during cuts.</t>
  </si>
  <si>
    <t>Production riser</t>
  </si>
  <si>
    <t>While moving 9 7/8" casing doubles, the box end contacted the handrails on the #3 crane cabin, causing slight damage. Red Zone Management was followed and no dropped objects occurred, and the casing was safely landed on the riser skate. The crew held a TOFS and discussed corrective actions, focusing on load swings in tight spaces.</t>
  </si>
  <si>
    <t>Casing doubles</t>
  </si>
  <si>
    <t xml:space="preserve">Uncontrolled Tubing and Control‑Line Movement to Mudline During Subsea Tubing Cut 
On 02/24/2025 at approximately 00:49, crews were executing Steps 1.1–1.6 of the EB 602 A003 P&amp;A program. The HWO unit was rigged up and the EB 602 A003 pressure cap removed, and a funnel guide was installed on the A003 wellhead to help keep the riser centered. The A003 riser tie‑back connector was unlocked and the 9‑5/8 in. production riser was raised to create a gap between the subsea wellhead and the tie‑back connector. An ROV saw was then used, per Step 1.6, to cut the 1.9 in. gas‑lift tubing in the gap at approximately 3,744 ft MD.
When the cut was completed, the 1.9 in. tubing above the ROV cut began to slide out of the riser and onto the mudline. As this occurred, the tie‑back connector became misaligned with the wellhead, and the 3.5 in. production tubing and associated control lines also began to slide out of the riser onto the mudline. ROV visual inspection confirmed the well remained static, with no indication of flow at the wellhead. The 1.9 in. gas‑lift tubing is now cut above the wellhead, the 3.5 in. production tubing remains connected to the wellbore but is folded over the funnel guide, and the majority of the 1.9 in. tubing, 3.5 in. tubing, and control lines that were previously in the riser are now coiled on the mudline. </t>
  </si>
  <si>
    <t>Human Error / Load Shift</t>
  </si>
  <si>
    <t>1.9" gas‑lift tubing, 3.5" production tubing, and control lines being handled during P&amp;A.</t>
  </si>
  <si>
    <t>Well Tubing / Downhole Equipment</t>
  </si>
  <si>
    <t>HWO unit / riser handling system – 9‑5/8 in. production riser and tie‑back; tubing and control lines not positively supported when cut.</t>
  </si>
  <si>
    <t>While lifting the pin-pile rack from the deck, the rack damaged the deck board when the OSV heeled over taking the weight of the Pin Pile rack. When the load was lifted off of the deck, it swung into the headache rack, causing a dent.</t>
  </si>
  <si>
    <t>Pin Pile Rack</t>
  </si>
  <si>
    <t>Other -Uploading -lifted onto the OSV</t>
  </si>
  <si>
    <t>While offloading a surge tank from the motor vessel, the crane operator was applying tension on the connected surge tank slings, when the movement of the boat caused the slings to impact the tank's PSV assembly. The PSV and assembly sustained minor damage, but the tank was safely landed on the platform.</t>
  </si>
  <si>
    <t>Surge tank</t>
  </si>
  <si>
    <t xml:space="preserve">During backloading operations, the Coil Tubing Lifting Frame (CTLF) was lifted off the motor vessel and backloaded to the rig. The vessel’s pitching and rolling caused the CTLF to contact and damage a pump on the deck. The CTLF was safely landed and repositioned, and operations resumed. </t>
  </si>
  <si>
    <t>CTLF (Coiled Tubing Lifting Frame)</t>
  </si>
  <si>
    <t>During crane operations, an empty MPT tank was being moved on the top deck when it accidentally bumped an eyewash station, dislodging the horizontal pipe of the attached safety shower. The shower was safely secured and placed on the deck. No injuries or further damage occurred.</t>
  </si>
  <si>
    <t>While changing casing elevators to drill pipe BX5 elevators, the top drive funnel contacted the casing stump, damaging a joint of 7-5/8" casing and shearing the lower anti-rotation clamp from the top drive. The 29.52 lb. clamp fell 7.5 feet, landing on the rotary. The area was barricaded, and no personnel were harmed. Corrective actions included a safety stand down, DROPS inspection, hazard discussions, procedural updates, and plans for future safety reviews and lessons learned.</t>
  </si>
  <si>
    <t>Casing</t>
  </si>
  <si>
    <t>Top Drive</t>
  </si>
  <si>
    <t>A 160mT crane was booming down to remove a bullet frame from the rig floor when it contacted the Top Drive System (TDS) bumper guard. An all stop was immediately called. No personnel were injured. Damage was limited to a slightly bent section of the bumper guard where it was struck by the navigation light bracket. The operation took place in a controlled red zone, with radios used for communication. Corrective actions included a safety stand down, updates to JSAs and risk assessments, reinforcement of situational awareness, improved monitoring, additional spotter requirements, and enhanced hazard identification procedures.</t>
  </si>
  <si>
    <t>Bullet Frame</t>
  </si>
  <si>
    <t xml:space="preserve">While running in the hole with a casing cutter/swivel assembly on 5-7/8" drill pipe, the driller heard a loud noise and stopped operations. Rigging was observed on the drill line above the block, and the Drill Floor Red Zone was immediately cleared. Investigation found that a 3/8" wire cable supporting the upper drill line guide had parted, with two pieces (8' and 8.5' long, weighing 2 and 2.23 lbs.) falling approximately 65 feet to the drill floor. No personnel were injured. The area was secured, a Safety Stand Down was conducted, the derrick inspected, and entangled cable removed. </t>
  </si>
  <si>
    <t>Casing cutter/swivel assembly</t>
  </si>
  <si>
    <t>While backloading the Offline Logging Frame, the slings became caught behind the boat’s swing gates as the spreader bar was being lowered. Vessel movement caused tension on the slings, breaking the swing gates. Corrective actions include reviewing the incident with deck crews, reinforcing pre-lift planning, risk assessments for non-routine lifts, and maintaining clear communication with vessel personnel. Stop Work Authority should be used if communication breaks down during lifts.</t>
  </si>
  <si>
    <t>Logging Frame</t>
  </si>
  <si>
    <t>While running casing, a stand of casing was stabbed into the stump when the hydraracker rollers failed to close properly due to a backed-off pin. This caused the casing to lean into the derrick. An All Stop was called, the situation was assessed, and the casing was safely stood upright and re-racked. No injuries, dropped objects, or damage occurred. Incident remains under investigation.  Corrective actions include reviewing the event in safety meetings and reassessing work instructions for potential improvements.</t>
  </si>
  <si>
    <t xml:space="preserve">A crate of spent lead-acid batteries failed while being loaded into a shipping container with a crane. Two batteries fell 8–12 inches, cracking open and spilling acid onto the container floor and pipe rack. The spill was immediately contained and neutralized with baking soda, soda ash, and absorbent pads. No personnel were injured, and no environmental impact occurred. The damaged batteries were secured in an overpack drum.  Taglines were in use, and radios provided crane communication. </t>
  </si>
  <si>
    <t>Lead acid batteries</t>
  </si>
  <si>
    <t>During pipelay operations aboard the M/V, the crane was being used to move some strake and clamp materials when the 12-ton crane boom ram cylinder made contact with a platform handrail, causing minor damage. No personnel were injured. The job was immediately stopped, damage assessments were completed, and the area was taped off until repairs were made. Corrective actions included sourcing portable air horns for spotters and pursuing installation of an anti-collision system.</t>
  </si>
  <si>
    <t>Strake and clamp materials</t>
  </si>
  <si>
    <t>The crane (starboard aft) was removing a cuttings box from the moon pool when the boom tip obstruction light became entangled with the man rider and air hoist cables, damaging the obstruction light guard. No dropped objects occurred, and no personnel were in the area. Corrective actions included replacing the light guard, reviewing the incident with all crews, and evaluating possible ACS setpoint adjustments to prevent future contact with cables.</t>
  </si>
  <si>
    <t>Cuttings box</t>
  </si>
  <si>
    <t>While tripping in the hole with the second stand of the landing string during 14" casing operations, a 21" long, 1.21 lb cross bar fell from the main hydra-racker drag chain, dropping approximately 146' to the rig floor. It landed about 3' from the main well rotary on the port side. Two personnel were in the area, both safely positioned — one under the drops shed and the other behind it, with the closest being about 16' away. No injuries or additional damage occurred. The job was stopped, an investigation and equipment inspection were initiated. Corrective actions included reinforcing Red Zone management and situational awareness.</t>
  </si>
  <si>
    <t>While lifting a 45' section of 10" gas piping with a connected 6" gas lift line for an MI inspection, a 1.5-ton chain fall on the far west side failed as the team was raising the line. The piping, lifted approximately 2", fell back safely onto the support beam without dropped objects, injuries, or piping damage.  Corrective actions included replacing all rigging at the failure point, inspecting remaining rigging, and having Lifting Authority re-evaluate and approve the setup.</t>
  </si>
  <si>
    <t>Piping</t>
  </si>
  <si>
    <t>Chain fall</t>
  </si>
  <si>
    <t xml:space="preserve">While tripping out of the well, the top drive control bundle (37-pin electrical cables in a 2-1/2" hose) became caught under a standoff on the top drive guide track. The bundle separated from the junction box and fell approximately 20' to the rig floor. Stop Work was called, the incident was assessed, and operations were deemed safe to continue. The damaged control bundle was replaced and tested while out of the well. No injuries occurred. </t>
  </si>
  <si>
    <t>Top drive control bundle</t>
  </si>
  <si>
    <t>While offloading a decanting roll-off bin from the motor vessel, the bin being lifted became caught on a second bin still on the deck. This caused the second bin to lift about two feet before dislodging and settling back onto the deck. No damage occurred to the roll-off bins, but the cargo rail on the stern sustained a minor dent and scratched paint. The crane operator inspected the crane, finding no signs of a shock load.</t>
  </si>
  <si>
    <t>Decanting roll-off bin</t>
  </si>
  <si>
    <t xml:space="preserve">During a pipe lifting operation in the well test area, the piping contacted an overhead light fixture's electrical supply cable as the lift commenced. The cable was pulled from its gland. There were no injuries or dropped objects. Corrective actions included reviewing the incident with crews and holding a discussion on close-quarters lifting awareness. </t>
  </si>
  <si>
    <t>During a drill pipe size transition, a stand of 4-1/2" drill pipe was unintentionally moved from the pipe chute to the setback area while handling another stand. The pin end of the displaced stand remained in the chute. A safety time out was conducted, a recovery plan was developed, and the stand was safely retrieved. No equipment damage was reported.</t>
  </si>
  <si>
    <t>A synthetic strap failed during an attempt to remove slack from a 1.5" initiation winch wire using a vessel's 400T crane. The wire fell about 20m into the reel well. No injuries occurred. The winch wire and crane components were damaged. Immediate actions included stopping work and initiating an investigation. Corrective actions focused on reinforcing safety procedures and improving post-incident protocols.</t>
  </si>
  <si>
    <t>Wire</t>
  </si>
  <si>
    <t>A chemical tote being lifted by a crane on the production deck made contact with an eyewash station cover while Roustabouts were turning the tote to ensure the valve was facing the correct direction. This resulted in superficial damage to the cover. There were no dropped objects, and the eyewash station remained functional. The job was stopped, and relevant personnel were notified. Corrective action involves discussing hazard recognition during lifts with all crews. There were no costs associated with the incident.</t>
  </si>
  <si>
    <t>Chemical tote</t>
  </si>
  <si>
    <t xml:space="preserve">During crane operations, an 8x10 supply box contacted and damaged a PVC line. While bringing the load up and swinging it towards the landing area, the load swung unexpectedly, striking the pipe. A collar on the PVC line broke, leaving the pipe hanging. The pipe was manually removed. </t>
  </si>
  <si>
    <t>8x10 supply box</t>
  </si>
  <si>
    <t>During deck lifting operations, a 6x6 conex box being lifted near a Versabar Hydraulic Power Unit (HPU) shifted and contacted the HPU's side panel, damaging a securing stud and the aluminum panel. Deck crew were clear of the lift. The HPU design is being modified to prevent recurrence.</t>
  </si>
  <si>
    <t>6x6 conex box</t>
  </si>
  <si>
    <t>During the offloading of mud material from the motor vessel, the pallet carrier snagged the handle of a roll off bin on the deck. The handle broke off and fell onto the deck. There was no damage to the crane, and no injuries or other damage resulted from the incident.</t>
  </si>
  <si>
    <t>Pallet carrier</t>
  </si>
  <si>
    <t>During backloading operations between a supply vessel and a bridge, the vessel made contact with the bridge, causing damage to a gangway and toolbox on the vessel’s back deck. Operations were halted due to weather conditions exceeding the 25-knot limit (winds 25-28 kts, gusts to 34 kts). Corrective actions include posting operational limitations and conducting crew reviews.</t>
  </si>
  <si>
    <t>Damage to a gang box lid was discovered on the platform deck following crane operations involving offloading of wireline equipment from a vessel. There were no witnesses to the incident, but it is believed the damage occurred during offloading. No injuries or additional damage were reported. The root cause was identified as a non-fault-tolerant design of the locking mechanism, which overhangs the side of the box and is vulnerable during handling. Corrective action includes a recommendation to evaluate and redesign the locking mechanism to prevent future occurrences.</t>
  </si>
  <si>
    <t>Wireline equipment</t>
  </si>
  <si>
    <t>A section of 3-1/2" pipe fell from 40 feet during crane operations wihle tripping pipe on a well after the elevators contacted a fall protection davit. A deck exclusion zone was established, and all personnel were clear of the area.</t>
  </si>
  <si>
    <t>During lifting operations from the supply vessel, a coil tubing gas buster skid made contact with a satellite dome located in a nearby basket after the vessel was impacted by a large swell. The satellite dome sustained damage, while the gas buster showed no visible damage.</t>
  </si>
  <si>
    <t>Coil tubing gas buster skid</t>
  </si>
  <si>
    <t>Other - Offloading from Supply vessel to platform</t>
  </si>
  <si>
    <t xml:space="preserve">While positioning the platform crane to remove a lift from the boat, the boom rotation chain failed, allowing the crane to rotate approximately 270 degrees before stopping near another unit. The crane was not under load, resulting in no equipment damage or injuries. Corrective actions include removing the containment guard tray for better maintenance access to the swing chain and adding swing chain lubrication procedures to the training curriculum. </t>
  </si>
  <si>
    <t>Other - Offloading from lift boat to platform</t>
  </si>
  <si>
    <t>While preparing for Gas Export pipe lay operations on the vessel, a 12T crane made contact with a platform handrail on the vessel's ramp tower, resulting in damage to the handrail. No injuries or dropped objects occurred. The crane was inspected with no damage found. Corrective actions included stopping the job, conducting damage assessments, making repairs to the handrail, and holding a Safety Stand Down.</t>
  </si>
  <si>
    <t>While pulling out of the hole with 4-1/2" tubing, a 3/4-inch, 3-foot breakaway sling parted due to the driller overpulling, with the weight indicator showing a 50k max overpull. The slings fell approximately 35 feet and came to rest on top of the 3rd party tongs. No injuries occurred. The job was immediately shut down, and a safety stand-down was held with all personnel. The slings were replaced with new ones, which were inspected by the loadmaster before work resumed.</t>
  </si>
  <si>
    <t>4-1/2" tubing</t>
  </si>
  <si>
    <t>Slings</t>
  </si>
  <si>
    <t>While pulling the cutter out of the well with the crane, a 1" nylon strap holding the abrasive umbilical failed, causing the umbilical to land on scaffolding before contacting an operator on the top deck.There were no injuries. Work was temporarily halted, and a meeting was held on-site to address the incident. The task was completed using cable slings.</t>
  </si>
  <si>
    <t>Cutter</t>
  </si>
  <si>
    <t>While preparing to move a staged xylene tote on the main deck, a sling caught under the lid and bent it open. The tote was not lifted, and no xylene was released. No injuries occurred. Environmental conditions: Temp 22C, Winds 9kns (358 degrees), Current 0.87 kns (146 degrees), Waves 2-4 feet (125 degrees). Corrective actions include adding hold points before lifting totes to check sling and bolt orientation.</t>
  </si>
  <si>
    <t>Xylene tote</t>
  </si>
  <si>
    <t>Equipment damage occurred during a crane lift on the vessel. While overboarding a manifold pile (28.5ft diameter, 50ft height, 170 tonnes), it swung upon leaving the grillage and contacted an adjacent work platform. The lift was completed without further incident. No personnel were nearby. Inspection of sea fastening clips found no damage or deformation. The work platform sustained a minor scratch. Corrective actions included damage assessment and discussions with the crew to ensure clear lift areas in the future.</t>
  </si>
  <si>
    <t>Manifold Pile</t>
  </si>
  <si>
    <t>Other - Overboarding</t>
  </si>
  <si>
    <t xml:space="preserve">An I-beam was damaged during the replacement of a Seawater Lift Pump. An air hoist was being used to lift the pump (max calculated lift weight: 9140 lbs). The I-beam, part of the air hoist support system, sustained damage to its flange on the pig launcher access platform, northeast corner of the wellbay at the production deck level. The job was stopped, and the damaged beam was reported to structural engineers. A new lift plan was created. No injuries, facility/well/operations/equipment shutdowns, or M/V damage occurred. The investigation found that the structural support member's safe working limit was exceeded (I-beam max weight rating: 2,250 lbs). Corrective actions include additional training on lift plan design and improved management of change practices/oversight for lift plans. </t>
  </si>
  <si>
    <t>Seawater Lift Pump</t>
  </si>
  <si>
    <t>A lifting operation involving a 1,400 lbs Baker Hughes toolbox and the Crane (100 Ton) resulted in a sling failure. During backloading, the toolbox skids became caught on pipe deck stanchions. A radio communication failure prevented the Banksman from issuing a stop order to the Crane Operator. Consequently, the 4-part bridle sling (rated for 8,200 lbs) parted at a height of 16 inches. The Banksman and Rigger were in their designated safe areas and were not injured. The toolbox came to rest, held on one side by a stanchion. Corrective actions include relocating the crane operator's weight indicator video screen, ensuring continuous radio communication during blind lifts, and discontinuing the use of the specific toolbox design.</t>
  </si>
  <si>
    <t>Toolbox</t>
  </si>
  <si>
    <t>While manually placing a stinger back on its holder following crane operations, a wireline helper lost their grip, causing the stinger to fall overboard into Gulf of America waters. No injuries occurred. Retrieval is planned as part of site clearance activities.</t>
  </si>
  <si>
    <t>Stinger</t>
  </si>
  <si>
    <t>Manual lift</t>
  </si>
  <si>
    <t>Following a successful load test on the Riser Gantry Crane's forward block, the crane operator was returning the trolley to its original position when the load indicator began fluctuating. Upon inspection, it was discovered that the drag chain had become caught in the ladder section used for winch maintenance access. The crane operator immediately informed the Barge Master, and the area below was cordoned off as a precaution. The incident was caused by limited motion of the drag chain, which prevented it from swiveling/rotating freely.</t>
  </si>
  <si>
    <t>Equipment was damaged while attempting to free the Sub Mudline Packer using a 250k overpull with a 4" drill pipe string. The overpull unexpectedly caused the stem head adapter to lift off the stem can by about 2 feet, resulting in movement of the BOP, riser, and well head. This led to dislodged scaffold boards and minor damage to the scaffolding and the ram lock actuator. Tension was released, and the riser was returned to its original position. Red zone had been established. Corrective actions include de-ballasting and closely monitoring the overpull process to prevent further unexpected movement.</t>
  </si>
  <si>
    <t>Sub mudline packer</t>
  </si>
  <si>
    <t>HWO</t>
  </si>
  <si>
    <t xml:space="preserve">During the installation of mud hoses from the rig floor to the main deck, the crane lowered the hose over the handrails. As the hose swung back, it bumped the handrails along the port aft end of the cantilever deck. This caused a handrail to fall and slide under another installed handrail, resulting in the handrail falling from the port aft cantilever pipe deck to the rig main deck. No personnel were in the area during the incident. </t>
  </si>
  <si>
    <t>Mud hose</t>
  </si>
  <si>
    <t>While running 9 7/8-inch casing from the derrick, a casing fill-up tool contacted the lip of a casing stand. The impact sheared off a 0.3908 lbs piece of the tool, which fell 117 feet to the drill floor. The dropped object registered as a minor outcome per the drops calculator. No injuries occurred, and the area was made safe. The tool part was replaced, and a safety stand down was conducted before resuming work. Weather at the time included 6 ft. seas, 25–30 knot SSE winds, and rain. Corrective actions included reinforcing Red Zone Management and increased use of cameras for drill floor operations.</t>
  </si>
  <si>
    <t>Casing fill-up tool</t>
  </si>
  <si>
    <t>The port aft crane was being placed back into its boom rest. During the process, the crane boom contacted the inboard Poly Penco pad on the crane boom rest. The bolts securing the pad sheared dislodging the pad. Secondary retention on the pad also failed, causing the pad to fall to the deck below. Barriers on the stairways leading up to the aft pipe rack were still in place from the previous lifting operations, restricting unauthorized personnel from being in the No Go/Red Zone. The deck crew member working the aft pipe rack area was 50 ft from the point of impact. There was no lift being executed.</t>
  </si>
  <si>
    <t>Personnel were preparing to start cutting paraffin on multiple wells. While finishing the pre-use check, the crane operator began to swing the boom and was unable to stop it, hitting the lubricator that was temporarily placed on the well. No personnel were injured during the incident. Crane operations were immediately suspended, and the equipment was taken out of service.</t>
  </si>
  <si>
    <t>While landing tote tanks using the crane, the rig swayed due to sea conditions, causing the tote tank to strike a 2" plastic diaphragm pump, damaging it. No loss of primary containment occurred, and the operation was halted immediately. Notifications were made to relevant personnel, and an investigation was initiated. Key learnings will focus on recognizing obstructions, proper risk assessment, and adherence to safety protocols during adverse conditions.</t>
  </si>
  <si>
    <t>While installing control lines and a saddle in the derrick, a 10-ton hydraulic tugger caused the saddle to part from the lifting sling due to tension. The 320lbs saddle and control lines fell 85 feet onto the top drive service loop, with the control lines coiling on the rig floor. Barriers were in place, and crew members were positioned to monitor operations, but proximity to the falling load posed a risk as the block and hook assembly on the tugger line projected upwards when the sling parted.</t>
  </si>
  <si>
    <t>Saddle and control lines</t>
  </si>
  <si>
    <t>Tugger</t>
  </si>
  <si>
    <t>While changing the 34mm wire on knuckle boom crane, the Lewis Snake grip became loose, causing the new wire to fall 26 feet to the port riser deck landing area. The area was a restricted access zone, and all personnel were clear and located in designated safe areas, so no injuries occurred. Immediate actions taken included a time out, inspections for potential dropped objects, and notification of key personnel before resuming the job. There were no equipment damages.</t>
  </si>
  <si>
    <t>During the landing of a wellhead on the platform top deck, the AI's left index finger was injured when preinstalled bolts in the flange rose and pinched the IP's finger between the bolt and the wellhead body. There were four crew members involved in the operation, with one employee flagging the crane from a different deck. The injury required medical evaluation, and the root cause identified was the failure to perform a risk assessment before placing hands on a suspended load. Recommendations include revising lifting policies to prohibit personnel from placing hands on suspended loads and issuing an HSE bulletin regarding this policy change.</t>
  </si>
  <si>
    <t>Wellhead</t>
  </si>
  <si>
    <t>While using the deck crane to lift a bundle of 8 joints of production tubing, a 2" nylon strap parted, causing one end of the load to drop about 7 feet to the deck. No personnel were injured. Corrective actions include enhancing controls for lifting equipment and initiating a development plan for the crane operator.</t>
  </si>
  <si>
    <t>Joints of tubing</t>
  </si>
  <si>
    <t>While transferring a 6X6 connex to the vessel, the vessel was shifting due to weather. The crane operator continued to lower the load despite commands from the riggers to stop, resulting in the connex colliding with the headache rail and damaging the stern light fixture. No injuries occurred, but the headache rail and light fixture sustained damage. Corrective actions include refraining from cargo operations if the deck is too crowded and emphasizing the importance of ensuring adequate space for safe lifting. Future lifts will be postponed until the deck is arranged for better clearance.</t>
  </si>
  <si>
    <t>While offloading equipment from a M/V, a fast line anti-two block actuator became loose and fell onto the stern of the vessel before going overboard. The weight assembly remained connected to the cable and slid down to rest on top of the headache ball. Stop work authority (SWA) was initiated to assess the situation, leading to the load being lowered to a safe height for the vessel to maneuver under it and secure it safely. No personnel were in the exclusion zone during the incident, and there was no damage.</t>
  </si>
  <si>
    <t>Equipment</t>
  </si>
  <si>
    <t>While laying down a liner hanger running tool from the main well to the riser skate, the side of the tool made contact with a wall, causing it to bend during the crane-assisted operation. No personnel were in the red zone, and there was no risk of a dropped object at the time of the incident. Corrective actions include developing a detailed lift plan for tailing out tubulars, discussing the incident with both drill and marine crews, and ensuring all crew members acknowledge updates to lifting procedures.</t>
  </si>
  <si>
    <t>Liner hanger running tool</t>
  </si>
  <si>
    <t>While setting an 8x10 Connex box, the crane crew was instructed to lift and reposition the box to allow access to its doors. The box made contact with a hard supply line for a fire hose reel, causing a seal between two flanges to fail. No injuries occurred during the incident. Corrective actions included repairs made to the flange connection and discussions during a safety meeting to improve awareness of the lift area and inspect surroundings prior to making lifts.</t>
  </si>
  <si>
    <t>During crane operations, a coil tubing unit being lifted from a vessel swung and made contact with the bullwarks, breaking the welded mounts of the hydraulic control panel. While there were no injuries or environmental impacts, a small amount of hydraulic fluid dripped onto the vessel’s deck, which was promptly cleaned up. The unit was able to be repaired in the field. The incident was discussed with personnel to emphasize situational awareness, and a safety alert will be issued to address the importance of being aware of surroundings during operations.</t>
  </si>
  <si>
    <t>Human Error / Load Snag or Contact</t>
  </si>
  <si>
    <t>Coil tubing unit</t>
  </si>
  <si>
    <t>Other-Unloading — unit was lifted from the vessel to the platform</t>
  </si>
  <si>
    <t>During the lifting of a pump from a boat to the top deck of a platform, the crane operator experienced a boom winch slip while attempting to set the pump in place. This slip caused the load to drop and swing away from the crane, leading the operator to boom up to avoid overloading the crane, which resulted in the load swinging back towards the crane before it was safely lowered to the deck. Upon returning to the platform, the operator reported the issue, prompting a crane mechanic to inspect the winch. The mechanic found that the winch brakes needed cleaning and adjustment, and while there was slight damage to the boom lattice, it was determined that no repairs were necessary.</t>
  </si>
  <si>
    <t>Maintenance Issue / Lifting Device Component</t>
  </si>
  <si>
    <t>Pump</t>
  </si>
  <si>
    <t>During multistring casing jacking, the crane block contacted the casing, leading to the block becoming caught on the sling and causing the disconnection of the d-ring. The sling was deemed too short, causing it to be close to the casing. Slack was maintained to prevent shock loads. An all stop was called immediately after the incident. The securing pin backed out of the hook, disconnecting the latch. No equipment damage.</t>
  </si>
  <si>
    <t xml:space="preserve">A rigger assisting a crane operator was injured when a welding machine was set down on his left foot during deck operations. The operation was immediately stopped, and the individual reported to the medic. </t>
  </si>
  <si>
    <t>Welding machine</t>
  </si>
  <si>
    <t>During Crane operations, crew was bringing boom and lift basket from cellar deck back to main deck. The lift basket struck two protruding elements on an aviation antenna, causing one element to fall into the basket and the other to drop 23.5 feet to the main deck. Each element weighed 4 ounces. Crane activity was temporarily suspended, and an investigation was initiated. Weighing of materials and repairs to the antenna commenced following the incident.</t>
  </si>
  <si>
    <t>Lift basket</t>
  </si>
  <si>
    <t>During routine operations to cut paraffin, a miscommunication occurred between a Wireline Helper and the Crane Operator regarding signals to reduce tension on the lubricator, resulting in the Crane Operator mistakenly hoisting up instead of lowering the lubricator. Within 8-10 seconds, the T-Bar Clamp on the lubricator sheared off, but the lubricator remained in position. No injuries were reported.</t>
  </si>
  <si>
    <t>Lubricator</t>
  </si>
  <si>
    <t>While backloading the M/V, an empty Xylene tote tank was lifted from the pipe rack but caught a beam due to the rigger's limited visibility of the valve and connection. This resulted in damage to the tote. The crane operator promptly set the tote back on the deck. A small amount of residual xylene spilled onto the deck, but it was too minimal to measure.</t>
  </si>
  <si>
    <t>While backloading 60 pound drill pipe to an OSV, a pipe accidentally struck and damaged a pole-mounted light on the forward pipe deck. There were no injuries, and the job was stopped immediately. Rig electricians safely removed the damaged light. No taglines were used to control the cargo box/basket, and it was not a blind lift. Communication with the crane operator was done via radio. There was no dropped object, so the area was not barricaded. Corrective actions included reviewing the incident with the crane crew for both tours and during pre-tour meetings.</t>
  </si>
  <si>
    <t>During a pre-use inspection of a crane, the operator noticed a bent handrail brace not previously identified. A crane mechanic inspected the equipment and found no structural damage. It was determined that the brace likely contacted the northwest corner of the wind wall frame while installing a guard for maintenance buildings earlier that day. Operations were paused, and a stand down was held.</t>
  </si>
  <si>
    <t>While assisting with the installation of life rafts, a crew member pulled on the tag line to pull the raft inboard towards the handrail when the raft turned and bumped the navigation light base, causing the clear plastic lens to break at the base where it is bolted to the fixture.The lens fell overboard into the water. Tag lines were used to assist in maneuvering the load, and communication was maintained with the crane operator via radio. No injuries were reported. The job was stopped immediately, management was notified, and an investigation was conducted with corrective actions taken to replace the navigation light.</t>
  </si>
  <si>
    <t>Life raft</t>
  </si>
  <si>
    <t>A cable runner fell approximately 50 feet from a crane during maintenance, damaging a nearby hydraulic hose beyond repair. The cable runner, measuring 66 inches tall and weighing 15 lbs, was determined to have sustained damage due to corrosion. No injuries were reported. Corrective actions include enhancing the Job Safety Analysis to address dropped object hazards and barricading the work area during crane maintenance.</t>
  </si>
  <si>
    <t xml:space="preserve">While lifting an 8x10 cargo box, the box struck and damaged a wall-mounted light. No drops occurred, and no personnel were injured. The operation was halted, and rig electricians were contacted for repairs. Tag lines were not used, communication with the crane operator was conducted via UHF radio, and this was not considered a blind lift. Corrective actions included discussing the incident with the deck crew and planning to address it in the upcoming safety meeting. </t>
  </si>
  <si>
    <t>While preparing to reconnect the crane block, the operator heard a pop and observed a vinyl sleeve fall from the crane to the riser deck below. The weak link that attached the crane wire to the boom had parted, causing the 0.6 lb sleeve to fall from a height of 52 feet. No injuries occurred, as the closest personnel were clear of the potential line of fire. An investigation is ongoing, and a safety stand down with the crane crew was conducted.</t>
  </si>
  <si>
    <t xml:space="preserve">A 550-gallon tote tank incurred a slight dent while being offloaded from one vessel to another using a knuckle boom crane. Personnel reported the vessel rolled slightly during the lift, causing the tote tank to contact the skid in 2 to 4 ft seas. Corrective actions include conducting a Time Out for Safety discussion, improved communication for future supply transfers, and reviewing the Task Risk Assessment and Toolbox Talk for vessel-to-vessel transfer to address lessons learned. </t>
  </si>
  <si>
    <t>Load Snag or Contact / Environmental Factors</t>
  </si>
  <si>
    <t>Other - Offloading — transfer from one vessel to another</t>
  </si>
  <si>
    <t xml:space="preserve">While tripping in the hole with TCP guns on drill pipe, the driller was slacking off and setting the slips when the bottom of the elevators contacted the top of the slips, causing minor damage to the elevators and two cylinder caps of the slips. No drops occurred, and there were no injuries. Actions taken include performing a full block height calibration, reviewing the JSA for slip control, and adjusting the floor saver for the slips in use. </t>
  </si>
  <si>
    <t>TCP guns</t>
  </si>
  <si>
    <t>Hydraulic slips</t>
  </si>
  <si>
    <t>During crane operations, an empty personnel basket was hoisted beyond the anti-two-block system, leading to unexpected equipment failure. The crane operator lost control while maneuvering the boom, resulting in the auxiliary line rising too high until the anti-two-block system had been hoisted into the tip of the boom. The incident required an investigation and repairs. Recommended actions include retraining the operator, replacing affected components, conducting an after-action review, and discussing the event in upcoming safety meetings.</t>
  </si>
  <si>
    <t>Crane Component Failure</t>
  </si>
  <si>
    <t>Personnel basket</t>
  </si>
  <si>
    <t>While lifting a 36" casing section over the side of the platform for loading onto a boat, a rental crane experienced a functional failure, causing all operational functions to cease while the load was suspended over water. There were no personnel or vessels beneath the load. The crane was safely locked out and the load was landed back on deck using a power pack.</t>
  </si>
  <si>
    <t>A dropped object incident occurred while lowering a kill line drape hose when a piece of the bearing assembly fell from a height of 210 feet. The object, approximately 2" x 1" and weighing 0.15 lbs, landed near the mud bucket. No personnel were in the immediate area, and there were no injuries. Operations were stopped, the winch was isolated, and additional barriers were put in place. Two pieces of the bearing assembly were recovered, and the winch turndown sheave was found slightly misaligned. Immediate actions included locking out tuggers and inspecting remaining sheaves. Corrective actions involve changing out all four sheaves and reviewing inspection procedures.</t>
  </si>
  <si>
    <t>Kill line drape hose</t>
  </si>
  <si>
    <t>An incident occurred involving a vessel during crane operations while backloading 100 bbl MPTs. One MPT made slight contact with the bulwarks, damaging a floodlight and crash bar. The damage was not reported until hours later. As corrective actions, discussions were held regarding installing a speaker to serve as a guard/bumper, using additional riggers to manage loads, and reviewing weather limitations for loading operations to prevent future incidents.</t>
  </si>
  <si>
    <t xml:space="preserve">An IP reported an injury to the tip of their left ring finger after an anti-rotation device (ARD) was removed. While attempting to free the ARD when it was stuck on one of the bolts, it was inadvertently pulled by another employee's tag line, causing the device to be freed and pinch the IP's finger. The IP was wearing impact-resistant gloves at the time. Corrective actions include sharing learnings about communication and safe practices during morning meetings and toolbox talks, emphasizing that hands should not come into contact with loads. No damage was reported to the ARD or other equipment. </t>
  </si>
  <si>
    <t>Anti rotation device</t>
  </si>
  <si>
    <t>Chain lift</t>
  </si>
  <si>
    <t xml:space="preserve">A lifting event occurred involving an 8'x10' conex during offloading from a supply vessel, resulting in minor property damage but no injuries or personnel exposure. The crane operator experienced a snag when one leg of the 4-part sling caught on the conex door, prompting a deck hand to call all stop. The crane operator safely lowered the line, and a standdown was held to address the incident and mitigate future hazards. Inspection revealed damage to one leg of the sling, which was taken out of service and replaced. Weather conditions were favorable with sunny skies, 10+ miles visibility, and light winds. </t>
  </si>
  <si>
    <t>After backloading a 150-pound compactor bag of general non-hazardous household waste onto a vessel, a deckhand unhooked one end of the lifting strap from the stinger. As the crane operator began hoisting the lifting gear, the strap caught on the bag's lifting eye, causing the bag to tip and fall overboard. Recovery efforts were unsuccessful as the tightly compacted bag sank. There were no injuries reported. The root cause was identified as the deckhand not verifying that the lifting strap was clear before signaling the crane operator. Corrective actions include reinforcing situational awareness during weekly team calls and issuing a Safety Alert to remind personnel to ensure all rigging is clear before signaling for crane movement.</t>
  </si>
  <si>
    <t>Household waste</t>
  </si>
  <si>
    <t xml:space="preserve">During a repositioning movement of the crane boom, a generator building-mounted light pole was struck due to a mechanical fault. The crane operator experienced unresponsiveness from the joystick controls while attempting to swing the boom right, resulting in unintended leftward movement that led to contact with the pole. Following the incident, the joystick control was replaced, and additional inspections were conducted. Recommended actions include further research into preventative measures by the crane service company and discussions of the event in upcoming safety meetings. </t>
  </si>
  <si>
    <t>A crew member discovered a yellow fluid leaking from a 330-gallon polytote containing urea hydrochloride on the deck. The tote had been staged for an upcoming cooler flush job. The incident was reported, and the area was barricaded while the Safety Data Sheet was reviewed. The tote was flagged out of service, and approximately 4 ounces of the fluid were released onto the deck. The damage to the tote occurred during a lift earlier that day due to the straps used while removing the totes from a desk basket. Immediate actions included notifying management and performing a safe cleanup. Corrective actions involve providing the vendor with guidelines to prevent the use of non-compliant totes in the future.</t>
  </si>
  <si>
    <t>While backloading a 12,000 lb tool building, a popping sound occurred and the crane boom fell 3 feet. The boom became non-operational, but the load remained supported. The operator safely lowered the tool building, unhooked it, and secured the crane block to the auxiliary platform. No injuries were reported, and no personnel were in close proximity during the incident.</t>
  </si>
  <si>
    <t>Tool building</t>
  </si>
  <si>
    <t>While lifting blind shears from a vessel, a BSR stand contacted two hydraulic fittings on an adjacent annular, causing a release of approximately half a gallon of hydraulic fluid onto the vessel's deck. The leak was swiftly contained, and the fluid was cleaned using absorbent pads. There were no injuries or dropped objects reported. Proper tagline and flagging procedures were reviewed with the crews following cleanup.</t>
  </si>
  <si>
    <t>Blind shears</t>
  </si>
  <si>
    <t>An aluminum trash cap, weighing approximately 30 lbs and measuring 36 inches across, was released into the water while lowering it to the sea floor due to restraints popping when it hit the splash zone. Efforts to recover the cap were unsuccessful, and no equipment was damaged. The incident occurred without tag lines being held and it was not considered a blind lift. Weather conditions included 12-knot winds and seas with 1' and 3' swells. Communication with the crane operator was maintained via radio. To prevent similar incidents in the future, procedures have been updated to position the trash cap sideways in the basket to prevent it from floating out.</t>
  </si>
  <si>
    <t>Aluminum trash cap</t>
  </si>
  <si>
    <t>During the pickup of a clean-out assembly, the shuttle snagged a nearby third-party basket, causing damage to the shuttle's hose and gearbox and resulting in a loss of containment of 3 gallons of hydraulic fluid on the deck. All fluid was contained within secondary containment. While repairing the shuttle, an additional hydraulic leak of approximately 4 mL occurred due to an O-ring failure, resulting in a 200 ft by 3 ft silvery sheen in the water, with an estimated 0.138 ounces of hydraulic fluid reaching the Gulf.  Weather conditions included 15-knot winds and a water current of 0.2 knots.</t>
  </si>
  <si>
    <t>Clean-out assembly</t>
  </si>
  <si>
    <t>Shuttle Hydraulic</t>
  </si>
  <si>
    <t xml:space="preserve">After landing an 8' x 24' dumpster, a worker detached the stinger from the load and held onto the hook during its lift. Upon reaching above head level, the worker released the hook, which then swung and caught the top handrail of an adjacent chemical tote loading rack, pulling one side out of its socket and bending the opposite socket. This incident occurred without taglines and was classified as a blind lift. Communication with the crane operator was conducted via radio. A safety standdown was initiated, and corrective actions included securing the area and planning for future operations, with a tail rope to improve control during lifts. </t>
  </si>
  <si>
    <t>MN/A</t>
  </si>
  <si>
    <t>At approximately 9:30 p.m. on May 3, 2025, following the landing of an 8' x 24' dumpster on the main deck near the chemical skid area, a worker detached the stinger from the load and held the crane hook while it was being lifted. Once the hook reached above head level, the worker released it. The stinger hook subsequently swung toward the adjacent chemical tote loading rack and caught the rack’s top handrail. The resulting contact pulled one side of the handrail from its socket and bent the lower socket on the opposite side.The lift was identified as a blind lift. No taglines were installed on the stinger, and no basket was attached to the crane at the time of the incident. Communication with the crane operator was conducted by radio. The rig was also conducting its annual load path inspection at the time of the incident.
Following the incident, the area was secured and the supervisor was notified. A safety standdown was conducted, and a plan was developed to improve hook control during future operations. A tail rope will be attached to the hook to provide additional control during lifting operations. The damaged handrail was repaired on location at a cost of approximately $250.</t>
  </si>
  <si>
    <t>8' × 24' dumpster</t>
  </si>
  <si>
    <t>Material Handling / Cargo or Scaffold Basket</t>
  </si>
  <si>
    <t>While installing an electric submersible fire water pump with a crane, the pipe flange caught on an I-beam, causing the flange and piping to separate. The pump dropped approximately 4 feet to the grating, bending the corner of the grating and allowing the pump to partially fall through an 8" x 16" opening. There were no injuries or pollution incidents. Damage included a broken Teflon sleeve on the pump, a parted flange from the 20' section of piping, and a bent section of grating. Repairs have been completed, and the pump is now installed. No damage occurred to the crane or lifting equipment. Corrective actions include improved planning with a detailed JSA, specifying roles during lifts, and enhancing communication among personnel.</t>
  </si>
  <si>
    <t>Electric submersible fire water pump</t>
  </si>
  <si>
    <t>On May 3, 2025, at approximately 1730 hours, Crane #2 was being used to perform a static deck-to-deck lift on the facility. The load was initially reported at approximately 23,000 pounds with the main block, and the crane was operating within its rated capacity. As the crane operator lifted the load approximately one foot off the deck, he heard a popping sound from inside the crane cab. The load subsequently began to slowly descend toward the deck without further operator input.After the load came to rest on the deck, the crane operator noticed movement in the crane cab and immediately shut down the crane and safely evacuated the cab. Subsequent inspection determined that the crane had partially separated from the davit, creating a potential for the crane to fall. Non-essential personnel were evacuated to other facilities as a precaution while a temporary mitigation and recovery plan was developed.
The crane was taken out of service and was not planned to return to operation. Initial stabilization efforts included welding clips and strengthening plates to the cab base, bull gear, and kingpost to relieve loading across the gap associated with the kingpost crack and stabilize the crane for removal. By May 11, 2025, the clips and plates had been installed, and the crane was considered stabilized. Continuous CCTV surveillance was maintained while preparations were made to remove the crane boom in sections.The crane's load indicator recorded the lifted load at approximately 26,649 pounds. At the reported approximately 130-foot radius, the crane's load-chart capacity was 35,196 pounds, indicating the lift was within the crane's rated capacity based on the available information. Cranes #3 and #1 were subsequently inspected on May 5 and May 6, respectively, with no issues identified.
There were no reported injuries or pollution associated with the incident. The cost of damages was unknown at the time of the report, and the causal investigation remained in the early discovery phase.</t>
  </si>
  <si>
    <t>Crane Component / Lifting Equipment</t>
  </si>
  <si>
    <t>A driller operating the Aux Well draw works inadvertently landed a drill pipe on the rig floor, causing it to bend upon contact with the bottom of the mouse hole. Corrective actions involve reviewing the incident in a safety meeting to stress the importance of concentration and the potential consequenses of lapses in focus, addressing human factors.</t>
  </si>
  <si>
    <t>Aux Well Draw Works</t>
  </si>
  <si>
    <t>During crane operations, while the North crane was stationary and rigged for lifting, the South crane's operator swung the boom away from the work area for inspection. A wind gust estimated at 20 MPH caused the South crane's boom to collide with the North crane's boom. In response, work was halted, and both cranes were boomed down to a horizontal position for inspection. Two Qualified Crane Inspectors assessed the booms and found no damage. The North crane was cleared for service, with work resuming, while the South crane will undergo further inspection to check for mechanical issues. To prevent recurrence, operators are reminded to ensure the swing brake is fully engaged and locked before exiting the cab.</t>
  </si>
  <si>
    <t>An asset damage incident occurred while racking back 6-5/8" drill pipe. The Assistant Driller attempted to release the pipe racker but did not receive a full indication that the upper arms had opened. When cycling the racker, the flappers missed the pipe, pushing it into the finger latch. A finger watch observer immediately secured the area. Inspection revealed hairline cracks in three fingers on the upper finger board, requiring the replacement of four finger latches. There were no dropped objects or injuries reported.</t>
  </si>
  <si>
    <t>Pipe</t>
  </si>
  <si>
    <t>Pipe racker</t>
  </si>
  <si>
    <t>While backloading a carbon filter tank onto a vessel, the boat captain requested the tank to be turned, and the crane operator lifted it to reposition. However, as the load was being lowered, a wave rocked the boat, causing the tank to strike an aluminum box and break a pad eye. Corrective actions include maintaining separation between larger items and smaller boxes on the deck and implementing an "all stop" protocol to discuss placement concerns with the boat captain.</t>
  </si>
  <si>
    <t>Carbon filter tank</t>
  </si>
  <si>
    <t>During routine storage operations, an engineer was injured when a section of Hawse piping rolled off a rack and struck their finger. The injury occurred after one engineer stepped away to retrieve a U-bolt for securing the pipe, leaving the pipe unsecured. Contributing factors included a lack of restraints and the nature of the task. Immediate response actions focus on improving task planning, hazard identification, procedural controls, and ensuring proper securing of pipe sections to prevent future incidents.</t>
  </si>
  <si>
    <t xml:space="preserve">While performing deck management of tubulars with the 20" pipe gripper utilized on the crane, the gripper claw contacted a guardrail, resulting in breaking the weld on one end of the guard/ handrail. here were no dropped objects or damage to the gripper, and no crew members were in the vicinity. Communication with the crane operator was maintained via radio. To prevent similar incidents, the rig team is improving procedures and re-engineering guardrails for easier removal during operations. </t>
  </si>
  <si>
    <t>Tubulars</t>
  </si>
  <si>
    <t>A Crane Operator was lowering the load block to a supply boat so the boat crew could review and sign the JSA prior to offload operations. Approximately one-quarter of the way down, the crane cable went slack, allowing the wire rope, load block, and an ejected sheave to land on the aft deck of the vessel. A  Deckhand was on the aft deck at the time but was not under the load. Upon seeing the event unfold, the Deckhand moved out of harm's way and subsequently reported a lumbar strain. The Deckhand was evaluated at OMS in Houma, diagnosed with a lumbar muscle strain, and released to Full Duty the same day. Classified the injury as First Aid.  RCA identified inadequate lubrication of the load block sheaves as a contributing factor to the component failure. Total incident costs were $19,159.45.</t>
  </si>
  <si>
    <t>While running coil tubing into an injector, the snake at the end of the ball tech failed, causing the coil tubing to come loose and land 15-20 ft away. There were no personnel in the line of fire, and no damages occurred. Immediate containment actions included activating the injector's auto-stop feature and holding discussions between operations and management. Operations resumed after a customer representative deemed it safe. Corrective actions included specifying tubing engagement in gripper chains before clamp removal, providing refresher training on updated SPAC, using high-visibility paint for differentiation between tubing and stabbing guide, and reinforcing Stop Work Authority (SWA) where operational uncertainty due to poor working environment exists.</t>
  </si>
  <si>
    <t>Coil tubing</t>
  </si>
  <si>
    <t>Hoist</t>
  </si>
  <si>
    <t xml:space="preserve">During a lift of a camera stand using the facility's crane, a loose strap snagged a section of 1-inch piping on the Nitrogen Manifold, resulting in a U-bolt snapping and pulling free from its support. This caused the piping to break at two threaded connections. The equipment was not yet in service. No damage occurred to the crane or rigging, and there were no injuries or pollution. </t>
  </si>
  <si>
    <t>Camera stand</t>
  </si>
  <si>
    <t>A crane operator heard an unusual noise while lifting a 2,000-unit load of cement to about 40 feet. Inspection revealed a malfunction in the crane's hydraulic pump. The operator reported the issue, and a mechanic was dispatched, identifying a faulty coupling on the hydraulic motor as the cause. Corrective actions included ordering replacement parts and restoring the crane to operational status.</t>
  </si>
  <si>
    <t>Cement</t>
  </si>
  <si>
    <t>While backloading grocery boxes, two incidents occurred involving equipment damage. In the first incident, the corner of a grocery box landed on the personnel ramp of the M/V, damaging one side of the handrails. In the second incident, another grocery box struck the vessel's starboard side fire hose rack, causing damage to the rack. No personnel were injured in either incident.</t>
  </si>
  <si>
    <t>Crane #1 was running casing doubles using the gripper yoke and crane #2 was being used to maintain ballast control while the casing joints were being stabbed in the main rotary. While crane #2 was swinging inboard to maintain ballast, the knuckle jib of crane #2 contacted the kunckle of crane #1, damaging the handrail on one crane and affecting the electrical cabling and hydraulic tubing of the other. The turning device was not connected at the time. No dropped objects or leaks were reported. Corrective actions include a standdown with crane crews, enhanced communication protocols, restrictions on crane operation, reviewing safety procedures, exploring camera installation for better visibility, contacting for an anti-collision system, conducting safety drills, and providing guidance on crane usage during rotary alignment.</t>
  </si>
  <si>
    <t>During a staging operation on the mezzanine  deck, a crane operator and riggers performed a blind lift of a 750 tote of chemicals, which was inadvertently set on the handrail. Upon noticing the tote's position, the deck operator signaled the crane operator to stop. The tote was lifted slightly to clear the handrail and then properly set in place on the deck. Leadership was informed of the incident, and all necessary stops were initiated afterward.</t>
  </si>
  <si>
    <t>During offloading operations, a sling on a spreader bar became hung up on the cradle, causing slight property damage to the equipment. No injuries were reported. Corrective actions include a review of the lifting setup with the spreader bar and slings.</t>
  </si>
  <si>
    <t>While staging tote tanks on the workover deck, a crane operator and crane crew experienced an incident when a swell impacted the platform, causing a 550-gallon tote tank to strike a light fixture. The impact dislodged the fixture from its bracket, but the secondary retention system successfully held it in place. A temporary additional retention will be installed until the bracket can be repaired. There were no injuries reported. Corrective actions include sharing the incident with crews during the weekly meeting and discussing with crane operators the need to increase distance from loads during swell conditions.</t>
  </si>
  <si>
    <t xml:space="preserve">While preparing to lift a super sack from the aft deck using the crane, all four lifting straps failed as they began to take weight. The sack did not drop, and all personnel were clear of the area. A visual inspection was conducted prior to the lift, and the lifting configuration was deemed appropriate. The super sack's safe working load was 2,500 lbs, while the actual weight was 2,000 lbs. </t>
  </si>
  <si>
    <t>Super sack</t>
  </si>
  <si>
    <t>During a fire water pump change-out operation, the crane was utilized for a blind lift of a shaft from the subcellar deck to the main deck. As the shaft passed through the production mezzanine deck, a set bolt handle on the lifting eye struck a 2" pipe, causing the securing bolt to break and the 0.6 lb. handle to fall 58 feet to the cellar deck below. No injuries were reported. Corrective actions include removing the bolt that broke off before any future lifts, as there are four bolts associated with the pump's shaft.</t>
  </si>
  <si>
    <t>Shaft</t>
  </si>
  <si>
    <t>An individual experienced discomfort after a 5-inch drop of a Spider Mobile Scaffolding Air Basket during a transfer operation. The drop occurred when the individual entered the basket contrary to directives to wait for further instructions. Upon placing full weight on the Transfer Cable, the Chain Guards broke, resulting in the sudden drop. First aid was administered immediately, and the individual was evacuated for medical evaluation. Following an assessment at a local hospital, no serious injuries were identified, and the individual was released to regular duty the following day after treatment.</t>
  </si>
  <si>
    <t>Scaffolding air basket</t>
  </si>
  <si>
    <t>Spider air basket</t>
  </si>
  <si>
    <t>A crane/material handling incident occurred while moving a basket of scaffolding materials, causing it to contact a handrail and bend it slightly. The area was immediately barricaded, and repairs will be made by the construction crew on site. No injuries or additional damage were reported.</t>
  </si>
  <si>
    <t>Basket of scaffolding materials</t>
  </si>
  <si>
    <t>During crane offloading operations, a Hydraulic Power Unit (HPU) was being transferred from a vessel to a lift boat when the crane operator noticed the vessel drifting. This movement caused the suspended HPU to make contact with an unsecured aluminum walkway, which then fell into the Gulf of America. No injuries or damage to the load occurred. Corrective actions include securing the walkway during operations or leaving it at the dock, along with a safety alert to share lessons learned.</t>
  </si>
  <si>
    <t>HPU</t>
  </si>
  <si>
    <t>During bypass drilling operations on a rig, a cement stand weighing 14,000 pounds slipped down 24 inches while being held in place by the bridge racker, causing damage to the lower guide arm (LGA) track cover plate. The stand was not loose, and there was no risk of it being released. The cover was repaired by a welder.</t>
  </si>
  <si>
    <t>Cement stand</t>
  </si>
  <si>
    <t>Bridge Racker</t>
  </si>
  <si>
    <t>During lifting operations, a crane operator transferring a rental generator experienced unintended contact with a second generator on the boat deck. The generator was safely placed on the work-over deck but sustained damage to the fire suppression handle, resulting in the discharge of a 50-gallon CO2 bottle. Sea conditions included 4 to 6 feet waves and wind speeds of 8 to 10 MPH. No injuries were reported. Corrective actions include reviewing the incident with crews and sharing it with shore-based personnel.</t>
  </si>
  <si>
    <t>Rental generator</t>
  </si>
  <si>
    <t>On May 20, 2025, at 15:20 hrs, the vessel was performing 1-P5 jumper (SN 21280) deployment operations  with the OSV. During the lift, the gooseneck retaining cargo straps were removed per approved procedure to lift the jumper off the deck for subsea deployment. Once the straps were removed, the jumper began swinging freely and made repeated contact with the spreader bar, damaging a fishtail on the upper rigging assembly and portions of the upper jumper assembly sheathing. A small piece of protective sheathing fell to the deck as a result. The Deck Foreman instructed the Crane Operator to lower the block to reattempt installation of the safety pin, during which the crane bullhorn hook snagged the jumper transport pedestal frame bracing and could not be freed. A decision was made to deploy the jumper subsea to prevent further damage and eliminate risk of injury to personnel. Management was informed, a risk assessment was conducted, and the jumper was successfully deployed to 4,600ft depth, 200ft off bottom at the 60% SOZ. No personnel injuries occurred. No repair costs were incurred as post-deployment assessment determined repairs were not needed.</t>
  </si>
  <si>
    <t>Human Error / Load Snag or Contact / Poor Lift Planning</t>
  </si>
  <si>
    <t>120ft jumper assembly (SN 21280)</t>
  </si>
  <si>
    <t>Subsea Equipment / Wellhead Equipment</t>
  </si>
  <si>
    <t>A drill crew was attempting to remove a splitter valve from the standpipe manifold using a hydraulic tugger when the wire sling parted. The job was stopped immediately, and rig management was notified. No dropped objects or injuries occurred.</t>
  </si>
  <si>
    <t>Splitter valve</t>
  </si>
  <si>
    <t>While using the crane with a gripper attachment to move three joints of pipe (total weight 3,392 lbs) from the deck to the Tubular Feeding Machine, the gripper inadvertently closed around a deck support beam. The crane was positioned starboard forward, with no boat operations occurring at the time. Wind conditions were 6 knots. There was no damage to equipment or structures, and no injuries reported. Immediate corrective actions included stopping crane operations and inspecting the gripper attachment.</t>
  </si>
  <si>
    <t>While using a crane's gripper, the aviation light at the tip of the jib boom contacted another stowed crane, breaking the light globe into small pieces that fell onto the deck. A stand-down was conducted with crane crews to reinforce communication practices and job-by-design principles. The incident was shared with all crew members for increased awareness.</t>
  </si>
  <si>
    <t>A lifting/material handling incident occurred involving a casing jack power pack being lowered with a crane. The crane's boom-winch wire rope may have contacted the kingpost, causing payout issues. The lift was stopped, and upon inspection, markings on the kingpost indicated possible rubbing. All crane operations were suspended for safety. An investigation found slight abrasions on the wire rope, but it was undetermined if they were caused by contact with the kingpost or its extension. No significant damage was confirmed. Crane operations were suspended for inspection by a professional, and the decision was made to replace the cable to ensure safety.</t>
  </si>
  <si>
    <t>Casing jack power pack</t>
  </si>
  <si>
    <t>While completing 45 degree kick-outs atop scaffolding, a quarter-ton come along was installed vertically to support the 45 at a 90-degree angle to the crane boom, which was in the crane rest and not in operation. The crane operator picked up the crane boom while the scaffold crew attempted to signal him without success. The chain of the come along parted, causing the hook to fall approximately 30 feet to the barricaded production mezzanine below. There were no injuries, and damage was limited to the come along. A safety stand down was conducted with the crew, and there was a reinforced reminder to utilize the 20/20/20 safety protocol.</t>
  </si>
  <si>
    <t>A section of the BHA came into contact with a pipe pusher on the auxiliary racker's upper guide arm, causing two pieces to fall approximately 112 feet (one weighing 2 lbs 8.8 oz and the other 4.6 oz). Corrective actions include: reposition the upper HR camera outside the tubulars' travel path while maintaining an optimal field of view for the operator, conduct a comprehensive audit on the rig and implement necessary competency training to ensure safety compliance, revise the OWO to ensure that the BHA tally reviews both main arm elevation and gripper size, focusing on potential conflicts, highlight the hazard of pipe contact in the revised pipe tally, and collaborate develop a solution to prevent pipe collisions with the upper guide arm when not in use.</t>
  </si>
  <si>
    <t>Pipe pusher</t>
  </si>
  <si>
    <t>Pipe pusher/aux racker</t>
  </si>
  <si>
    <t>A pipe positioning system came into contact with a top drive, causing a guide roller to shear off and fall approximately 50 feet. The object weighed 8.5 oz. No personnel were in the cleared red zone. Corrective actions include adjusting the Job Safety Analysis (JSA) to include a designated spotter with a clear view of the equipment to confirm it is fully parked before moving the block and working to install an Anti-Collision System (ACS) for the equipment.</t>
  </si>
  <si>
    <t>Guide roller</t>
  </si>
  <si>
    <t>During crane operations with the crane, the main load block was damaged while staging flow-back equipment using a Close Radius Lift System. The load was 10 feet above the deck when the anchor point on the Close Radius Lift System failed. The load was immediately lowered to the deck. Operations were stopped, and there were no personnel in the line-of-fire due to proper positioning and designated no-go zones. All crane operations were suspended following the incident.</t>
  </si>
  <si>
    <t>Flow back equipment</t>
  </si>
  <si>
    <t>The crane operator landed a grocery box after being instructed to slack off. The flagger then advised the crane operator to pick up and reposition the box as it had landed on a 4" transfer hose, causing damage. The operator successfully repositioned the box without further incident. No injuries, dropped objects, or additional damage were reported.</t>
  </si>
  <si>
    <t>The crane was connected to a generator on the wireline deck. The banksman instructed the crane operator to apply tension to center the crane block. As tension was applied, the load lifted approximately 12 inches, causing the generator to rotate and make contact with a Wireline Operator. The crane operator safely lowered the load, resulting in no injuries or equipment damage. Corrective actions include enhancing communication and coordination protocols with mandatory pre-task coordination meetings and a five-minute notification announcement prior to meetings; implementing a check-in/sign-on system for all personnel entering the work area; incorporating situational awareness into regular safety training and mentoring; and conducting mandatory refresher training on lifting safety and roles/responsibilities.</t>
  </si>
  <si>
    <t>Generator</t>
  </si>
  <si>
    <t>While offloading a nitrogen tank, the crane operator lifted it to about 10 feet above the deck, with a boom angle of 78 degrees. The safety latch on the aux line ball assembly reportedly contacted the load line or a sling, breaking the latch bolt and causing it to fall 80 feet into a cargo basket. Crane operations were shut down for investigation. Root cause: Inadvertent contact sheared the latch keeper bolt. Corrective actions: Discuss the event in the next Quarterly Safety Meetings and develop a Safety Alert highlighting the importance of knowing the relationship between auxiliary and fast lines during lifts.</t>
  </si>
  <si>
    <t>Load Snag or Contact / Dropped Object</t>
  </si>
  <si>
    <t>While pulling the Sea Water Lift Pump from down hole, the nylon sling securing the bottom snatch block failed, causing slack in the wire rope. This resulted in the pump contacting the grating and the junction box of the adjacent pump. The top of the pump remained suspended, and alternate rigging was used to safely lower it horizontally. A safety stand-down was held to reinforce rigging inspections and safe work practices, and an inventory of rigging was conducted to discard any unsafe items. Plans are underway to install pad eyes to improve rigging safety by eliminating the need for nylon slings.</t>
  </si>
  <si>
    <t>Pneumatic Winch</t>
  </si>
  <si>
    <t>Floor hands used a tugger to place a sub onto a storage rack. After setting the sub, they released the tugger to allow the sub to slide into position. However, due to a small bevel on the bottom, the sub tipped over and landed on an individual's left thumb resting on the work basket. An all-stop was called and a Safety Stand Down was held with all rig personnel. Ths individual was evaluated by the medic and sent for further evaluation.</t>
  </si>
  <si>
    <t>Sub</t>
  </si>
  <si>
    <t>While changing the auxiliary cable on the starboard aft crane, the crane operator reached the maximum upper limit and pressed the override button to continue. In doing so, the operator's wrist inadvertently pressed the joystick, causing the crane to slew right and make contact with an adjacent exhaust heat exchanger, resulting in approximately 4 oz of hydraulic fluid spilling into the sea. There were no dropped objects reported, and barriers were in place during the incident.</t>
  </si>
  <si>
    <t xml:space="preserve">While picking up an air dryer tank on the upper drill deck, the individual reported twisted slings. After correcting the slings, the individual asked the crane operator to pull slack to bind them. As the lift was initiated, the load began to swing and made contact with an adjacent skid. The individual stepped back, tripped over piping but was not struck by the load. The next morning, they reported pain and were medevaced for treatment. Corrective actions include reviewing lifting and rigging requirements, verifying flagger responsibilities, and conducting a stand-down to increase safety awareness. </t>
  </si>
  <si>
    <t>Air dryer tank</t>
  </si>
  <si>
    <t>While making a lift to the cellar deck, the load accidentally bumped into a connex box door, causing it to swing and strike a paint contractor. The contractor was sent for evaluation. A stand-down was held, and communication regarding simultaneous operations and crane operations will be reinforced in the next safety meeting. Key personnel will reiterate the importance of communication, Stop Work Authority, and situational awareness among crew members.</t>
  </si>
  <si>
    <t>The crew was moving a 3 1/2" X 5 7/8" X-over sub using the crane. While directing the X-over sub into the basket opening, it contacted the top plate of the basket, causing the rigging to slacken and the X-over sub to come free, striking the individual on the top of the right knee.</t>
  </si>
  <si>
    <t>Human Error / Line‑of‑Fire / Pinch Point</t>
  </si>
  <si>
    <t>A carbon vessel struck another during backloading operations onto a Motor Vessel, breaking a valve handle and damaging the stem. The incident occurred as the crane operator swung the load left at the direction of a deck hand. No injuries, loss of containment, or dropped objects occurred. Winds were SW at 4 kts with 2’ seas.</t>
  </si>
  <si>
    <t>Carbon vessel</t>
  </si>
  <si>
    <t>During a crane operation, a 2,200-pound load was being lifted when a new synthetic web sling rated for 5,000 pounds being used as a choker failed as the load reached its planned final location. No damage occurred to the crane, load, or other equipment. No injuries or pollution were reported. The only damage was to the sling.</t>
  </si>
  <si>
    <t>A crane operator was lifting three H-beams, weighing a total of 11,904 lbs and measuring 18 ft 12 in, using two 5.6T slings that were double-wrapped and choked. The load was lifted approximately 5 ft above a half-height basket. At this point, both slings parted, causing the H-beams to drop 11.5 ft to the deck. Communication with the crane operator was via radio. The area where the object fell was barricaded, and all personnel were clear, observing virtual red zone rules. One of the H-beams made contact with electrical cables underneath the pipe catwalk at deck level, damaging three cables. These damaged cables have since been isolated. No injuries were involved, as all crew members were clear of the area.</t>
  </si>
  <si>
    <t>x3 H-beams</t>
  </si>
  <si>
    <t>The P&amp;A crane operator reported that the boom cable was not stacking properly. A crane mechanic onboard was notified and began inspecting the boom cable. While booming down to pay out the cable, a cord on the heel section of the boom inadvertently contacted the handrail. The contact resulted in a dent in the heel section cord of the crane boom and damage to the handrail. The damaged heel section of the crane was replaced and the crane was returned to normal operating condition. No personnel were injured as a result of this incident.</t>
  </si>
  <si>
    <t>As the crane crew was lowering a fan transport skid to the well test deck, the skid inadvertently made contact with a 4' LED Deck light located on the Starboard Aft Well Test deck. UHF radio communication was used with the crane operator during the incident. The incident resulted in damage to the 4' LED Deck light. No dropped objects occurred, and no personnel were affected.</t>
  </si>
  <si>
    <t>Fan transport skid</t>
  </si>
  <si>
    <t>During a lift operation, a personnel basket containing 4 contractors began to swing while being lifted by a crane operator. The swinging basket made contact with a light on the structure. No damages reported. One passenger mentioned that the light briefly made contact with their calf, causing some pain. However, no medical attention was required and no injuries were reported.</t>
  </si>
  <si>
    <t>Load Snag or Contact / Line-of-Fire Near Miss</t>
  </si>
  <si>
    <t>During riser running operations, the MST tools had to be removed from their lifting frame and re-rigged with 3-part slings (connected with 1/2-ton 1/4-inch shackles) because the original rigging did not fit below the riser flotations. After tightening bolts on a flotation joint, the team was removing split nuts. A remote-operated hydraulic tugger was attached to one set of 3-part slings that were obstructing the slip nuts. The Floorhand operating the tugger remote functioned the remote to lift the cable for the HIS bolt tensioner segment slings. He then noticed the cable was still hoisting. The cable pulled too much tension before it stopped, causing the three shackle pins on the 1/2-ton 1/4-inch shackles, which connected the slings to the HIS MST segment, to break. When this happened, the cable then ran up to the sheave and stopped. The incident resulted in damage to three 1/2-ton 1/4-inch shackles and the thimble eye guard of the slings. No injuries were reported.</t>
  </si>
  <si>
    <t>Cable for the HIS bolt tensioner segment slings and the HIS MST tool segment which was connected to the slings</t>
  </si>
  <si>
    <t>Hydraulic Tugger</t>
  </si>
  <si>
    <t>While offloading a 40-foot cargo basket containing gas cooler tubes from a motor vessel, the load experienced tension in the four-part rigging. This caused the basket to slightly rotate. During the maneuver, the basket made contact with one of the vessel’s exterior bumpers, resulting in a broken weld. All riggers had been instructed to remain clear of the line of fire, and no taglines were manned as a precautionary measure. No personnel were injured. The incident resulted in only minor damage to the motor vessel.</t>
  </si>
  <si>
    <t>Load Shift / Load Snag/ Contact</t>
  </si>
  <si>
    <t>40-foot cargo basket</t>
  </si>
  <si>
    <t>During movement of an empty work basket after performing personnel transfer, the operator experienced swinging due to swells and the sidesea position of the derrick barge. To control the basket and avoid the crane boom, the operator kept it at a low elevation. Misjudging the basket's position relative to the flare boom, the operator boomed down, causing the basket to swing into the flare boom due to a swell. The work basket was damaged, but no damage occurred to the flare boom or crane. Corrective actions include assign a dedicated spotter (or spotters) to provide visual assessment of the relative position of all elements, especially near critical structures, conduct a stand down discussion and provide special coaching to operators, supervision, and deck foremen on the protocol for assigning spotters, focus on load path planning and decision-making under dynamic conditions, and reinforce clear communication between the crane operator, deck crew, and spotters to ensure shared situational awareness.</t>
  </si>
  <si>
    <t>Human Error / Load Snag or Contact / Environmental Factors</t>
  </si>
  <si>
    <t>Empty work basket</t>
  </si>
  <si>
    <t xml:space="preserve">During operations to lower the Integrated Running Tool System (IRS) into the slips on the rig floor, slack was inadvertently left in the IWOCs umbilical. This allowed the umbilical to become pinched between the rig floor and the tensioners. The resulting resistance caused damage to the outer jacket of the umbilical and exerted force on the IWOCs secondary retention sling. As a result, the EDP guarding sustained damage. The ROV control panel was bent where the secondary retention sling was attached.
There were no injuries and no pollution associated with the incident. </t>
  </si>
  <si>
    <t>Integrated Running Tool System (IRS)</t>
  </si>
  <si>
    <t>While picking up drill pipe, the auxiliary driller was in the process of adjusting the pipe skate shuttle to continue operations in MMC (Manual Machine Control) mode. During this adjustment, the "push-to-hold" button, which is required to switch control from block movement to skate operation, was not fully depressed. As a result, the drill floor block unintentionally lowered, coming into contact with a pipe joint in the stump. This contact bent the drill pipe, rendering it unusable.</t>
  </si>
  <si>
    <t>The crane winch stopped moving while lifting a fuel tote from the Motor Vessel. Inspection revealed a cracked hydraulic hose fitting on the anti-2 block fast line causing a leak and winch malfunction. The hose was bypassed, replaced with a spare, and all safety systems tested before returning the crane to service. The spill was reported to the NRC.</t>
  </si>
  <si>
    <t>Fuel tote</t>
  </si>
  <si>
    <t>The Lifting Authority and Production Operator were working to offload and back-load the Motor Vessel. A fuel hose positioned on the west side of the cellar deck landing was placed against the handrail. During rigging, the operator unintentionally routed the basket-style rigging through the handrail. When the crane operator hoisted the load, the rigging passed through the handrail, bending and damaging it. There were no injuries or environmental impacts; only equipment damage occurred.</t>
  </si>
  <si>
    <t>Human Error / Rigging Equipment Snag or Contact</t>
  </si>
  <si>
    <t>Fuel hose assembly</t>
  </si>
  <si>
    <t xml:space="preserve">Other - Offloading and Backloading </t>
  </si>
  <si>
    <t>On June 12, 2025, at approximately 2200 hours, the 2-P5 Jumper, approximately 120 feet long and weighing 46 metric tons, was being transferred from the OSV Lucy to the construction vessel Skandi Implementer using the vessel's Huisman 400-ton main crane. During the vessel-to-vessel lift, the jumper contacted a support structure located toward the stern of the OSV Lucy. The contact sheared approximately a 6-inch section of strake from the PLET end of the jumper. The dislodged section fell onto the support structure on the OSV Lucy. No personnel were in the affected area, as the area had been established as a controlled zone prior to the lift.
The jumper was cleared from the OSV Lucy, and the vessel was moved clear of the area. The jumper was subsequently deployed into the water column and inspected by ROV. No injuries or vessel damage were reported. Damage was limited to the jumper strake, with the estimated repair cost approximately $5,000. A discussion was conducted with the shift supervisors to review the incident and reinforce lift planning, clearance verification, and safe vessel-to-vessel lifting practices.</t>
  </si>
  <si>
    <t>2-P5 Jumper, approximately 120 ft long and weighing 46 metric tons (about 101,400 lb).</t>
  </si>
  <si>
    <t>During a crane operation, a powerpack unit was being lifted when it tipped over a wireline unit. No visible damage was found on the powerpack or wireline unit, but a deck board was slightly damaged. The crane was inspected and cleared for use. A safety stand down was conducted to prevent future incidents.</t>
  </si>
  <si>
    <t>Powerpack unit</t>
  </si>
  <si>
    <t>While lifting a 5,000-lb powerpack from the M/V using an American Aero G20-F crane, the deckhand connected the stinger to the powerpack and signaled the crane operator to cable up. As the powerpack was raised, its bottom contacted the top of a nearby 6,000-lb wireline unit, causing the unit to tip onto its side. The powerpack was safely landed on deck, and the crane was lowered to reposition the wireline unit. Stop Work was initiated to inspect the equipment and surrounding area.
No injuries occurred, and no damage was identified to the crane, powerpack, or wireline unit. The only damage identified was a section of one vessel deck board, which required replacement. The repair cost was $0.00. The crane was inspected by a Gulf Crane mechanic on 6/13/2025 and cleared for continued operation.</t>
  </si>
  <si>
    <t>5,000-lb powerpack</t>
  </si>
  <si>
    <t>Equipment / Process Equipment</t>
  </si>
  <si>
    <t>While lifting a submersible seawater pump and attached hose using a 3" x 20' synthetic sling rated for 8,800 lbs vertical lift, the sling failed shortly after the lift began. The stitching along the sling popped, causing the pump and hose (total weight approximately 1,679 lbs) to fall approximately 8 feet back into the basket. The impact broke the pump’s intake flange and damaged the connected flange. All personnel were clear of the load and no injuries occurred. The crane was inspected by a mechanic and found to be in proper working condition. A safety standdown was held to review the incident and lessons learned.</t>
  </si>
  <si>
    <t>Submersible seawater pump</t>
  </si>
  <si>
    <t>During the back-loading of a marine portable tank (MPT) onto the Offshore Support Vessel (OSV), an unexpected larger wave caused the vessel to shift position. As a result, the load struck the jump-deck handrail at the stern of the vessel. The handrail, measuring under 2" outer diameter, sustained minor damage. No injuries occurred, and the damage does not impact work completion or crew safety. The MPT was safely placed on the OSV deck without further incident. A follow-up discussion was held with vessel and crane teams emphasizing the importance of exercising Halt or Stop Work Authority when sea states are unfavorable for safe transfers. Both teams agreed that the waves were unexpected.</t>
  </si>
  <si>
    <t>Marine portable tank (MPT)</t>
  </si>
  <si>
    <t>During a lift operation using a chain fall and clamp on an I-beam, small pieces of corrosion fell into the work area, posing a line of fire risk. The hydrocyclone flange, weighing approximately 350 lbs, was not lifted but tension was applied to assist with bolt removal. No damage to equipment or injuries were reported. Immediate corrective actions included stopping the job, moving personnel out of the risk area, taking photos, and identifying an alternative lifting location. A secondary retention system will be added to the lifting setup.</t>
  </si>
  <si>
    <t>Hydrocyclone flange</t>
  </si>
  <si>
    <t>Chain fall system</t>
  </si>
  <si>
    <t>During a safety inspection at the unmanned facility, operators noticed a wireline box obstructing the escape rope. When they moved the box, damage to both the handrail and escape rope was discovered. The crane operator who last used the crane admitted to causing the damage. The operator explained that while moving a chemical tote, they misjudged the crane’s proximity to the wireline box. As the crane’s powerpack swung, it contacted the box, which then slid into the handrail, bending the mid-rail and displacing it from its normal position. The operator did not report the incident immediately to the Person in Charge (PIC). The construction team is arranging mobilization for repairs.</t>
  </si>
  <si>
    <t xml:space="preserve">Human Error /  Load Snag or Contact / Crane Boom Contact </t>
  </si>
  <si>
    <t>Chemical / Bulk Liquid Container</t>
  </si>
  <si>
    <t>During a crane operation, a cargo basket containing a drill line spool contacted a PA/GA speaker, breaking it into 6 pieces that fell to the deck. The riggers were in the step back area, and the Banksman was monitoring the load path. No injuries were reported. Immediate actions included a time out for safety, inspecting the area, and reinforcing the use of JBD and step back areas with the crew. Weather conditions were benign. Repairs were completed.</t>
  </si>
  <si>
    <t>Cargo basket</t>
  </si>
  <si>
    <t>During the first lift of routine backloading, the crane operator was lowering a basket to a motor vessel. After repositioning the vessel, the signal was given to lower the boom, but the crane did not respond to control inputs. The operator successfully raised the boom and attempted to lower it again without response. At this point, a metallic noise was heard as a piece of all-thread bolt fell onto the deck. A Stop-Work was immediately initiated. The basket was safely landed back on the main deck. A crane mechanic inspected the crane and found that the boom hoist ratchet pawl assembly frame's lower mounting bolt and upper all-thread bolt were sheared. The bolts were replaced, and the crane boom was safely returned to its rest position. The crane was subsequently taken out of service for further evaluation. The incident resulted in damage to the boom hoist ratchet pawl's all-thread bolt and its tubular protective sleeve. There were no injuries or environmental impacts.</t>
  </si>
  <si>
    <t>While the coil tubing injector head was being lifted by the 360 crane, the coil tubing slipped within its chains. This caused the secondary clamp, weighing approximately 9.2 pounds, to come off the end of the coil tubing. The clamp fell from a height of 25 feet, striking and breaking the lens of a light fixture before landing on the moonpool deck. The area was designated as a Red Zone, and all personnel were clear by design. No injuries occurred, and no personnel were in the area at the time of the incident. The incident occurred due to a failure to identify the hazards of moving the injector head without the hydraulic lines connected and using the clamp without secondary retention.</t>
  </si>
  <si>
    <t>Coil tubing injector head</t>
  </si>
  <si>
    <t>While the crew was pulling a new main line cable through the chives at the crane tip, the crane operator, who was in the cab waiting to take in cable, leaned out to push the cable away from the cab to prevent snagging. In doing so, his right knee accidentally contacted and actuated the left swing lever. This caused the boom to swing left, disengaging from the maintenance rack and dropping 8-12 inches onto a leading-edge handrail. The incident resulted in slight damage to the crane boom walkway, the handrail, a fire hose reel, and the grating below the fire hose reel. No injuries occurred, and there were no fallen objects or further damage under the walkway.</t>
  </si>
  <si>
    <t>While lifting a plastic tote tank off of a boat, the sling became snagged on the smaller top cap of the tank, causing the cap to break off. The incident resulted in equipment damage only, specifically to the plastic tote tank. There were no injuries to personnel and no environmental impact as a result of this incident. Corrective actions include Corrective Actions include reviewing the incident with crew members and sharing with vendor to evaluate stainless totes as opposed to plastic totes.</t>
  </si>
  <si>
    <t>Plastic tote tank</t>
  </si>
  <si>
    <t>During deck cargo arrangement operations on the Motor Vessel, a pallet box being moved by a crane made contact with the breathing air rack. This impact resulted in minor damage to the quick connect/hose manifold of the breathing air system. The incident caused minor equipment damage to the quick connect/hose manifold of the breathing air rack. There were no reported injuries or environmental impacts. Third-party technician was scheduled to replace the damaged manifold, inspect the complete air rack, test the system, and return it to service.</t>
  </si>
  <si>
    <t>Pallet box</t>
  </si>
  <si>
    <t>The crane operator was making a lift of casing jacks (weighing 9,500 lbs) from the M/V. After the Captain maneuvered the vessel into position and the deckhand signaled for the stinger to connect to the load, the crane operator lowered the stinger and the deckhand connected the load. As the crane operator began to cable up with the main winch, he noticed the boat moving back towards the platform. Despite the vessel's continued movement, the crane operator continued to cable up and boom up to get the load off the deck. Once load came completely off the deck, it swung into the starboard bulwark of the M/V, causing damage to the aluminum bulwark. The load itself sustained no damage and was safely landed on the main platform deck. The incident stemmed from unclear communication between the Captain and the Deckhand. The Captain continued to move the vessel while the deckhand was connecting the load and signaling for the lift. Additionally, Stop Work Authority was not initiated.</t>
  </si>
  <si>
    <t>Casing Jacks</t>
  </si>
  <si>
    <t>While Crane 2 was in operation for general deck lifts, and the crane operator was cabling up on the main line, the anti-two block sleeve became wedged in the boom tip of the crane. The crew immediately stopped the job for investigation and troubleshooting. The lift involved moving a bundle of slings, and it was not a blind lift. Communication with the crane operator was maintained via UHF radio and hand signals. No taglines were used for this lift. There were no dropped objects, and no injuries. The area was not barricaded at the time of the incident. A plan is being developed to safely un-wedge the two-block sleeve. Additionally, the rig team will investigate the root cause of why the anti-two block sensor did not trigger the winch to stop before the sleeve became wedged. The corrective action suggested is to reduce the amount of extra grease on the main wire.</t>
  </si>
  <si>
    <t>Bundle of slings</t>
  </si>
  <si>
    <t>While transferring an empty MPT tank from the vessel to the workover deck using the crane, the crane operator was simultaneously swinging and booming the load. During this maneuver, the empty MPT tank made contact with the northwest beacon reflector. The impact caused the beacon reflector to lean approximately 20 degrees. No dropped objects resulted from the incident, and no injuries were reported. The job was immediately stopped, and the beacon was inspected. A debriefing was held with the crane crew to discuss the lift. Following these actions, the lift was safely completed.</t>
  </si>
  <si>
    <t>Inadequate Load Clearance During Lift Path Movement</t>
  </si>
  <si>
    <t>Empty MPT tank</t>
  </si>
  <si>
    <t>During a lifting operation from the M/V, as a hydraulic jack frame was being lifted, one of its corners made contact with the door of a swivel power pack. This contact caused the power pack's door to bend upward. The incident resulted in minimal damage to the swivel power pack door. No additional damage was noted. There were no injuries, as personnel were clear of the cone of exposure as per the plan.</t>
  </si>
  <si>
    <t>Hydraulic jack frame</t>
  </si>
  <si>
    <t xml:space="preserve"> A rigger hooked up to an 8x10 cargo box on deck. When the crane operator lifted the load, the boom was positioned past the center of the load, which caused the cargo box to swing forward. While correcting, the corner of the 8x10 cargo box caught a nearby 550-gallon tote containing APC cleaner. The tote was tipped but did not spill any of its contents. The cargo box was subsequently secured, and the APC cleaner tote was lifted and stood back upright. The incident resulted in minimal damage, specifically dents, to the 550-gallon APC cleaner tote. The cargo box itself was not damaged, and no injuries occurred.The incident and general cargo lifting practices will be reviewed with all crane operators, riggers, and flaggers to prevent recurrence.</t>
  </si>
  <si>
    <t>8x10 cargo box</t>
  </si>
  <si>
    <t>While Technicians were attempting to drain the swing gearbox of a crane, they removed the drain plug and fill cap for venting. When the gearbox failed to drain, an Injured Person (IP) placed their finger inside the vent hole to check for a restriction. At that moment, the IP asked another Technician to swing the crane to clear the hole for venting. As the crane swung, the IP's finger went deeper into the vent hole, resulting in the tip of the IP's finger to be sheared off. The IP sustained a sheared fingertip and was transferred to shore for treatment.</t>
  </si>
  <si>
    <t>While organizing the deck using the crane, a basket was being lowered onto the well test deck. During this operation, the basket inadvertently made contact with a light, causing damage to its housing. No taglines were being used for this lift. This was not considered a blind lift, and communication with the crane operator was conducted via radio. No dropped objects occurred as the light was held in place by secondary retention/electrical wiring. No personnel were affected as they were in designated Safe Step Back Areas.</t>
  </si>
  <si>
    <t>While the crane was lifting a single joint of 18-inch casing using its gripper attachment, and maneuvering the load, the gripper attachment inadvertently came into contact with a stanchion post located on the top of the pipe deck. This stanchion post is designed for stabilizing loads. Communication with the crane operator was conducted via UHF radio, and this was not considered a blind lift. The contact resulted in damage to one hydraulic hose 90-degree fitting on the gripper attachment. No injuries occurred, no other equipment was damaged, and there were no dropped objects or loss of containment.The crew immediately ceased operations and reported the incident to the Area Supervisor. The damaged hose fitting was repaired, and operations resumed safely. To prevent recurrence, the stanchion post that contributed to the contact and hose damage will be removed.</t>
  </si>
  <si>
    <t>Single joint of 18-inch casing</t>
  </si>
  <si>
    <t>A vessel was conducting subsea inspections. During the launch sequence of the ROV system, the ROV detached from its TMS. The ROV subsequently fell, landing partially on the LARS (Launch and Recovery System) gate, with the front of the system damaging the fiberglass grating below. No personnel were in the vicinity at the time of the incident. Work was immediately stopped, and an investigation was initiated.The incident resulted in damage to the LARS gate and the fiberglass grating below. No injuries occurred.</t>
  </si>
  <si>
    <t>Dropped Object / Lifting Device Component Failure</t>
  </si>
  <si>
    <t>ROV</t>
  </si>
  <si>
    <t>Tether Management System (TMS)</t>
  </si>
  <si>
    <t>During the process of lowering the lifeboat into its transit cradles on the M/V, cribbing was positioned aft-midship to support the operation. During this maneuver, the lifeboat inadvertently contacted an 8' x 20' basket located forward of the cradle position. As a result of the impact, the lifeboat's Kort Nozzle sustained visible damage. Additionally, the Teflon spacer surrounding the propeller shaft broke, and the propeller shaft itself appears to be bent. There were no injuries.</t>
  </si>
  <si>
    <t>Lifeboat</t>
  </si>
  <si>
    <t>Life Boat Davit</t>
  </si>
  <si>
    <t xml:space="preserve">The crane operator from the crane was lifting a bundle (5) of pipe to transfer from the piperack to the boat. The hand-rail (approx. 35lbs) was struck by the load and fell to the deck below. (approx. 24ft). No personnel were in the area where the handrail landed. No injuries. </t>
  </si>
  <si>
    <t>Bundle of pipe</t>
  </si>
  <si>
    <t>While transferring an operator from a vessel to the platform using a personnel basket, the basket made a harder-than-normal landing on the platform deck. The following morning, the operator reported back soreness and was transported by routine crew-change flight to an occupational medicine clinic, where he was treated and released to regular duty. The investigation identified possible horseplay involving personnel as a contributing factor. The crane operator was removed from the facility following the investigation. A safety meeting was conducted to reinforce crane safety and the zero-tolerance policy for horseplay. Additional crane-safety discussions and training were planned for upcoming meetings and leadership workshops, and the contractor was directed to issue a Safety Alert addressing horseplay.</t>
  </si>
  <si>
    <t>Personnel</t>
  </si>
  <si>
    <t>Other- Personnel Transfer M/V to platform</t>
  </si>
  <si>
    <t>During the movement of a replacement Firewater pump engine, a 3-ton chain fall was hoisted at too steep an angle, causing pressure on the Turbo Housing. This resulted in a crack and coolant leakage. Approximately 10 gallons of coolant were spilled, with 5 gallons landing on the deck and 5 gallons captured in a drum. No injuries occurred. Corrective actions included discussing proper rigging with the crew.</t>
  </si>
  <si>
    <t>Firewater pump engine</t>
  </si>
  <si>
    <t>Chain Falls</t>
  </si>
  <si>
    <t>During a heavy lift from a supply vessel to a drillship, a production tree was lifted from its shipping skid. A deck chain securing the shipping skid had been routed through a loop in the tree's electrical flying lead (EFL). As the tree was lifted, the EFL was caught by the chain and pulled apart, resulting in equipment damage. No personnel injuries or dropped objects occurred. The crane operator had visual contact with the load but could not see the EFL beneath the chain, resulting in a partial blind lift. The damaged EFL and battery were removed and secured for replacement. The tree and associated connectors were inspected, with no additional damage identified. As a corrective action, the crane operator will verify with riggers that all chains and binders are clear of the load before lifting.</t>
  </si>
  <si>
    <t>GE001 production tree</t>
  </si>
  <si>
    <t xml:space="preserve">Yes </t>
  </si>
  <si>
    <t xml:space="preserve">While lifting three joints of 6 5/8" heavy weight drill pipe (HWDP) from the pipe skate, the crane operator initiated the lift and the load began to spin unexpectedly. As the operator attempted to rotate and set the load back down, the bundle made contact with the starboard pipe skate handrail, causing the top rail to bend. The handrail remained intact, and no dropped object or injuries occurred.
Damage Estimate: Approximately $400 (minor structural damage to handrail).    </t>
  </si>
  <si>
    <t>Three joints of 6 5/8" heavy weight drill pipe (HWDP)</t>
  </si>
  <si>
    <t xml:space="preserve">While pulling out of hole (POOH) with a 12-1/4" bottom hole assembly (BHA) on 6-5/8" drill pipe, the top drive (TDX) was slacked off before fully retracting. This caused the saver sub to come into contact with the top of the stand, resulting in equipment damage.
Estimated Damage Cost: $12,555.00  </t>
  </si>
  <si>
    <t>12-1/4" bottom hole assembly (BHA) on 6-5/8" drill pipe</t>
  </si>
  <si>
    <t>During crane operations, the asset crane operator was positioning a load under the direction of a flagger. The crane operator misjudged the location where the flagger was instructing him to place the load and inadvertently landed the load on top of the gangway, crushing the handrails. The crane operator immediately boomed up with the load and repositioned it to a clear area.</t>
  </si>
  <si>
    <t>Not specified</t>
  </si>
  <si>
    <t>A minor incident occurred on the facility during a crane operation. While moving a cement head from the rig floor to the deck using the port aft crane, the load made contact with the handrail on the stairway leading to the starboard aft crane. This contact caused minor damage to the stairway railing. No personnel were injured, and no dropped objects occurred. The incident was reviewed with the crew, and the handrail was placed on the welder’s work list for repair. Estimated damage was less than $500.</t>
  </si>
  <si>
    <t>Cement Head</t>
  </si>
  <si>
    <t>During deck operations, a 40-foot tool basket was being lifted using the port aft crane. While positioning the load, the basket made contact with an adjacent eye wash station, causing minor damage. Lifting operations were paused, management was notified, and a discussion was held with the crew to prevent recurrence. The estimated cost of repairs was initially reported at $1,000 but later revised to less than $500. No personnel injuries or dropped objects occurred.</t>
  </si>
  <si>
    <t>40' Tool Basket</t>
  </si>
  <si>
    <t>While preparing for dewatering of the "Salamanca" Gas Export Pipeline, a 550-gallon MEG tote tank was being repositioned on the Motor Vessel. During the maneuver, the tote tank swung and contacted a connector on the Optical Flying Lead (OFL) frame, pinching the OFL handle. The handle was repaired at an estimated cost of $1,500. No personnel were injured, no pollution occurred, and the tote tank was undamaged.</t>
  </si>
  <si>
    <t>550-gallon MEG tote tank</t>
  </si>
  <si>
    <t>During a P&amp;A operation, a high-pressure lubricator was being held in place with a 1" manilla rope while troubleshooting a malfunctioning VR plug. The rope failed under the weight of the lubricator, causing it to fall approximately 8 feet to the deck. No injuries, damage, or pollution were reported. Immediate actions included a safety standdown, reassessment of the task, and notifications to relevant personnel. The incident was determined to be due to insufficient rigging, inadequate weight assessment, and lack of proper planning for the task change.</t>
  </si>
  <si>
    <t>High-pressure lubricator</t>
  </si>
  <si>
    <t>manual rope rigging setup used</t>
  </si>
  <si>
    <t>While lifting a 13 3/8" pup joint using the HWO winch, the thread protector detached from the pup joint and fell approximately 62 feet from below the work basket to the deck.
At the time of the incident, the work area beneath the lift was properly designated as a Red Zone with restricted access, and the nearest personnel were approximately 45 feet away. There were no injuries and no equipment damage, other than the dislodged thread protector.</t>
  </si>
  <si>
    <t>13 3/8" pup joint</t>
  </si>
  <si>
    <t>Hydraulic Workover (HWO) Winch</t>
  </si>
  <si>
    <t>A 5/8" x 2.75" bolt weighing 4.1 ounces came loose from the dust plate on the West Crane’s headache ball. The bolt fell approximately 50 feet to the deck and ricocheted, glancing off the deck foreman. No injuries or additional damages were reported. The crane was taken out of service while the bolt assembly was replaced. Corrective actions included drilling and tapping the tab and installing a new nut, bolt, and cotter pin assembly to prevent recurrence. Estimated repair cost: $150.</t>
  </si>
  <si>
    <t>N/A (bolt fell from crane component, not from a load)</t>
  </si>
  <si>
    <t>Tubular / Drill String Component</t>
  </si>
  <si>
    <t>During a routine operation to transfer a grocery box from a supply boat to the platform, the crane operator was in the process of lowering the load. A rigger attempted to signal the crane operator to boom up, but the warning came too late. The descending load bumped the life float rope spool, pushing it down onto the life float and causing it to be cut.</t>
  </si>
  <si>
    <t>The motor vessel experienced a loss of heave compensation on its McGregor 150-ton starboard-side vessel crane during deployment of Jumper SN 21279. The crane was actively holding the jumper at a depth of 4,902.03 FSW, with an in-water weight of 35 tons (surface weight: 43 tons). In response, the vessel was maneuvered 500 meters away from the target drop zone as a precautionary measure to prevent further risk while troubleshooting the issue.
There were no injuries, no dropped objects, and no structural damage reported. The jumper remained securely suspended, and no environmental impacts occurred.</t>
  </si>
  <si>
    <t>Jumper SN 21279</t>
  </si>
  <si>
    <t>During a routine crane operation to relocate scrap metal from the +20 deck to the drill deck, the crane operator established two-way radio communication with the contractor rigger. Per the rigger’s direction, the operator boomed up before attaching the crane to the load. Once connected, the rigger instructed the operator to begin cabling up.
As the load began to lift, the crane operator observed the load drifting inward toward the platform and stopped the lift to verify clearance. After receiving confirmation from the rigger, the operator resumed lifting slowly. During this process, the crane’s load weight indicator briefly increased, then showed a complete loss of signal.
Inspection revealed that the load cell, located between the headache ball and the load line, had struck the platform handrail, causing physical damage including the loss of its cover and battery. The crane cable had been positioned too close to the platform handrails prior to lift initiation. There were no injuries and no environmental impact. Estimated damage is under $100.</t>
  </si>
  <si>
    <t>Scrap metal</t>
  </si>
  <si>
    <t>While offloading a chemical pump skid and drain snake from the MV Wendy Lou, the boat drifted under the MP 41 B structure during the second lift. The deckhand hooked up the load before the boat captain could reset the vessel’s position. As a result, the Wendy Lou’s mast folded toward the stern and contacted PSN-6037 and PSN-0142 pipe riser segments, causing a slight bend in a pipeline segment. No injuries occurred and no structural damage was reported. Root cause was determined to be a lack of communication between the boat captain, deckhand, and crane operator. A company radio was issued to the deckhand after the incident to prevent recurrence. Estimated damage is under $25,000.</t>
  </si>
  <si>
    <t>Chemical pump skid and drain snake</t>
  </si>
  <si>
    <t xml:space="preserve">While disconnecting a 4 ft x 8 ft trash bin from the North Crane, the two-way wire rope slings unexpectedly detached from the hook of the crane’s headache ball. As the slings fell into the trash bin, the sudden downward force caused one of the slings to pull on the left arm of the Injured Person (IP), resulting in injury. The IP was promptly evacuated from the platform and transported to a local clinic for medical evaluation and treatment.  </t>
  </si>
  <si>
    <t>Trash bin</t>
  </si>
  <si>
    <t>While offloading a 4 ft x 4 ft basket from the motor vessel using the North Crane, a tagline became entangled on a metal strip located along the vessel's railing side, which was used to secure the deck plating. As the crane began to lift the basket, the tension in the tagline pulled upward on the strip, causing it to separate from the deck until the line came free. Vessel personnel removed the metal strip following the incident to prevent recurrence and to allow for permanent repairs. No injuries or additional equipment damage occurred.</t>
  </si>
  <si>
    <t>4 ft x 4 ft basket</t>
  </si>
  <si>
    <t>While pulling casing, a 17-foot joint was being prepared for lifting using a crane with a maximum SWL of 24,255 lbs. After setting up, the lifting pin bent/faulted, striking the injured person (IP) above the right eye. The IP was conscious and coherent and was medivaced to Lafayette General Hospital for further evaluation.</t>
  </si>
  <si>
    <t>Equipment Component Failure / Lifting Device Component</t>
  </si>
  <si>
    <t>17’ casing joint</t>
  </si>
  <si>
    <t xml:space="preserve">A three-person supply boat crew was tasked with rigging up bolsters of chrome tubing for transfer to a Noble facility using a crane. After the load was properly rigged and attached to the crane hook, the vessel's banksman signaled the crane operator via radio to begin the lift. However, in the process of stepping clear of the load, the banksman inadvertently stepped onto and became entangled in the tagline. When the crane operator took the load, the banksman was momentarily lifted off the deck of the supply boat before the crane operator noticed the issue and immediately set the load down. The banksman quickly freed himself and walked away without injury. All lifting operations were halted, a personnel accountability check was conducted, and rig management was notified. A safety stand-down was held with the deck and crane teams.   </t>
  </si>
  <si>
    <t>Bolsters of chrome tubing</t>
  </si>
  <si>
    <t>During the hoisting of a cement bailer into position for dump bailing, the wireline rope socket failed. This caused the cement bailer, weighing approximately 600 lbs and measuring 53 ft in length (including cement), to fall approximately 30 feet. The bailer fell straight down, coming to rest on the walkway bridge and leaning nearly vertically against the work platform. There were no injuries to personnel, no pollution, and no damage reported as a result of this incident.</t>
  </si>
  <si>
    <t>Cement bailer</t>
  </si>
  <si>
    <t>During routine offloading operations from the field support vessel to Lift Boat, the HPU-06 Power Package's quarter-inch nameplate was caught on an adjacent stinger rack during the lift. This contact caused the upper edge of the nameplate to bend outward. The Power Pack was subsequently landed safely on the lift boat deck without additional issues. Post-event inspection revealed no further damage to the equipment, crane, liftboat, or field support vessel. There were no personnel injuries or environmental impacts resulting from the incident.</t>
  </si>
  <si>
    <t>HPU-06 Power Package</t>
  </si>
  <si>
    <t>Acrane crew was repositioning a drum rack to access a nearby door in preparation for loading drums. During the maneuver, the drum rack unexpectedly shifted, causing one of its pointed corners to contact and puncture a drum, resulting in a pinhole-sized breach (approximately the size of a pen head). Approximately 1 ounce of insulating oil was released into a fully contained area. There were no injuries, no environmental impact, and no loss to the Gulf of America (GOA).</t>
  </si>
  <si>
    <t>Drum rack</t>
  </si>
  <si>
    <t>A lead roustabout was conducting crane operator training using Crane 2 while Crane 3 was positioned in the cradle nearby for scheduled three-year maintenance. Typically, Crane 3 is not located in this area. The lead roustabout had completed approximately 10 lifts without issue. During a basket landing operation on a boat, the Designated Signal Person (DSP) called an “all stop” over the radio and instructed the operator not to boom down or lower the cable. After completing the lift and raising the crane, the operator observed damage to the birdcage and handrail of Crane 3, which were bent due to contact. No personnel were present in the hazard zone at the time of the incident. Weather conditions were sunny, clear, and humid and did not contribute to the event. The damage to Crane 3 is estimated at approximately $5,000.</t>
  </si>
  <si>
    <t xml:space="preserve">Crane 3 was engaged in lowering the crane ball over the riser deck to connect to a work basket. As the DSP radioed to the crane operator to stop lowering the cable, the crane ball swung and contacted the satellite globe of the LIDAR system. The impact caused visible damage to the globe’s external cover, but internal components continued to function correctly. The estimated damage cost is under $1,000. At the time of the incident, the stinger had just been lowered, and no load was lifted. Taglines were secured to the stinger. No personnel were injured.     </t>
  </si>
  <si>
    <t>Work basket</t>
  </si>
  <si>
    <t>A motor being transported by provision crane from the warehouse to the starboard aft well test deck (near lifeboat #5) shifted sideways during lowering, causing it to detach from rigging and fall approximately 8 feet to the deck. Nearest personnel (holding tagline) was 10 feet away. No injuries occurred.</t>
  </si>
  <si>
    <t>Rigging Equipment Failure / Equipment Component Failure</t>
  </si>
  <si>
    <t>Motor</t>
  </si>
  <si>
    <t>While making up 9 5/8-inch casing on the AUX rotary, Worker 1 lifted the casing stand with the top drive and elevators to allow Worker 2 to grip the stand with the FWD racker. An alarm from the crown saver warning system caused Worker 1 to stop the lift. Worker 2 then extended the FWD racker arms to secure the stand. After verifying that the elevators were unlatched, Worker 2 retracted the stand without realizing it was still in the slips. This caused four bolts on the lower racker head to shear off. The bolts fell approximately 13 feet to the rig floor. An all-stop was called, the drill floor cleared, and management was notified. The lower racker head leaned against the casing stand. No personnel were injured, as the nearest worker was 18 feet away in a safe area.No injuries occurred. Cost of replacement bolts: $2.16.</t>
  </si>
  <si>
    <t>9 5/8-inch casing stand</t>
  </si>
  <si>
    <t>Top Drive / Racker</t>
  </si>
  <si>
    <t>While running 5-1/2 inch production tubing using Expro compensator and clamp-type elevators at their lowest position, a floorhand (IP) attempted to move the sling and snatch block to ensure clearance. During this action, the IP’s left-hand ring finger contacted the snatch block, resulting in an avulsion injury. The job was immediately stopped, and proper notifications were made. The IP was medically evacuated, treated with sutures, and advised not to use the left hand for two weeks. Follow-up was scheduled for 14 days post-procedure.</t>
  </si>
  <si>
    <t>5-1/2 inch production tubing</t>
  </si>
  <si>
    <t>Expro compensator with clamp-type elevators</t>
  </si>
  <si>
    <t>The crane crew was assisting Halliburton Filtration in relocating a supersac of diatomaceous earth (DE) from their hopper back down to the deck. During the lowering process, the supersac rubbed against an air hose connected to the water trap at a generator. The contact caused the air hose to disconnect from the modular connection at the water trap. The water trap was promptly reconnected, and no damage to the equipment was reported. The estimated cost of the incident was $0.00.</t>
  </si>
  <si>
    <t>Supersac of diatomaceous earth (DE)</t>
  </si>
  <si>
    <t>The drill crew was lifting six stands of 4 1/2-inch drill pipe. While handling the fifth stand, the driller mistakenly believed a full three-joint stand was in the elevators but was actually lifting a double. When the driller applied the main brake on the draw-works suddenly, the drill line backlashed on the drum. All personnel were in designated step-back areas, and no injuries occurred. No equipment damage or cost was associated with the drill line.</t>
  </si>
  <si>
    <t>Drill pipe stands (double joint)</t>
  </si>
  <si>
    <t>Draw-works and elevators</t>
  </si>
  <si>
    <t xml:space="preserve">During platform removal operations aboard a Derrick Barge, a material handling incident occurred in the vessel's warehouse. While transporting a Mactech Diamond Wire Saw using a forklift, the top section of the saw separated from its slide rail. This resulted in bent roller bolts and minor equipment damage. Fortunately, no personnel were injured during the incident. The estimated cost of repair is approximately $500.  </t>
  </si>
  <si>
    <t>Mactech Diamond Wire Saw</t>
  </si>
  <si>
    <t>After making a connection with the top drive, the driller set the parking brakes and applied torque to the connection. During this process, the driller observed the traveling block move downward approximately two feet. The driller stopped the movement by pushing down on the brake handle and then lifted the block to restore the weight to 80K. The supervisor was promptly notified. Due to the brake slippage, the stand of drill pipe in the elevators bowed out toward the V-Door. Zone management protocols were in effect, and all personnel remained in their designated step-back zones per the Job-By-Design (JBD) procedure. No injuries, dropped objects, or equipment damage occurred.</t>
  </si>
  <si>
    <t>During lifting operations, the WFD 400 Rig crane crew was transferring a diesel transfer tank from the PN975 production platform’s top deck to the rig’s main deck. The lift involved the EOD day shift alternate crane operator and a roustabout acting as signalman. As the tank was lifted, the roustabout pulled on a single tagline, causing the tank to rotate. This rotation led the tank’s pollution skid corner to contact and dislodge approximately 18 feet of the adjacent handrail, bending it downward onto the deck below. Work was immediately stopped, and temporary scaffolding handrails were installed to secure the area. No injuries were reported. The handrail repair is estimated at approximately $1,800 in property damage.</t>
  </si>
  <si>
    <t>Diesel transfer tank</t>
  </si>
  <si>
    <t>While preparing to lift a rental pressure water blaster trailer from the motor vessel using the Seatrax S7220 (South Crane), an endless nylon round sling came into contact with the trailer’s exhaust vent. As the crane operator began to take up slack on the auxiliary line, the sling was cut by a sharp edge on the vent. The operator immediately stopped the lift and lowered the line, allowing deck personnel to safely disconnect the load. A replacement sling was installed, and the lift was subsequently completed without further incident. No injuries occurred, and the only damage was to the sling (estimated replacement cost $130).</t>
  </si>
  <si>
    <t>Rental pressure water blaster trailer</t>
  </si>
  <si>
    <t xml:space="preserve">On July 31, 2025, a 90-ft basket being offloaded from a vessel using Crane 3 contacted two lights and their brackets while being lowered to the riser deck on the port side. All personnel, except the crane operator, were positioned in the designated Safe Step Back Area. Secondary retention kept the lights in place, preventing them from falling, and no dropped objects occurred.A time-out was called, and the lights were secured to eliminate the risk of a potential drop. No injuries were reported. A new bracket was fabricated by a welder, with an estimated repair cost of $1,500. This was a blind lift, with the crane operator in Crane 3 placing the 4x90-ft basket on the port side. Radio communication was maintained between the banksman and the crane operator, and once the load was out of the operator’s sight, control was handed over to the banksman.   </t>
  </si>
  <si>
    <t xml:space="preserve">During crane operations with Crane #2, a 39’ x 10’ temporary living quarters was being lowered to the main deck alongside an existing 39’ x 10’ galley unit. Tag lines and rigging personnel were positioned to control and guide the load. While suspended a few feet above the deck, a sudden gust of wind caused the load to shift toward the adjacent galley. The temporary living quarters made minor contact with the galley structure, resulting in damage to an aluminum vent. Estimated repair cost is $100. No personnel injuries occurred.  </t>
  </si>
  <si>
    <t>Temporary living quarters</t>
  </si>
  <si>
    <t>During a subsea equipment change-out operation within the Southeast 10% Safety Observation Zone (SOZ) near the Noble Black Lion drillship, the M/V C-Constructor was in the process of recovering the old DC1 CDU-B. While the crane was lifting subsea equipment, the oncoming crane operator identified a hydraulic oil leak from motor #6 during the pre-shift inspection at shift change.
Hydraulic oil was visibly leaking onto the crane pedestal and deck, though no water ingress or sheen was observed on the sea surface. Operations were immediately suspended, with the load held at approximately 1,490 meters subsea, pending investigation and repair. No injuries were reported, and the extent of equipment damage is currently under assessment.</t>
  </si>
  <si>
    <t>Subsea equipment</t>
  </si>
  <si>
    <t>During crane operations, Crane 3 (SE Crane) was relocating an 8' x 16' cargo basket weighing approximately 17,000 lbs. While positioning the load east of the Heli fuel skid deck on the Upper Utility level—a commonly used staging area for backload cargo—the basket made contact with the top portion of the fixed ladder swing gate structure. The ladder remained attached, as it was bolted in place. Radio communication was used with the crane operator, and taglines were attached to the cargo; however, the taglines were not actively handled due to the height of the load off the deck.</t>
  </si>
  <si>
    <t>8' x 16' cargo basket</t>
  </si>
  <si>
    <t>During offloading operations, a small wooden crate containing valves and miscellaneous fittings tipped over inside an 8x24 shipping container (basket). The incident occurred when a four-part sling became caught underneath the crate, causing the crate to lift unevenly and tip. As a result, approximately half the contents spilled out of the crate, though all items remained contained within the basket.The crate sustained minor damage, but the contents—including small valves and fittings—were undamaged.</t>
  </si>
  <si>
    <t>Small wooden crate containing valves and miscellaneous fittings</t>
  </si>
  <si>
    <t xml:space="preserve">A personnel transfer was being conducted from the offshore platform to the M/V using a crane and personnel basket. While in motion, the crane's auxiliary winch experienced a sudden uncontrolled descent, resulting in a free-fall of approximately 15 feet. The individual involved (IP), who was secured inside the basket, fell to his knees due to the abrupt stop. The crane operator quickly regained control of the crane and safely returned the personnel basket to the platform. The IP was immediately assessed and treated by the field Emergency Medical Responder (EMR). Out of precaution, the IP was transferred to the M/V using a stokes litter and subsequently transported to C-Port 1. From there, the IP was taken via ambulance to University Medical Center (UMC) in New Orleans for further evaluation and treatment. </t>
  </si>
  <si>
    <t>Personnel basket with individual inside</t>
  </si>
  <si>
    <t xml:space="preserve">A crane incident occurred during a routine lifting operation. A 4,000-pound supersack containing leftover sandblasting sand was being lifted by the platform crane to place it into a shipping basket for transport to shore. During the lift, the supersack failed and fell approximately 20 feet to the solid deck below. There were no injuries, no personnel present in the drop zone, and no damage to the facility.The incident occurred during the final lift in a sequence of 15 identical supersacks. The previous 14 supersacks had been successfully lifted and loaded without issue.
Each supersack is manufactured with four integrated lifting straps, which are configured into two lifting points via factory-installed tethering straps.      </t>
  </si>
  <si>
    <t>4,000-pound supersack of sandblasting sand</t>
  </si>
  <si>
    <t xml:space="preserve">Bulk Material / Cargo </t>
  </si>
  <si>
    <t xml:space="preserve">During unloading of a crane package from the motor vessel using the platform crane, the boom section of the package was being lifted when a hydraulic hose became entangled with the vessel’s bulwarks. This entanglement caused the hydraulic fitting to break, resulting in the release of approximately one tablespoon of hydraulic fluid onto the deck of the vessel. The spill was immediately contained and cleaned up with no further impact to operations or the environment. Estimated repair cost is approximately $200.       </t>
  </si>
  <si>
    <t>Crane package</t>
  </si>
  <si>
    <t xml:space="preserve">During lifting operations on the north Cellar Deck, a 550-gallon tote tank of oil was being landed using the Large Block Main Line. While lowering the load, flaggers observed the tote shift northward, resulting in contact with the front lid of a fiberglass life jacket box positioned along the handrail.
The contact caused the fiberglass lid to partially crack. The tote was ultimately landed safely, and no other equipment sustained damage. The facility’s leadership team was promptly notified.  </t>
  </si>
  <si>
    <t>550-gallon tote tank of oil</t>
  </si>
  <si>
    <t>Offloading operations were underway from a marine vessel to a platform. After the twelve-man sleeper was successfully landed, a construction consultant observed damage to a temporary laundry room that had been lifted earlier in the operation. The laundry room contacted an adjacent temporary living quarter during the lift, bending a fixed rain deflector downward and puncturing the fiberglass exterior near the entry door. The damage was immediately reported to the Person in Charge (PIC), prompting an investigation.
Consequences:Minor property damage only; no personnel injuries.
Estimated repair cost: $90.00 to replace and repair fiberglass exterior.</t>
  </si>
  <si>
    <t>Temporary laundry room</t>
  </si>
  <si>
    <t>While lowering a clamp to the +15 level, the auxiliary ball on the West Crane came into contact with the production deck. The impact caused the load cell cover on one side to detach, which immediately triggered an alarm to the crane operator. An all-stop was called.</t>
  </si>
  <si>
    <t>Clamp</t>
  </si>
  <si>
    <t>During post-task cleanup after over-boarding a subsea tree with the 150-ton crane on the C-Constructor, a rusted piece of the TTS Crane oil cooler frame fell approximately 42 feet onto the main deck, landing within 1.5 ft of a Deck Foreman who was walking nearby. The object was a 1-foot-long, 4-inch-wide steel piece weighing ~0.5 lbs. No personnel were injured. The drop occurred in the 20% Safe Over Boarding Zone, and debris from the crane struck the foreman prior to the object falling.</t>
  </si>
  <si>
    <t xml:space="preserve">Rigging Equipment Failure / Dropped Object </t>
  </si>
  <si>
    <t>Subsea tree (over-boarding operation)</t>
  </si>
  <si>
    <t>A Contract Individual (CI) rigger attached 15' x 3/8" stainless steel slings to a gas buster stack pipe (approximate weight 4,000 lbs) and connected them to the auxiliary line of the South Crane. The rigger informed the CI Signalman that all was clear, and the signal was given to the crane operator. As the CI Crane Operator began slowly hoisting slack out of the line, he noticed a slight shift in weight. The rigger then observed that the sling was catching on a tank nameplate and instructed the Signalman to call a stop.</t>
  </si>
  <si>
    <t>Gas buster stack pipe</t>
  </si>
  <si>
    <t>While installing a pipeline jumper, the jumper hubs were soft-landed on the manifold and XT hubs. The ROV disconnected rigging from the jumper to recover the spreader bar. Following instructions from the supervisor, the crane operator began recovering the spreader bar. However, a single sling had not been disconnected from the manifold side of the jumper. As the spreader bar was lifted, the tension caused the XT gooseneck to plastically deform. Operations were immediately stopped. No injuries or pollution occurred, and the only damage was to the pipeline jumper.
On August 10, 2025, the damaged jumper was secured with additional rigging, lifted, and relocated to a safe zone 300 feet north of the wellsite, where it was wet parked on the seabed.</t>
  </si>
  <si>
    <t>Pipeline jumper</t>
  </si>
  <si>
    <t>During milling operations on the rig floor, the rotary was operating at approximately 2,500 ft/lbs of torque. Drill pipe was suspended in the slips with a bar clamp installed on top for additional support. While the pipe was positioned roughly 24 feet above the work basket handrail, the slips lost their bite, allowing the pipe to slide downward in an uncontrolled manner.
As the pipe descended, the tool joint struck the bar clamp, causing significant structural damage. The pipe remained within the well center and did not become a dropped object. No crane or external lifting equipment was involved. The damaged bar clamp was removed from service following inspection. No injuries occurred.</t>
  </si>
  <si>
    <t>Equipment Component Failure</t>
  </si>
  <si>
    <t>Drill pipe (suspended in slips)</t>
  </si>
  <si>
    <t>Pipe / Tubulars</t>
  </si>
  <si>
    <t>rig floor tubular handling equipment</t>
  </si>
  <si>
    <t>During recovery of a BHA stand from row 28 on the Aux (forward) fingerboard, the main racker in manual mode pulled the stand. Another stand of 8 1/4" DC, located behind it, shifted and laid across the derrick, coming to rest in the aux dolly track. No personnel were on the Aux Rig Floor at the time; all personnel were in the Main Rig Floor step-back shelter. A restricted black access zone was established, and the stand was safely recovered.</t>
  </si>
  <si>
    <t>BHA stand (Bottom Hole Assembly stand)</t>
  </si>
  <si>
    <t>Main Racker (manual mode)</t>
  </si>
  <si>
    <t>While the Driller was preparing to pick up a joint of 5.5” tubing from the pipe catwalk, the Expro operator was preparing to operate the Expro tongs. The operator remained on the “slip function” page of the iPad control panel and inadvertently activated the Expro slips, causing them to open. This allowed a 41-ft joint of 5.5” tubing to fall approximately 54 ft down the rotary sock. At the time of the release, only a 5-ft stump was present at the rotary table. No personnel injuries occurred, and red zone management protocols were followed. Preliminary assessment indicates ~$5,000 damage to the pin end of the tubing. The event took place on the auxiliary side of the rig floor.</t>
  </si>
  <si>
    <t>41-ft joint of 5.5” tubing</t>
  </si>
  <si>
    <t>Expro slips (hydraulic slips, remotely controlled).</t>
  </si>
  <si>
    <t>While the crane team was lowering a 550-gallon chemical tote (approx. 5,000 lbs) using the West Crane, the tote became caught on a protruding ear of a ladder bracket, commonly referred to as the “back scratcher.” The snag caused minor damage: bolts on the top bracket were stripped, leaving the assembly hanging from the opposite bracket. No load release or personnel injuries occurred.</t>
  </si>
  <si>
    <t>550-gallon chemical tote (approx. 5,000 lbs)</t>
  </si>
  <si>
    <t>While removing equipment from the M/V, a load being lifted off the vessel snagged a gangway crossover handrail, causing a slight bend to the mid-rail and a cracked weld. The incident occurred while lifting a welding machine off the boat deck. Rigging personnel noticed that the slings were about to hang up on the unit’s exhaust pipe and immediately called “all stop.” The load was lowered back to the deck to correct the issue. During the subsequent lift, the corner pad eye on the welding machine frame snagged the aluminum gangway handrail, resulting in minor structural damage. No other equipment was damaged, and no personnel were injured.</t>
  </si>
  <si>
    <t>Welding Machine</t>
  </si>
  <si>
    <t>The drilling crew was preparing to remove the drilling riser. As part of the operation, the access walkway from the mezzanine deck to the drilling riser work platform was being removed using a hoist. During the lift, the walkway became wedged under hardline piping. The injured person (IP), a Floorhand, attempted to free the walkway by pushing it with his left hand.
When the walkway came free, two components pivoted on a hinge as designed, creating a pinch point. The IP’s left hand was caught, resulting in lacerations to the index and middle finger despite wearing impact-resistant gloves. The crew immediately stopped work, and the IP was escorted to the medic. At 2000 hours, the medic applied three stitches to the index finger and four stitches to the middle finger.
On 15 August, the IP was flown ashore for further medical evaluation at All Industrial Medical Services in Houma, LA. X-rays were taken, and the IP was prescribed antibiotics (Cephalexin). He was released to full duty and returned to work on 17 August 2025.</t>
  </si>
  <si>
    <t>Access walkway (from mezzanine deck to drilling riser work platform)</t>
  </si>
  <si>
    <t>Structural / Access Equipment</t>
  </si>
  <si>
    <t>While the P&amp;A crew was pulling tubing out of Well A-31 using the West Side Crane, the ball of a control line caught under the C plate. While the operator was slacking off the line, the toe of a Supreme operator’s boot became pinched under the beam. The crew promptly removed his foot from the boot and brought him to the living quarters for evaluation. The tip of his big toe was slightly pinched, with no further injury.</t>
  </si>
  <si>
    <t>Tubing (from Well A-31)</t>
  </si>
  <si>
    <t>The crew began hoisting the diesel fuel hose using the crane to transfer it to the MV for diesel loading operations. The hose was lifted via a connected D-ring and sling.
During the lift, the lower loop of the hose, positioned beneath the storage peg, swung slightly northward and became caught underneath a hose guide collar located below the peg. The flagger observed the issue and immediately called for an all-stop. However, before the lift could be fully halted, the hose came under tension, resulting in damage to the outer sheathing.
The crew freed the hose from the guide collar and performed a thorough inspection. The damaged portion was identified, and the hose was safely lowered back to its designated storage peg on the west production deck.
     -No fuel was released into the water.
     -The hose did not rupture.
     -No personnel were injured.
     -No environmental impact occurred.
Property/equipment damage: $3,794 (replacement/repair of hose).</t>
  </si>
  <si>
    <t>Diesel fuel hose</t>
  </si>
  <si>
    <t>Hose / Fluid Transfer Equipment</t>
  </si>
  <si>
    <t>While performing a blind lift from the northwest Production Deck (NW PD deck), the banksman lost sight of the auxiliary line. The hook momentarily became wedged against a flange on the Heat Media tank exhaust before slack was pulled on the load. The load was then safely landed on the man deck. Upon inspection, the crew discovered the safety latch was bent and the top bolt had sheared off.
No personnel injuries occurred. Damage was limited to equipment, estimated at less than $25,000.</t>
  </si>
  <si>
    <t>Load from NW Production Deck (specific item not explicitly stated; likely equipment or process equipment)</t>
  </si>
  <si>
    <t xml:space="preserve">A crane incident occurred while maintenance personnel were repositioning the crane to gather measurements for replacement parts, the boom wire rope failed as the boom was being lowered into its cradle. At the time of failure, the boom was approximately three feet above the cradle, which caused the boom to freefall into the cradle. The resulting collision caused the lattice boom to buckle and bend nearly 90 degrees. Following the incident, the production crew established a danger area around the crane’s revolving structure and boom using caution and danger tape. </t>
  </si>
  <si>
    <t>Crane boom (being repositioned)</t>
  </si>
  <si>
    <t>A crane/material handling incident occurred on board a  Drill Ship. A crew was lifting a slick line unit with the #3 starboard side aft crane. The unit, which had been stored on the starboard side BOP setback platform, shifted slightly forward during the lift and contacted a secured stack of 5' x 12" x 12" wooden block sills positioned against the forward removable handrail. The impact caused stress to the handrail, leading one socket pin at the base to fail. The handrail swung open, resulting in two wooden sills falling approximately 8 feet onto an unoccupied structure below. No injuries were reported.</t>
  </si>
  <si>
    <t>Slick line unit</t>
  </si>
  <si>
    <t xml:space="preserve">A crane/material handling incident occurred during offloading operations from the M/V to the platform. The deck crew rigged a tote tank of Tri-Ethylene Glycol (TEG) with pre-slung slings and moved into their designated step-back zones. While the crane operator applied tension on the slings, one sling became caught beneath the lid of the tote tank, causing the lid to detach.
This was not considered a blind lift, and radio communication was maintained with the crane operator. The tote tank itself was not lifted off the vessel deck. Upon being informed of the issue, the crane operator was instructed to hoist down. The vessel crew, concerned about the integrity of the tote tank lid, declined to proceed with the offload. The load was unhooked, re-secured on the vessel deck, and later transported back to shore.The only reported damage was to the lid and retaining ring, with an estimated cost of $200. No injuries occurred.
</t>
  </si>
  <si>
    <t>Tote tank of Tri-Ethylene Glycol (TEG)</t>
  </si>
  <si>
    <t>A Contract Individual (CI) rigger attached 15' x 3/8" stainless steel slings to a gas buster stack pipe (approx. 4,000 lbs) and connected them to the auxiliary line of the South Crane. The CI Signalman confirmed all clear, and the crane operator began hoisting at slow speed. During the lift, a slight shift in weight was observed, and the rigger noticed the sling catching on a tank nameplate. The lift was immediately stopped before further damage or injury occurred. Inspection revealed the sling was damaged by an extruding placard on the side of the lower tank. No personnel injuries occurred.</t>
  </si>
  <si>
    <t>While using Crane #1 (Stbd Fwd, NOV 100T knuckle boom) to move a bulk barite hose to the boat for transfer, the belly of the moving hose caught the mud transfer hose that was hung off nearby. This contact caused the mud hose to become dislodged from its hang-off point, with the end containing the toto fitting draping downward toward the pump room porch on the starboard side. The hose end did not make contact with the deck as the middle portion remained secured with rope in the hose hanger.
No personnel were injured, and no equipment damage was reported. The hose was immediately re-secured. Operations continued without interruption.</t>
  </si>
  <si>
    <t>Bulk barite hose</t>
  </si>
  <si>
    <t xml:space="preserve">While offloading cargo from an Offshore Supply Vessel (OSV), platform personnel attempted to make a dynamic lift of approximately 8,000 pounds using the facility crane.
During the operation, the crane experienced a mechanical failure, resulting in significant damage to the crane and minor damage to the stern of the OSV. No personnel injuries occurred, and no marine debris was released into the water.
</t>
  </si>
  <si>
    <t>Human Error / Mechanical Failure / Equipment Component Failure</t>
  </si>
  <si>
    <t>Cargo (approx. 8,000 lbs)</t>
  </si>
  <si>
    <t>While backloading an 8' x 24' basket onto the motor vessel, the basket made contact with and bent the starboard aft exhaust flap. The crane operator was unaware of the contact, and the crew continued offloading and backloading operations. Rigging personnel on the vessel were using taglines to guide the basket. No personnel injuries occurred.</t>
  </si>
  <si>
    <t>8' x 24' basket</t>
  </si>
  <si>
    <t>During routine vessel offloading operations, the EI-237K 2-inch potable water hose caught the engine access door of a welding machine, causing the door to separate from its welded hinge supports.
Crane Specs: American Aero OM-450, 80’, S/N: 80067
Conditions: Winds W 5 kts, Seas calm, Visibility 10 nm clear, Temp 90°F, Current SW 0.5 kts
Vessel was in steady position utilizing Dynamic Positioning.
The crane operator stated the vessel rigger had walked astern to clear the area and then gave the hoist signal.</t>
  </si>
  <si>
    <t>Load Snag/Contact/Poor Planning</t>
  </si>
  <si>
    <t>2-inch potable water hose</t>
  </si>
  <si>
    <t>While lowering 4' by 8' steel plates to the west side of the Production Deck, the crane operator’s auxiliary line ball contacted a light fixture junction box located on the west side of the Drill Deck. The impact damaged a 90-degree fitting on the junction box. No personnel were injured, and the load was not damaged. The estimated cost to repair the light fixture junction box is less than $100.</t>
  </si>
  <si>
    <t>4' by 8' steel plates</t>
  </si>
  <si>
    <t>The crane operator began lifting the 2" water hose back to the platform. During the lift, the hose swung under the vessel’s stern horn. Despite the vessel captain issuing an “all stop” command, the hose parted before corrective action could be taken. No injuries were reported.</t>
  </si>
  <si>
    <t>2" water hose</t>
  </si>
  <si>
    <t>While performing crane operations, the crew was moving chemical tote tanks. During the lift, the rigger hooked up a tote tank, and as the crane operator began picking up the load, a corner of the tote became hooked into an adjacent tote. This lifted the second tote partially off the deck.
The rigger signaled the crane operator to stop, but the second tote overturned on the deck. The top of the tank came off, resulting in a chemical spill onto the deck.
Spill was immediately contained using absorbent pads.
Deck was solid, and no material went overboard.
Area was cleaned following containment.
No injuries occurred.</t>
  </si>
  <si>
    <t>Chemical tote tank</t>
  </si>
  <si>
    <t>The crane crew was staging a 4' x 8' basket on the northeast side of Deck 1. The designated landing area on this porch is limited, and an existing basket was already staged in the space. The Deck Safety Person (DSP) determined that the new basket could be landed adjacent to the existing one.
During the attempt to pull the load into place, the crew realized the basket could not clear the existing basket. The riggers relaxed their hold on two 20 ft taglines, which allowed the suspended basket to bump into a light fixture, breaking it at the collar. Secondary drops protection (wire netting) successfully caught the light fixture, preventing it from falling to the deck below.
Estimated cost of damage: &lt; $1,000 (materials and labor)
No personnel injuries occurred
No items were dropped due to secondary protection
Weather at the time: partly cloudy, winds NE 6–12 kts, seas 1–3 ft</t>
  </si>
  <si>
    <t>4' x 8' basket</t>
  </si>
  <si>
    <t xml:space="preserve">While the crew was lifting a scaffold basket from the field’s motor vessel, the load made contact with an aluminum gangway positioned on the vessel’s deck. The impact caused a handrail on the gangway to bend. No personnel were injured, and there was no pollution associated with the incident. The estimated cost of repairs is less than $1,000. </t>
  </si>
  <si>
    <t>Scaffold basket</t>
  </si>
  <si>
    <t>A crane operator, using the EBI C30-60 crane, inadvertently caught the heliport chain link skirting with the D-ring of the stinger while lowering a 4’ x 6’ methanol table from the upper deck to a lower deck. The contact caused a roughly 2-foot triangular section of the skirting to become unsecured as the tie straps securing it to the frame were broken. No personnel were injured, no dropped objects occurred, and the crane or heliport frame sustained no structural damage. The heliport remains in service. What Work Was Being Performed?
Operations involved moving and installing a 4’ x 6’ methanol table from the upper deck to the lower deck. While lowering the table, the D-ring of the crane’s stinger contacted the edge of the heliport chain link skirting, breaking the tie straps. The load was under control and operations ceased immediately once the skirting was damaged.</t>
  </si>
  <si>
    <t>4’ x 6’ methanol table</t>
  </si>
  <si>
    <t xml:space="preserve">During lifting operations, the crane crew prepared to move a bundle of drill pipe from the Tubular Feeding Machine (TFM) to the pipe deck. Slings were placed around both ends of the pipe bundle; however, one sling was unknowingly wrapped around the timing arm that controls the TFM holdback flaps.As the crane began the lift, the timing arm was pulled upward and bent. The rigging crew observed the issue, immediately called “all stop,” and the operation was secured. </t>
  </si>
  <si>
    <t>Bundle of drill pipe</t>
  </si>
  <si>
    <t>While moving doubles of 16" casing from the port forward pipe deck to the starboard side, the end of the lift contacted and struck a handrail on Kelly Bushing Centerline #3. The welds securing the handrail were damaged, though the pipe itself did not fall.
The damaged handrail section, approximately 2.5 feet in length, was later removed to eliminate drop potential. Barriers were in place, and no personnel were positioned beneath the suspended load or in the impact area.</t>
  </si>
  <si>
    <t>16" casing doubles</t>
  </si>
  <si>
    <t>During vessel backloading operations, a wooden crate placed diagonally in a basket became wedged. When the basket was lifted, the crate became unlodged and shifted, making contact with a contractor’s left hand, which was resting on the basket. The contractor was wearing impact gloves at the time and sustained a superficial abrasion to the left pinky finger. No medical treatment was required. No damage occurred to the facility or equipment.</t>
  </si>
  <si>
    <t>Wooden crate</t>
  </si>
  <si>
    <t>The Auxiliary Drill Crew was engaged in running 28" casing in open water. The sixth joint of casing had been made up into the string. The junior driller was lowering the string to be set in the slips on the rotary and filled with seawater.
The casing supervisor observed that the slips were not setting correctly around the casing joint and instructed the driller to fill the casing with seawater at its current position. As this was done, the casing string shifted off its vertical position: the box end moved forward of the rotary and the pin end moved aft. This positional shift altered the elevators’ alignment on the bails, applying additional force to a roller guide, which broke free from its mounted position.
The roller guide was secured with secondary retention, preventing it from becoming a dropped object. The JBD (Job-Based Discussion) for the task prevented personnel from entering the red zone while the pipe was moving, so no injuries occurred. The casing was then filled with seawater and properly set in the slips.
Estimated cost of damage: $500 (roller guide replacement)
Personnel Injuries: None
Environmental Impact: None
Weather: Winds NW 10 kts, Seas 4–5 ft, Temp 85°F, Visibility 10 nm, clear and sunny</t>
  </si>
  <si>
    <t>28" casing</t>
  </si>
  <si>
    <t>Combination of Elevators, bails, and roller guide</t>
  </si>
  <si>
    <t>At approximately 16:20, the crane crew was utilizing the West Crane to lift a UHP Unit from the lower deck through the west hatch up to the main deck. During the lift, the load struck a platform light, causing minor damage. The light remained affixed to the structure.
Estimated cost to replace the light: $1,500
No damage occurred to the crane.
No personnel were injured.
Weather at the time: 12–14 kt winds, 3–5 ft seas</t>
  </si>
  <si>
    <t>UHP Unit</t>
  </si>
  <si>
    <t>At 09:00 hrs on September 15, 2025, the ROV crew was recovering the vessel’s ROV following a routine BOP and riser inspection. During recovery, the wire rope from a secondary winch connected to the cursor parted at the eye of the wire rope.The parted end of the wire rope remained attached to the winch.
-No personnel were in the immediate area at the time of the incident.
-No items were dropped or lost overboard.
-No injuries occurred.</t>
  </si>
  <si>
    <t xml:space="preserve">Maintenance Issue/Material Handling/Rigging Equipment Failure/ Environmental factors </t>
  </si>
  <si>
    <t>ROV (Remotely Operated Vehicle)</t>
  </si>
  <si>
    <t>secondary winch</t>
  </si>
  <si>
    <t>On September 15, 2025,  a crew was staging 20-foot sections of 6-inch (Schedule 80) pipe for installation on the sump deck beneath the cellar deck. The task involved using two chain hoists and a tugger in a “handshake” method to maneuver the pipe horizontally onto scaffolding.
During the process, the affected individual’s (AI) right index finger was caught between a 150-class flange on the pipe and a diagonal structural member of the platform. The AI sustained a fingertip laceration and tuft fracture of the distal phalanx. Immediate first aid was administered, and the AI was evacuated for medical evaluation and treatment.
No property damage or environmental impact occurred.</t>
  </si>
  <si>
    <t>20-foot sections of 6-inch (Schedule 80) pipe</t>
  </si>
  <si>
    <t>Material handling / Horizontal pipe staging (using chain hoists and tugger)</t>
  </si>
  <si>
    <t>On September 17, 2025,  a ½-inch x 3-foot sling parted while attempting to lift a transfer hose from the manifold hang-off peg. As the crane operator raised the hook, the horn of the hose hanger became caught on the underside of the hang-off peg. The resulting tension caused the sling to fail.
No taglines were in use, and the lift was considered a blind lift. An all stop was immediately called, and the crane was lowered safely. The failed sling was removed and replaced with a new sling.</t>
  </si>
  <si>
    <t>Transfer hose</t>
  </si>
  <si>
    <t>A 4 ft x 12 ft basket was being landed on the pipe deck. During the maneuver, the basket contacted a rental pneumatic pump (serial # CPR 82362), causing damage to the pump’s hose attachment port.
Per drilling contractor policy, no taglines were in use during the lift. The connection point for the hoses extends beyond the frame of the pump skid and was positioned on the opposite side of the pump, out of view of the banksman. As the basket was lowered, it struck and damaged the protruding hose connection.
The banksman and rigger notified the crane operator immediately after the basket was landed. The job was stopped, and rig management and the vendor were notified.
Estimated cost of replacement pump: $8,000 (maximum).
Personnel Injuries: None.
Weather at time of incident: Winds 10–12 kts from 093°; Temperature 92°F.</t>
  </si>
  <si>
    <t>4 ft x 12 ft basket</t>
  </si>
  <si>
    <t>During offloading operations from a supply vessel, a chemical tote was being maneuvered into its designated storage area onboard the facility. While positioning the load, wind conditions caused the tagline to swing into contact with a facility-mounted light fixture. The tagline wrapped around the fixture and was pulled taut, damaging the light bracket.
The light fixture remained secured by secondary retention, preventing a dropped object. In accordance with the approved lift plan, no personnel were in proximity to the suspended load at the time of the incident.
Estimated cost of damage: $978 (light fixture repair)
Personnel Injuries: None
Dropped Objects: None (secondary retention effective)</t>
  </si>
  <si>
    <t>While setting up for a static auxiliary line lift on the pipe deck, the crane operator noticed that the boom would not respond when attempting to boom up. To troubleshoot, the operator boomed down, causing the boom to lower unexpectedly. After three attempts, full control of the boom was regained, and the crane was secured without incident. There was no damage to the crane, platform, or equipment. Crane mechanics were dispatched to inspect and resolve the issue.</t>
  </si>
  <si>
    <t>Static Auxiliary Line (pre-lift setup)</t>
  </si>
  <si>
    <t>During offloading operations at the offshore facility, the Marine Vessel crane operator added a 2-inch water hose lift to the lift plan. While lifting the hose from the platform to the vessel, the loose end became entangled with a diesel hose. A rigger attempted to untangle the hose but did not notice that the portion secured to the handrail with manila rope was tightening. Due to age, wear, and tension, the hose parted. Both ends remained secured on the facility. No personnel were injured, and no items were lost overboard. The replacement cost for the damaged hose was $1,485.</t>
  </si>
  <si>
    <t>2-inch water hose</t>
  </si>
  <si>
    <t>On September 22, 2025,  a crane operator was unloading an offshore supply vessel when the D-rings of a cargo basket became tangled at the stinger. The operator attempted to lower the basket back onto the vessel’s deck; during this maneuver, the basket contacted a bulk hose that had been laid out on deck but was not in use. The hose sustained visible damage. Boat crew immediately reported the incident to the vessel captain, who notified theofshore facility. The damaged hose required replacement at a cost of $2,100.</t>
  </si>
  <si>
    <t>Cargo/Basket</t>
  </si>
  <si>
    <t>While lifting a Weatherford toolbox positioned between a tool basket and an MPT tank, the toolbox caught on the latch handle of the adjacent tool basket. The Banksman immediately noticed the snag and instructed the crane operator to set the load back down. The lift was safely stopped without further incident. However, the latch handle of the adjacent tool basket sustained damage.</t>
  </si>
  <si>
    <t>Weatherford toolbox</t>
  </si>
  <si>
    <t>During riser run operations, the Driller installed the Riser Running Tool (RRT) into the #4 Slick Joint to be run. The Riser Cat Walk (RCW) operator communicated that the RCW was in “Free Wheel,” and the Driller verified this on the SDI screen before hoisting the Slick Joint. Approximately 5 feet into the lift, the pin end of the Slick Joint pulled out of the RCW bucket and fell onto the RCW bed. The joint was lifted and repositioned into the RCW bucket. Subsea inspection revealed scarring on the booster and conduit stabs of the joint. The decision was made to swap the damaged joint with a spare from Riser Bay. No personnel were injured, and there was no further equipment damage.</t>
  </si>
  <si>
    <t>#4 Slick Joint</t>
  </si>
  <si>
    <t>Riser Running Tool (RRT), used in combination with the Riser Catwalk (RCW) system</t>
  </si>
  <si>
    <t>While test fitting a flange on the MB-22 wellhead in the well bay, the crew used the gantry crane to lift the flange to the +50 deck. The flange was initially resting on the mounting bolts, and during lifting it tilted and hung on the bolts. The worker at the wellhead directed the signal person to stop the lift via radio. Although the crane operator released the controller button, the hoist motor coasted due to inertia, causing the sling to part. The sling was properly rated and certified. Damage was limited to the sling (replacement cost $421). There were no injuries or dropped objects.</t>
  </si>
  <si>
    <t>Flange (for MB-22 wellhead)</t>
  </si>
  <si>
    <t xml:space="preserve">While offloading an extension ladder from the MV Haden to the LB Brazos, the lower half of the ladder disengaged from the track and fell approximately 2 feet onto the MV Haden deck. No personnel were injured, and no one was in the cone of exposure per the lift plan. There was no property damage. Following a safety standdown, the ladder was safely lifted onto the facility. </t>
  </si>
  <si>
    <t>Extension ladder</t>
  </si>
  <si>
    <t>N/.A</t>
  </si>
  <si>
    <t>At approximately 1:00 a.m. on September 25, 2025, while offloading an extension ladder from the M/V Haden to the L/B Brazos, the lower section of the extension ladder disengaged from its track and dropped approximately 2 feet onto the deck of the M/V Haden. No personnel were injured, and no personnel were within the cone of exposure as identified in the lift plan. No property damage was reported.
Following the incident, a safety standdown was conducted. The equipment was subsequently secured and safely lifted from the vessel onto the facility. The incident was orally reported to BSEE Well Operations at approximately 3:15 a.m., with a follow-up email notification provided.
The investigation determined that the lower section of the ladder had not been properly secured prior to transit to the location. Corrective actions include requiring riggers to inspect and verify that loads, particularly unusual or non-routine loads, are secured and free from dropped-object potential before lifting or transport. The vendor will also redesign the ladder extension by replacing the chain hooks with carabiner-style pins, adding additional holes for adjustable height, and drilling holes in the securing pins to accommodate a cotter key or diaper pin for additional retention.</t>
  </si>
  <si>
    <t xml:space="preserve">Extension ladder </t>
  </si>
  <si>
    <t>While performing the third lift from a boat to the structure, the crane operator heard a loud pop and immediately activated the crane ESD, shutting down the crane. Inspection revealed that an engine rod had busted through the engine block, leaving the load suspended approximately 20 feet above the platform deck. An all-stop was called, the area under the load was barricaded, and all platform personnel were notified to avoid the hazard.</t>
  </si>
  <si>
    <t>Engine</t>
  </si>
  <si>
    <t>While offloading a generator from a supply vessel, the generator rotated and struck the steel bumper on the port side. The impact caused dents to the generator enclosure. The damage was evaluated and determined to be cosmetic only, with no repair costs required.</t>
  </si>
  <si>
    <t>The crane operator was using the north Seatrax crane to move an empty 550-gallon tote tank from the northwest top of the column. During the lift, the tote tank made contact with the corner of a speaker angle-iron bracket, resulting in damage to the speaker bracket, speaker housing, and bending of the angle iron.
The speaker cable remained undamaged, and no personnel injuries occurred.
The estimated cost of material replacement is approximately $850.
A safety stand down was conducted at the 12:00 PM noon meeting, where the event was reviewed and safe-lifting protocols were reinforced with the crew.</t>
  </si>
  <si>
    <t>550-gallon tote tank (empty)</t>
  </si>
  <si>
    <t>While racking back a short BHA stand in 2-arm mode using the auxiliary racker, the lift sub at the top of the short BHA stand contacted the upper pipe pusher. This impact caused bending of the cylinders on the upper pipe pusher. No dropped objects occurred, and the red zone was clear by design. Estimated damage cost is less than $5,000.</t>
  </si>
  <si>
    <t>Short BHA stand</t>
  </si>
  <si>
    <t>Auxiliary racker (pipe-handling equipment)</t>
  </si>
  <si>
    <t xml:space="preserve">A routine lifting operation was conducted involving a Danos crane operator, two GIS riggers, and the Seatrax Lifting Authority. After safely transferring a welding machine from the supply vessel to the main deck using the West crane, the crew removed the four-part sling from the crane hook and set it on the deck grating to unhook the welding machine.
The sling and taglines were then reattached to the empty crane hook in preparation for the next lift. During the cable-up sequence, one of the sling hooks became lodged in the deck grating. The crane operator continued to cable up until resistance was noticed, but before the crew could initiate an all-stop, the hook tore free, causing minor damage to the sling hook. No personnel were injured. Estimated damage totaled $100. </t>
  </si>
  <si>
    <t>Four-part sling (empty rigging assembly)</t>
  </si>
  <si>
    <t>While lifting a portable tank using the facility’s East Crane, the load accidentally struck a deck light fixture, causing the fixture to fall to the deck. There were no injuries, no dropped objects other than the fixture, and no damage to the crane, rigging, or load. Estimated damage to the light fixture is approximately $3,600.</t>
  </si>
  <si>
    <t>Portable Tank</t>
  </si>
  <si>
    <t xml:space="preserve">At approximately 10:00 AM on 10/2/2025, the drill crew was building 5 7/8" slick stands offline on the Auxiliary Well Center. After completing a triple Range 3 stand, the stand was being lowered into the rotary sock to torque the lift sub on top. During this process, the bottom of the stand contacted the bottom of the rotary sock, causing the elevators to slide down and contact the bottom of the lift sub. This resulted in the stand pushing into the side of the rotary and bending a joint of 5 7/8" pipe. No personnel were in the red zone, and no dropped objects occurred. Estimated damage cost is approximately $2,500 USD. </t>
  </si>
  <si>
    <t>Human Error / Load Snag or Contact / Lift Off Center</t>
  </si>
  <si>
    <t>5 7/8" slick drill pipe stand (Range 3)</t>
  </si>
  <si>
    <t>Elevators</t>
  </si>
  <si>
    <t>The crane crew was in the process of transferring the 500-ton bail to the lower rack on the pipe deck using 30-foot slings attached to the gripper head on Crane #1. During the lowering process, the bottom of the gripper inadvertently contacted the handrail of the gripper cradle, resulting in damage to the handrail. The estimated cost of repair is $500.
The lift was not blind, and both radio and hand-signal communication were in use throughout the operation. TOI procedures do not require the use of tag lines for this task, and their use would have required a formal risk assessment.
Upon contact, an all-stop was immediately initiated and the Area Authority was notified. The affected area was barricaded, and the gripper head on Crane #1 was inspected for damage. All personnel were positioned in designated “safe step-back areas” in accordance with the Job by Design procedures, preventing any potential injury.A safety stand-down was conducted with the crane crew to reinforce situational awareness and communication expectations.</t>
  </si>
  <si>
    <t>Load Snag or Contact / Rigging Equipment Failure / Environmental Factors</t>
  </si>
  <si>
    <t>500-Ton Bail</t>
  </si>
  <si>
    <t>On October 5, 2025, at approximately 03:15 AM, a crane operator was moving a 6' x 6' cargo box from the upper cooler deck using the north Seatrax crane when the load contacted a fiberglass fire extinguisher box. As the lift began, the cargo box shifted due to the headache ball not being centered over the load, resulting in a secondary strike to the fire extinguisher box and causing minor damage. No personnel were injured, and the estimated replacement cost is $350. A safety stand down was conducted with the crew immediately afterward to review the event and reinforce proper lifting protocols.</t>
  </si>
  <si>
    <t>6' x 6' cargo box</t>
  </si>
  <si>
    <t>At approximately 01:20 hours, damage occurred to the small hatch cover of a cuttings box during lifting operations. As the crane took the weight of the load, the banksman observed that a sling had become trapped beneath the hatch and instructed the crane operator to stop; however, damage had already occurred by the time the lift was halted. Operations were immediately suspended and supervisors notified. Weather conditions contributed to operational difficulty, with 20–25 knot winds from the south, a ship’s heading of 295°, and a rough sea state with 4–6 ft waves. The incident was initially reported via eWell at 04:35 hours with planned follow-up via after-hours notification around 07:00 hours. Subsequent assessment determined the estimated damage to be approximately $200 USD.</t>
  </si>
  <si>
    <t>Cuttings Box (with small hatch cover)</t>
  </si>
  <si>
    <t>On October 8, 2025, at approximately 1745 hours, the deck crew was in the process of removing an empty 4 ft. x 4 ft. open-top basket from the sack room located below deck using Crane #4 (Port Forward). The basket was being hoisted vertically through the hatch opening toward the main deck.
During the lifting operation, a corner of the basket contacted a support beam on the sack room hatch lid. This contact caused one of the four 1/2-inch lifting slings to fail. Following the sling failure, the crane operator maintained control of the load, and the basket was carefully lowered back to the deck without further incident.
No personnel were positioned in the red zone at the time of the event, and no dropped objects occurred.The damaged sling was removed from service. The estimated replacement cost for the sling was approximately $1,650.</t>
  </si>
  <si>
    <t>Load Snag or Contact / Rigging Equipment Failure</t>
  </si>
  <si>
    <t>4' x 4' open-top basket.</t>
  </si>
  <si>
    <t>On October 8, 2025, at approximately 1150 hours, Crane #1 was undergoing a routine hook hoist limit test prior to shutdown. The crane operator was performing pre-lift checks while the crane was being removed from the cradle. No cargo handling operations were in progress at the time, and therefore no JSA was in place.
After the hoist limit was activated, the operator observed that the hook continued to travel upward beyond the intended limit. The operator attempted to lower the hook; however, the hook continued moving upward, indicating a malfunction of the hoist limit control.
The operator immediately activated the emergency shutdown system. During the emergency shutdown sequence, the headache ball contacted the cheek plate. All crane operations were subsequently secured, and the emergency release on the crane hook was activated to remove any remaining load.
The crane was placed out of service, and shoreside technical support was consulted to develop a troubleshooting and inspection plan. A comprehensive inspection was initiated to identify the cause of the anomaly.
No personnel injuries or dropped objects occurred as a result of this event. No cargo was involved in the operation. Minor damage was identified to the crane sheave, with an estimated replacement cost of approximately $4,000.</t>
  </si>
  <si>
    <t>On 10/09/2025 at approximately 16:00 hours, while offloading the motor vessel, a cutting box being handled during material transfer made unintended contact with a rental generator located on the deck of the vessel. The impact damaged the fire suppression handle, causing the generator’s CO₂ system to discharge. No personnel were in the line of fire, and no injuries occurred. The only damage was to the generator’s suppression system. The generator will remain onboard the vessel and be returned to shore for repair.</t>
  </si>
  <si>
    <t>cutting box</t>
  </si>
  <si>
    <t xml:space="preserve">On 10/11/2025, a lifting operation was conducted using the South Crane (Model 500H, 38,400 lb capacity, 80 ft boom) to pick up an 8' x 20' cargo basket weighing 8,000 lbs from the aft section of the M/V, positioned on the southwest side of the platform with its bow facing south. As the basket was hoisted, the load swung aft and struck a handrail on the vessel’s stairway accessing the swing deck, causing a slight bend. No personnel were injured, and the basket remained under control. The vessel crew manually straightened the handrail, and the M/V owner reported a damage value of $0.00 with no repairs required.
Taglines were used and the rigger was properly positioned holding the tagline. Weather conditions were favorable: 88°F, clear visibility 8–10 miles, seas 3–4 ft, winds 10–15 kts from the southwest, current 3 kt SW. The crane operator did not initially report the contact, and the M/V departed the location without notifying platform personnel of the damage. </t>
  </si>
  <si>
    <t>8' x 20' cargo basket</t>
  </si>
  <si>
    <t>During completions operations, a drillship recovered the subsea beacon basket to the surface using the port-forward NOV knuckle-boom subsea crane. After landing the basket on the pipe deck, crew members observed that a section of the beacon storage rack was missing. The missing component consisted of two aluminum box-frame support arms forming the right-hand side of the rack. CCTV footage later showed the crane line and basket swaying significantly under subsea current influence during recovery. The separated aluminum section was not visible during recovery, indicating the structural failure occurred subsea, and the broken section fell to the seafloor. No injuries occurred, and no TOI/BP HSE report was generated for this event.</t>
  </si>
  <si>
    <t>Subsea beacon basket (with integrated storage rack)</t>
  </si>
  <si>
    <t xml:space="preserve">At approximately 04:00 hours, during a routine backloading operation, a 40-foot basket was being transferred from the platform to a supply vessel. During the lift, the load made unintended contact with the exhaust stack located on top of the gas buster. The impact caused minor damage to the exhaust stack; however, the welds remained intact, and no components were dislodged. There were no dropped objects or injuries to personnel as a result of the incident. </t>
  </si>
  <si>
    <t>40-foot Basket</t>
  </si>
  <si>
    <t>On October 14, 2025 at approximately 0500 hours, the starboard forward Crane Operator was instructed by the Rig Floor to move a sub. While booming down to the second bay, the Crane Operator was focused on his camera system. When he looked up, he realized the boom had contacted the Riser Gantry Crane J-Box Guard.
No personnel were in the line of fire, and no dropped objects occurred. The job was immediately stopped, and the DF, TP, WSL, OIM, and Sr. RSA were notified.
Damage was minimal—under $500—and the rig crew replaced the angle-iron guard frame using onboard materials.</t>
  </si>
  <si>
    <t>Sub (substructure / sub component)</t>
  </si>
  <si>
    <t>Rig Equipment</t>
  </si>
  <si>
    <t>At approximately 0830 hours, the BOP crane made contact with a manual handling tool installed on top of the BOP while being moved for equipment installation. The tool became wedged under the crane frame. No dropped objects or loss of primary containment occurred. Estimated damage is ~$1,500 USD.</t>
  </si>
  <si>
    <t>Tool</t>
  </si>
  <si>
    <t>During vessel offloading operations on the platform, the auxiliary jib extension of the American Aero G-20-HD crane sustained damage. The incident occurred while using the auxiliary line to hoist equipment. Upon inspection, it was determined that the auxiliary jib extension had been overloaded, resulting in structural damage that rendered both the extension and the auxiliary line inoperable. Both components were immediately taken out of service and scheduled for replacement.
There were no injuries to personnel and no environmental impacts as a result of the incident.</t>
  </si>
  <si>
    <t>On October 16, 2025, at approximately 0230 hours, crane operations were being conducted on the west side wing deck of the wellhead deck in support of completion activities for Well MB019. During the operation, frac iron was being lifted from the frac hanger using a crane under the supervision of the crane operator, with the lead roustabout operating the controls.
Due to the presence of a porch structure above the load, the crane was unable to position directly over the lift point, resulting in limited clearance and restricted visibility. The lift was classified as a blind lift, and taglines were in use to assist with load control. A designated banksman was providing guidance throughout the operation.
As the crane was slowly hoisted, a support beam associated with the frac iron made contact with a nearby light fixture. The contact caused the light globe to break. The light was equipped with secondary retention and protective netting, which prevented any components from falling. The light housing remained undamaged.
The crane operator maintained control of the load, and the frac iron was safely repositioned and landed without further incident. No personnel injuries occurred, and no dropped objects were reported. Environmental conditions were favorable, with no excessive wind or sea state at the time of the operation.
The damaged light globe was removed from service. The estimated cost of replacement was approximately $250. The incident was reported, and a safety stand-down was conducted with the involved personnel.</t>
  </si>
  <si>
    <t>frac iron</t>
  </si>
  <si>
    <t>During a routine personnel transfer from the M/V to the  facility using the East Crane, the personnel basket made unintended contact with the vessel’s stern bulwark. Immediately upon liftoff from the vessel deck, the basket swung toward the starboard stern due to vessel movement and contacted the top rail of the bulwark.
One individual onboard the basket made contact with the bulwark during the swing. The crane operator immediately lowered the basket back to the vessel deck, and all personnel disembarked. After recentralizing the empty basket, the transfer was safely completed.
The impacted individual (IP) reported soreness and was evaluated by the Salamanca medic. The assessment revealed a bruise on the back left shoulder with no restricted movement. No treatment was required, and the IP will continue to be monitored. (Actual travel direction was M/V to facility)</t>
  </si>
  <si>
    <t xml:space="preserve">While positioning the crane boom into its designated rest on the lift-boat Vanessa, the crane operator inadvertently set the boom down on the left-side frame/guide. This misalignment caused the boom to make contact with the inner post of the boom rest, resulting in damage to the grating, a lattice cross member of the boom, and the boom rest itself.
Upon recognizing the issue, the operator ceased movement and requested a crew member to inspect the situation. The inspection confirmed that the inner post had entered the lattice structure of the boom. The operator then carefully lifted the boom off the post and successfully repositioned it into the correct resting position. The incident was immediately reported to the Person in Charge (PIC), and an investigation was initiated.         </t>
  </si>
  <si>
    <t>Crane boom being positioned into its rest</t>
  </si>
  <si>
    <t>On 19 October 2025 at approximately 13:40 hours, a man overboard incident occurred on a TLP while a worker was performing painting activities on the NE Hull Column near the waterline using a spider basket. During the operation, the spider basket experienced an equipment failure and slowly descended approximately five feet into the water, resulting in the worker entering the water.
Nearby personnel immediately initiated the Incident Command System (ICS) response and notified platform leadership. The onsite rescue team promptly recovered the worker. The worker self-ambulated to the medic and was evaluated, with no injuries or illness reported. As a precaution, the worker was sent the following day for additional medical evaluation, which was classified as a medical evacuation.</t>
  </si>
  <si>
    <t>Personnel Basket
(Spider basket used for working over water)</t>
  </si>
  <si>
    <t>hoisting system</t>
  </si>
  <si>
    <t xml:space="preserve">During routine operations to lower the Elmer into its designated resting position on Rig 9, the crew utilized the North Crane and a nylon sling for the lift. As the Elmer was being lowered, the nylon sling began to slide upward along the body of the Elmer. This unanticipated movement caused the sling to become misaligned and ultimately severed.
As a result of the sling failure, the Elmer dropped uncontrolled into its resting position on the mast, causing impact-related damage to the component. No personnel were injured, and no environmental release occurred.  </t>
  </si>
  <si>
    <t>Elmer component</t>
  </si>
  <si>
    <t>While lowering an out-of-service tow bridle onto the deck of the M/V Caribou, one of the end caps on a tri-plate bridle separated. Two metal components fell approximately 10 feet to the deck. At the time, deckhands were actively coiling tow ropes nearby.
---The first piece, weighing 23.2 lbs, landed approximately 5 feet from a deckhand.
---The second piece, weighing 26.2 lbs, landed approximately 3 feet from another deckhand.
Despite the close proximity to personnel, no injuries or equipment damage occurred. The lift was safely completed, and crane operations were immediately suspended pending investigation. A DROPS Calculator assessment classified both falling objects as having “Fatality” potential due to their weight and drop height.</t>
  </si>
  <si>
    <t>Tow bridle component</t>
  </si>
  <si>
    <t>On October 23, 2025, at approximately 1300 hours, the Forward crew was conducting a routine blind lift using a crane in the Upper Utilities Module. The crane was rigged to a drum rack, which had been lowered to approximately one foot above the deck. The crane was stopped to allow riggers to use taglines for final positioning of the load.
During this adjustment, a rigger pulled on a tagline, causing the drum rack to swing unexpectedly. As a result, the load made contact with the Shunt Trip switch box for the Cardamom MCC, causing physical damage to the box housing. Fortunately, the shunt trip button was not activated, and no electrical trip or interruption occurred.
All necessary repairs were completed on October 26, 2025.</t>
  </si>
  <si>
    <t>The drilling crane operator was positioning the 40-foot I-beam for placement on the southside of the DD 202 Pick Rack. After determining the crane could not boom up high enough to properly land the beam in the intended location, the operator began swinging the load back to the east.
As the load was lifted above a 15-foot light pole on the southeast side of the pipe rack, the crane operator stopped cabling up. At this point, the nylon slings unexpectedly slipped approximately 3 feet inward on the beam, causing damage to one of the slings.
The load was safely landed on deck without further incident. Personnel were positioned approximately 10 feet from the load at the time of the sling failure.</t>
  </si>
  <si>
    <t>40-ft I-beam.</t>
  </si>
  <si>
    <t>On 10/24/2025, the crane crew was transferring the 500-ton bail to the lower rack on the pipe deck using 30 ft. slings attached to the gripper head. As the load was being lowered into the rack, the bottom of the gripper inadvertently contacted the handrail of the gripper cradle, resulting in damage to the handrail. Estimated repair cost is $500.
The lift was not blind, and both radio and hand-signal communication were in use. TOI procedures do not require taglines for this task; the use of taglines would have required a formal risk assessment. Upon contact, an all-stop was initiated and the Area Authority was notified. The area was barricaded, and the gripper head on Crane #1 was inspected for damage. All personnel were properly positioned in designated “safe step-back areas” per TOI Job by Design, preventing any risk to personnel. A safety stand-down was conducted with the crane crew to reinforce situational awareness and communication practices.</t>
  </si>
  <si>
    <t>500-ton bail and gripper head associated with subsea/wellhead operations</t>
  </si>
  <si>
    <t>During offloading of a toolbox from the crew boat, a heave caused slack in the rigging to catch one of the toolbox lid handles. One side of the handle partially broke from the lid, but the handle did not detach completely.
An “All Stop” was called immediately, and a visual inspection of the toolbox and rigging was conducted. No additional damage was observed, and the lift was safely completed onboard the platform.
The toolbox belonged to Non-Explosive Oilfield Products (NEO), a Shell third-party contractor. The estimated cost of repair is less than $500.
At the time of the incident, taglines were attached but not actively managed by vessel riggers, who typically attach taglines and then move to a safe area. Communication with the crane operator was maintained via VHF radio. The lift was not blind; the operator had a clear view of the load.</t>
  </si>
  <si>
    <t>During the installation of a new cable tray, a structural support was being lifted using 4/1 rope. While maneuvering the support, it contacted the sight glass on ILST-141, causing a minor crack. The sight glass is a visual interface level gauge for the free water knockout and contains no liquids or pressure. Damage is estimated to be below the $25k reporting threshold.No equipment or facility shutdown was required.Estimated replacement cost is approximately $1,000.</t>
  </si>
  <si>
    <t>Cable tray support</t>
  </si>
  <si>
    <t>Rigging Equipment / Lifting Device – Rope</t>
  </si>
  <si>
    <t>The crew was in the process of replacing a Coriolis meter on the MPD (Managed Pressure Drilling) tower located in the moonpool area. Using the Christmas Tree crane, personnel were moving the Coriolis meter from its storage crate to the MPD tower. The meter, which is U-shaped with approximate dimensions of 3 feet by 4 feet and weighing 635 pounds, was being lifted when the load unexpectedly shifted during the transfer. As a result of the shift, the flag end of the meter contacted the deck surface, causing a dent to the equipment body. Throughout the incident, the weight of the meter remained fully supported by the crane at all times, and there was no dropped object or uncontrolled descent. No personnel were injured during the incident.</t>
  </si>
  <si>
    <t>Coriolis meter, 635 lbs.</t>
  </si>
  <si>
    <t>On 10/25/2025 at approximately 15:55, an aluminum gangway handrail was damaged when contacted by an 8 ft. x 24 ft. cargo basket being backloaded to the Motor Vessel. The cargo basket was being lowered with two personnel on taglines and a flagger guiding the crane operator. Slight movement of the workboat caused the basket to contact the gangway handrail. All personnel were in proper positions, and no injuries occurred. Damage to the handrail is estimated at $500. The job was stopped, the area secured, and the load and gangway assessed for further damage or potential dropped objects</t>
  </si>
  <si>
    <t>8 ft. × 24 ft. cargo basket</t>
  </si>
  <si>
    <t>During a routine lifting operation, the crane operator lowered the boom while a spotter was positioned beneath the E Crane. As the boom lowered, the tugger winch at the base of the crane contacted the top of the hose reel roller guide, causing a minor bend. The hose reel remains functional, and repairs can be completed on site without affecting operational capacity. Total estimated repair cost is $200. A safety stand-down was conducted with the crane crew following the incident.</t>
  </si>
  <si>
    <t>Crane Boom Contact or Failure / Crane Operator</t>
  </si>
  <si>
    <t>No Load / Crane Component
(Boom positioning with no suspended load.)</t>
  </si>
  <si>
    <t xml:space="preserve">On 10/27/2025 at approximately 0110, Crane #4 was moving an HPR beacon from the ROV cage to the deck. While swinging the beacon over the side, the clump weight (180 lbs.) fell approximately 38 feet into the sea due to apparent failure of an eye bolt on the clump weight bridle. No personnel were injured. The job was stopped, and the area was secured immediately. The Argos platform was notified via the DP room. The clump weight was subsequently recovered. </t>
  </si>
  <si>
    <t>HPR beacon and associated subsea equipment</t>
  </si>
  <si>
    <t xml:space="preserve">On the morning of October 28, 2025, the P-550C slops pump was being backloaded from the facility onto the cargo vessel using crane operations. As the pump was being lowered, a swell caused the vessel deck to rise unexpectedly, bringing the deck into contact with the suspended load.
This upward movement caused the slops pump to bump into the hydraulic directional control valve handle on a rental spooler located on the vessel deck. The pump landed prematurely, and the impact resulted in the spooler handle being bent. The slops pump itself sustained no damage, and no injuries or environmental impacts occurred.                                                                                            Damage: Bent hydraulic directional control valve handle on rental spooler                                                 Weather Conditions:
Winds: 7 knots
Swells: 6'–8' with rolling swells of 12'–14'
Sky: Clear                                                                                              </t>
  </si>
  <si>
    <t>P-550C slops pump</t>
  </si>
  <si>
    <t xml:space="preserve">On October 28, 2025, at approximately 1115 hours, crane operations were being conducted on EC 328 B to remove the final hose section from a rental submersible fire water pump. During the lift, the platform crane was used to hoist a 4-inch hose section equipped with a flange.
While the load was being raised, the flange became snagged on either the handrail kickplate or a nearby platform identification sign. The handrail involved was a removable, socket-style system. As the load continued upward, the handrail pins disengaged from their sockets, causing two connected sections of handrail, along with the attached platform sign secured by U-bolts, to become dislodged.
The handrail sections and platform sign subsequently fell overboard and could not be recovered. A stop work was immediately initiated, and personnel were removed from the area. A Working from Heights checklist and permit were completed prior to re-entering the area. A temporary barricade was installed to secure the affected location until replacement handrails could be obtained and installed.
A second platform identification sign on the opposite side of the platform remained in place, ensuring continued compliance with regulatory facility identification requirements.
No personnel injuries were reported. The estimated replacement cost for the lost handrails and platform sign is approximately $2,500. </t>
  </si>
  <si>
    <t>4-inch fire water pump hose section</t>
  </si>
  <si>
    <t>While moving the Tubing Head Spool’s transport plate from the pipe deck to the main deck, the plate made contact with a handrail. The operation was immediately stopped, and rig management was notified.
Investigation revealed slight damage to the expanded metal on the handrail, which serves as DROPS netting. No personnel were injured, and no DROPS events occurred. The operation was conducted without taglines, in accordance with contractor policy. Communication with the crane operator was maintained via radio.
The estimated cost to repair the handrail damage is approximately $750.</t>
  </si>
  <si>
    <t>Tubing Head Spool Transport Plate</t>
  </si>
  <si>
    <t xml:space="preserve">During offloading operations from the M/V, a 15,500-pound accumulator swung unexpectedly toward the port-side cargo railing. The load made contact with the railing, resulting in minor structural damage, specifically cracking at the weld points. The accumulator itself was not damaged, and the lift was completed without further incident or injury.        </t>
  </si>
  <si>
    <t>15,500-lb accumulator</t>
  </si>
  <si>
    <t xml:space="preserve">During routine offloading operations from the M/V to the platform, a rental air conditioning (A/C) unit was being lifted using the east crane. The unit, measuring 7' W x 11' L x 8' H and weighing approximately 6,000 lbs, was rigged with a 0.5-inch x 14-foot 4-part sling.  As the unit was being hoisted, the lifting slings made contact with the fan guards located on top of the A/C unit. This resulted in minor damage to the guards. No personnel were injured, and the crane operation was completed without further incident.     </t>
  </si>
  <si>
    <t>Rental air conditioning unit</t>
  </si>
  <si>
    <t>During offloading operations from the motor vesel, a 6x6 basket containing a seawater lift pump motor for GOO was rigged and lifted to the Spar. During hoisting, leftover rigging inside the basket became hung up, requiring the crane operator to stop and then continue the lift once cleared. After landing the basket on the Spar, the crane operator requested a contents check, which revealed that the seawater lift pump temperature probe had been inadvertently pulled from the motor during the lift. Damage was below the $25,000 reporting threshold.</t>
  </si>
  <si>
    <t>6x6 basket containing seawater lift pump motor</t>
  </si>
  <si>
    <t>On November 2, 2025, at approximately 9:30 AM, a crane operator was lifting a 4x4 aluminum UPCS box from the M/V as part of routine material handling operations. During the hoisting process, the load made contact with the UPCS tool house structure.
Specifically, the handle and pad eye of the aluminum box contacted the underside of the tool house pad eye, which protrudes approximately one inch beyond the structure. The contact occurred while the load was being maneuvered into position.
The operation was stopped, and the area was assessed. No personnel were injured, and no environmental impact or spills occurred. Initial notification was made to the BSEE Afterhours phone line. Minor damage resulted, with repair costs, including labor, estimated at $1,000.
An investigation determined that insufficient clearance verification and load control contributed to the incident. Corrective actions were implemented to improve lift planning, tag line use, and hazard identification.</t>
  </si>
  <si>
    <t>4x4 aluminum UPCS box used for transporting tools/equipment.</t>
  </si>
  <si>
    <t>While offloading a 4x6 toolbox, one of the slings got hung on a lid hatch and broke it off. During the lift, the sling dipped below the latch as the crane started lifting the cable, catching on the latch. The crane was lowered, slings disconnected, and the box and slings inspected. No damage to slings was found, and the lift continued. The broken latch piece was recovered. VHF radio was used for communication. No injuries occurred. Cost to replace damaged lid handle: ~$20.</t>
  </si>
  <si>
    <t>4x6 toolbox</t>
  </si>
  <si>
    <t>A Floorhand was assisting on the auxiliary side of the rig floor during the construction of a double-dutch assembly. A 5-inch pup joint was lifted using a 5-ton air hoist while the injured person (IP) tailed the pipe from the setback area with a sub strap. When the pup joint was approximately 3–4 inches off the deck in a vertical position, the air hoist experienced a slipped wrap caused by uneven loading of the wire on the hoist drum. This caused the pup joint to drop the short distance and make contact with the top of the IP’s right foot. No property or equipment damage occurred.</t>
  </si>
  <si>
    <t>5-inch pup joint</t>
  </si>
  <si>
    <t>Air Hoist (5-ton) – Lifting Device Component</t>
  </si>
  <si>
    <t>On November 11, 2025, the BOP was successfully unlatched from the wellhead at Europa EA4. During this operation, the BOP slowly drifted approximately 15 feet eastward toward the nearby tree on EA9. Subsequent inspection of the EA9 asset revealed that a communications lead had been severed, likely due to contact with the BOP as it moved in close proximity. ROV inspection confirmed no additional damage to the EA9 asset, and the asset owners were notified. Plans were established to remove and replace the damaged communications line.
Further evaluation determined that the damaged EFL impacted communications to wells EA01, EA08, and EA09—correcting earlier reports that EA03 was affected. None of these wells were flowing at the time. Troubleshooting efforts continued while the damaged EFL was scheduled for removal. Communication to producing wells remained stable and unaffected.
The initially reported communication loss to EA03 was later attributed to improper Subsea Electronic Module (SEM) reinitialization. After reinitializing the SEMs, communications to EA03 were fully restored.
Due to the damaged EFL, all communication and functionality to EA01, EA08, and EA09 were lost, including the ability to monitor casing pressures. All wells were shut in, with downhole valves confirmed closed. Replacement cables already installed on seafloor infrastructure were used to restore communication. Full communications were reestablished to all three non-producing wells at 13:00 on November 17, 2025. Estimated repair costs were approximately $10,000.There were no injuries or muster requirements. At the time of the incident, surface current was approximately 0.9 knots, with negligible subsurface current.</t>
  </si>
  <si>
    <t>Subsea Equipment (BOP)</t>
  </si>
  <si>
    <t>While offloading an ESP cable spool from the M/V Ledger T, the load made contact with the vessel’s cargo railing. The impact caused cracking at the welds of the railing, though the structure remained intact. No additional equipment damage or personnel injuries occurred.</t>
  </si>
  <si>
    <t>Lift off- center</t>
  </si>
  <si>
    <t>ESP cable spool</t>
  </si>
  <si>
    <t>On November 11, 2025, at approximately 07:45 hours, a crane crew was moving an empty 15-barrel cutting box using a crane at the living quarters (LQ) Level 4. During the lifting operation, the load’s tag line came into contact with the AWOS wind sensors located on the exterior of the LQ.
As a result of the contact, one probe on Sensor A was broken at its base and deemed non-repairable. Sensor B was displaced from its mounting pole and left suspended by its communication cable. Upon recognition of the incident, the crane crew immediately stood down, and the electronics technician inspected the equipment. Although no visible structural damage was observed and the sensor was reinstalled, it was determined to be non-functional.
Weather conditions were clear at the time of the incident; however, the crane’s travel path required the operator to work directly into the sun. The operator reported that while the load was visible, the tag line could not be clearly seen due to glare. This limited visibility contributed to the unintended contact with the sensors.
Temporary measures were implemented, including disabling the affected AWOS sensors and utilizing alternate wind information sources. A Notice to Air Missions (NOTAM) was issued. The estimated cost to repair the damaged equipment is approximately $14,800.</t>
  </si>
  <si>
    <t>empty 15-barrel cutting box</t>
  </si>
  <si>
    <t xml:space="preserve">During pickup of the Main Side top drive while running in hole (RIH) with upper completion tubing, the air hoist suspending the Expro tongs caught on the top drive. The interaction caused the tongs to shake, shifting the jaws and bending a pin in the chain that holds one side of the jaws together. As a result, the chain separated on one side, causing that side of the tongs to hang apart. There were no dropped objects or hydraulic hose failures. Damage to equipment is estimated under $10. </t>
  </si>
  <si>
    <t>Pipe / Tubulars (Production Tubing)</t>
  </si>
  <si>
    <t>Air Hoist (Supporting Expro Tongs during Top Drive Operations)</t>
  </si>
  <si>
    <t>While positioning a slip joint onto the riser skate using the Starboard Forward Crane, the slip joint contacted a wireless access point antenna. The impact caused the antenna bracket to detach from its mounting location on the riser elevation crane. The antenna remained suspended due to secondary retention, preventing a dropped object event. Estimated repair cost is less than $500.</t>
  </si>
  <si>
    <t>Slip Joint</t>
  </si>
  <si>
    <t>On November 14, 2025, at approximately 14:21, during drilling operations aboard the rig, a dropped object incident occurred in the moonpool area. While making up stands of drill pipe on the auxiliary rotary, a stand of drill pipe being lowered by the auxiliary top drive contacted the bottom section of the auxiliary rotary sock.
As a result of the contact, the auxiliary rotary sock separated at the lower flange, and the bottom section, approximately 30 feet in length, fell into the sea. Subsequent inspection confirmed that the flange bolts had sheared.
At the time of the incident, the rig was positioned within the designated safe handling zone approximately 1,640 feet from the ASWX-8 subsea wellhead. The DVS bridge immediately notified the Argos platform control room, and BP well site leadership informed the OIM. An emergency shutdown (ESD) was initiated, and the rig’s ROV was deployed to assess the area beneath the rig.
The dropped section was located approximately 150 feet to the starboard side of well center. All personnel were accounted for, with a total POB of 167. No injuries or loss of power were reported. Operations and equipment were shut in as a precautionary measure.
Immediate corrective actions included initiating the ESD and relocating the ROV away from the potential drop path. No permanent corrective actions had been established at the time of reporting, pending completion of the formal investigation. Estimated repair and replacement costs were less than USD 7,500.</t>
  </si>
  <si>
    <t>aux rotary sock (part of drilling/handling system)</t>
  </si>
  <si>
    <t>Auxiliary Top Drive / Auxiliary Rotary System</t>
  </si>
  <si>
    <t>While offloading two 14" casing doubles from the M/V, the crane operator used the stanchion posts on the pipe deck to assist in aligning the load for placement into the pipe deck bay. During this maneuver, the two casing joints made contact with each other, causing the pin-end thread protector on one joint to dislodge.
The thread protector, weighing 18.4 lbs, fell approximately 87 feet through the moonpool and was lost to the Gulf of America. The area below was a designated black zone, and all personnel were positioned in their step-back areas as outlined in the job plan. No injuries occurred, and no equipment damage was reported.</t>
  </si>
  <si>
    <t>14" casing doubles</t>
  </si>
  <si>
    <t>During tripping-in operations with the BOP test assembly, two 8 in. x 8 in. shims fell from a height of 39.3 feet.
      -Shim #1: 4 lbs – grazed a worker’s hard hat
      -Shim #2: 12 lbs – landed on the rig floor
According to DROPS calculator thresholds, either object had the potential to cause a fatal injury.
The employee struck by the lighter shim was evaluated by the onboard medic and found to have a 1 cm abrasion on the left elbow. No medical treatment was required; the employee received over-the-counter Tylenol and was reevaluated later the same day and the following morning, when they were cleared for duty. At the time of the event, the crew had entered the red zone to set manual slips, and the block was in its lowest position. After the dropped objects were observed, all work stopped, the area was secured, and inspections of the Top Drive and Block confirmed no additional unsecured components or immediate hazards.</t>
  </si>
  <si>
    <t>BOP Test Assembly / Top Drive / Block</t>
  </si>
  <si>
    <t>Top Drive and Traveling Block (Drilling Hoisting System)</t>
  </si>
  <si>
    <t>On 11/18/2025, the crane crew was transferring a bottle rack from one deck to another. During the operation, the load made contact with an overhead light, causing the light to become dislodged from its pole and fall to the deck below. No personnel were present in the immediate area of the landing point, and no injuries were reported.</t>
  </si>
  <si>
    <t>Bottle rack</t>
  </si>
  <si>
    <t>At approximately 19:45, while offloading two doubles of 10.25-inch casing from a supply boat using a crane, a box-end thread protector became detached from a joint of casing and fell approximately five (5) feet onto the deck.
At the time of the incident, all personnel were positioned in the designated safe step-back area, and the pipe deck had been established as a Restricted Access Area. No personnel were exposed, and no injuries occurred.
No formal investigation was conducted, as it was determined that existing safeguards, including controlled access and designated safe zones, were in place and functioning effectively.
The estimated cost of the lost property (thread protector) was approximately USD $250.</t>
  </si>
  <si>
    <t>Thread protector detached from casing joint</t>
  </si>
  <si>
    <t>On November 19, 2025, a crew was in the process of setting a support beam spanning two rig skid beams on the platform using an air tugger. One end of the support beam was being landed by an injured person (IP) into its planned location. As the support beam made contact with the skid beam, it unexpectedly slid toward the IP and struck the IP’s right leg.
At the time of the incident, the IP was tied off to fall protection, which limited his ability to move out of the line of fire. The IP was evaluated by the rig medic, who consulted with an onshore physician. The IP remained on the platform and was scheduled for reevaluation prior to the next shift.
On November 20, 2025, the IP reported for follow-up evaluation with the rig medic prior to his tour. After consultation with the onshore physician, it was recommended that the IP be transported for further medical evaluation via a routine crew change helicopter.
On November 24, 2025, an update was received indicating the IP was cleared to return to work pending further evaluation. Soft tissue bruising was identified during the follow-up appointment, and an MRI was ordered. No fractures were reported.</t>
  </si>
  <si>
    <t>Personnel Contact / Struck By Moving Equipment</t>
  </si>
  <si>
    <t>Support Beam</t>
  </si>
  <si>
    <t>Air Tugger</t>
  </si>
  <si>
    <t>At approximately 11:15 a.m., a crane was engaged in backloading a cuttings box from the facility to the M/V. As the load was being lowered and was approximately 3–4 feet above the vessel’s deck, two riggers began approaching the load to adjust its orientation, remaining approximately 6 feet away.
During this time, the M/V experienced an unexpected roll/heave, causing the vessel to shift beneath the suspended load. As a result of this vessel motion, the suspended cuttings box made contact with a tank vent located on the vessel’s deck, bending the tank vent. The crane operator immediately stabilized the situation, the load was safely landed on the vessel’s deck, and a Time Out for Safety was called. No injuries occurred.</t>
  </si>
  <si>
    <t>While lifting an 8' × 10' container from the Port Aft Breezeway, the Crane Operator (CO) began hoisting the load from the deck. As the load centered and began to swing, the container contacted a Production-controlled light fixture (approx. 18.6 lbs). The impact caused the fixture to detach and fall approximately 4.6 feet, glancing off a scaffold pole before coming to rest behind the container.
Prior to the lift, the light fixture was located approximately 2 feet above and 18 inches forward of the container’s initial position. During the operation, one Banksman was directing the lift while two Riggers controlled the movement using taglines and push poles within the designated temporary red zone. The closest crew member—the Banksman—was approximately 6 feet from the impact area.
Immediate actions included an “All Stop” called by the Banksman, with the CO safely landing the load back on deck. The area was then secured, inspected for additional dropped-object hazards, and none were found. Notifications were made to the OIM, DF, WSL, Sr. RSA, and BP OIM and HSE. An investigation was initiated. Estimated replacement/repair cost for the damaged equipment is $1,200.</t>
  </si>
  <si>
    <t>8' × 10' container</t>
  </si>
  <si>
    <t xml:space="preserve">During a riser pull operation, a centralizer fin—a protective element attached to a riser segment—detached from a slick joint and fell onto the gimbal on the rig floor. While attempting to lay down the riser joint, an additional fin fell between the riser skate and the gimbal. No personnel were in the red zone, and no injuries occurred. Upon inspection of the laid-down riser joint, six of the eight centralizer fins were missing: two remained secured, two fell to the rig floor, and four detached prior to reaching above the horseshoe. Of the detached fins, three were recovered floating in the moon pool, and one remains missing despite a thorough search by the support vessel. A safety standdown was implemented, and the last five joints of riser were successfully pulled and secured. </t>
  </si>
  <si>
    <t>Centralizer fin detachment during handling</t>
  </si>
  <si>
    <t>Drilling Hoisting System (Top Drive / Traveling Block / Drawworks)</t>
  </si>
  <si>
    <t>While personnel were lifting an MPT tank to reposition it on deck, the tank made unintended contact with a nearby Connex box. The impact broke a 1" PVC flange fitting that was connected to a PVC reach rod assembly. This reach rod actuated the tank’s spring-loaded valve closure, providing the ability to operate the valve from either side of the tank. No personnel were injured, and the damage was limited to the flange fitting.</t>
  </si>
  <si>
    <t xml:space="preserve">While offloading an ESP cable spool from the M/V using a crane, the suspended load contacted the vessel’s cargo railing. The impact caused cracking at the railing welds; however, the structure remained intact and no secondary damage occurred.
No injuries were reported, and the load remained under control throughout the operation. Operations were paused to assess the damage, and the area was secured. </t>
  </si>
  <si>
    <t>While lowering the rotary guard panels from the HWO work basket using the HWO winch and a nylon strap, wind caused the panels to swing and make contact with the scoping ladder. Two of the panels slipped out of the nylon strap and fell approximately 30 feet to the top deck. The crew on deck remained outside the established exclusion zone, and no injuries or equipment damage occurred.</t>
  </si>
  <si>
    <t xml:space="preserve">Rigging Equipment Failure / Environmental factors </t>
  </si>
  <si>
    <t>Rotary guard  panels           (Panels fell ~30 ft)</t>
  </si>
  <si>
    <t>HWO Winch</t>
  </si>
  <si>
    <t>November 26, 2025, a dropped-object incident occurred while removing a stand of 6-5/8" drill pipe from the derrick using the main pipe racker. During the operation, a fingerboard latch was inadvertently contacted, causing the latch—approximately 4.8 lbs.—to detach and fall an estimated 100 feet to the rig floor.
All personnel were positioned in the designated safe step-back area, and no injuries occurred. The incident resulted in a dropped object but no additional equipment damage. An investigation is currently underway to determine the cause and contributing factors.</t>
  </si>
  <si>
    <t>6-5/8" drill pipe</t>
  </si>
  <si>
    <t>main pipe racker</t>
  </si>
  <si>
    <t>On November 29, 2025, at approximately 14:30 hours, personnel were preparing to remove the channel head cover from the HBG 1140 Crude Exchanger on the mezzanine deck (NW corner) using two chain hoists. All securing bolts had been removed, and tension was applied to the cover in accordance with the approved lift plan.
During an operational pause to assess conditions, it was observed that the pad eye being used for the lift had bent. The operation was immediately stopped, and the area was secured. A magnetic particle inspection was conducted on the pad eye and its welds to verify structural integrity and confirm that no cracks or defects were present.
The investigation determined that the pad eye was subjected to side loading due to the rigging configuration. No personnel were injured, and no dropped objects occurred. No repairs were required.</t>
  </si>
  <si>
    <t>Human Error / Rigging</t>
  </si>
  <si>
    <t>Channel Head Cover (Plate)</t>
  </si>
  <si>
    <t>Two chain hoists (chain falls) rated at 11,020 lbs each</t>
  </si>
  <si>
    <t>While performing routine rounds, an employee detected an air leak coming from the deluge panel. Upon inspection, it was found that the manual push-pull reset for the Versa valve had been damaged, causing the air leak. The damaged component was replaced and the system returned to service without further issue.
After reviewing potential causes, it is suspected that a crane lift conducted earlier in the day may have contributed to the damage. No personnel involved in the lift reported observing contact between the load and the deluge panel, and the type of damage found does not suggest a direct strike. However, it is considered possible that a tag line or sling may have snagged the manual push-pull reset after the lift was completed. No injuries occurred and no additional equipment damage was reported.</t>
  </si>
  <si>
    <t xml:space="preserve">On November 30, 2025, at approximately 08:20 AM, the crane operator was lifting a 4,000-lb drum rack from the M/V Breeze using the north SeatRax crane. As the lift began, vessel movement caused the boat to sway, resulting in the drum rack catching on the vessel’s bulwarks. This interference led to one leg of the four-part sling parting from the thimble. An immediate all stop was called, and the drum rack was safely lowered back onto the boat deck.                                                                               The boat crew replaced the damaged four-part sling set with another, and the drum rack was subsequently lifted safely to the platform. No personnel were injured, and the only equipment damage was to the sling assembly, estimated at $280 to replace.    </t>
  </si>
  <si>
    <t>drum rack weighing 4,000 lb</t>
  </si>
  <si>
    <t>At approximately 09:30 AM on Platform B during sand-transfer operations, sand from a 4'×8' decanting bin was being transferred via crane into an 8'×10' roll-off container. Auxiliary line 2-way hooks were attached to the lifting pad eye on the back end of the 4'×8' bin to raise and dump the sand.
During the lift, the 2-way hooks bound on the bin’s lifting pad eye and subsequently failed open. This caused the 4'×8' bin to drop onto the roll-off, damaging the roll-off cover roller, rail, and protective guard. No personnel were injured.</t>
  </si>
  <si>
    <t>Sand in a 4'×8' bin.</t>
  </si>
  <si>
    <t xml:space="preserve">While back-loading the self-decanting roll-off bin onto the crew boat, the crane operator inadvertently caused the bin to contact the starboard handrail of the vessel. This contact struck a 3-inch ball valve attached to the bin, causing the valve to detach and release approximately 40 gallons of produced water onto the deck. </t>
  </si>
  <si>
    <t>Human Error / Crane Operator / Load Snag or Contact</t>
  </si>
  <si>
    <t>Bin</t>
  </si>
  <si>
    <t>During backload operations to the M/V, the port forward crane was lifting the PRT Flowhead, which measured approximately 7 ft wide x 71 ft long, with a pup joint extending ~8 ft beyond the transit frame.
While slewing the load, the pup joint pin end contacted the crane pedestal, causing the thread protector to fracture into two pieces (2.4 lbs and 2.2 lbs). Both pieces fell to the deck, but the area was fully controlled through zone management, and no personnel were present in the drop zone or pathway of the load.
Due to the load’s configuration and position, the lift continued until the flowhead was safely landed on the work boat. Following the landing, the job was stopped, notifications were made, and a safety stand-down was conducted to review the unplanned event.                                                                          Weather during the lift:
Sea State: 1.5 m
Heave: 1.9 m
Wind: 20–25 knots (gusting to 30 knots)
Both dropped components were classified as minor dropped objects per risk calculations.</t>
  </si>
  <si>
    <t>PRT Flowhead,</t>
  </si>
  <si>
    <t>During the disconnection and lowering of the Dril-Quip work platform from the A4 well using air tuggers, the platform’s spreader bar contacted the A4 stem air valve assembly, which was protruding horizontally approximately 6 inches from beneath the wellhead platform. This contact caused a slight bend in the A4 stem air valve assembly.
No dropped objects occurred, and the Dril-Quip work platform was safely lowered to the spar deck. The A4 stem air valve assembly was removed to prevent additional hazards. No personnel were in the immediate area, and all safety barriers were in place. Pressure in the A4 stem had been bled to zero psi during prior P&amp;A operations. No injuries occurred.
Property/Equipment Damage: $200.00</t>
  </si>
  <si>
    <t>Dril-Quip work platform</t>
  </si>
  <si>
    <t>Air tuggers</t>
  </si>
  <si>
    <t>On 12/05/2025 at 10:45, during the lift of a fuel tank from its skid using a crane, the safety cable attached to the tank’s drain-valve cap became snagged on the fusible element of the TSE loop. As the lift continued, the attached tubing began to bend. The rigger immediately observed the interference and called an all-stop, preventing further impact or additional damage.
The TSE loop, serving the Aviation Fuel Tank Skid, was in bypass as a precaution to prevent a facility shutdown in the event of damage. Because the loop was bypassed, it did not trip, and no leaks or other mechanical or process safety issues occurred.
A small section of bent tubing, approximately 2–3 inches, was removed and replaced to realign the fusible element. The estimated repair cost is $100.</t>
  </si>
  <si>
    <t>fuel tank</t>
  </si>
  <si>
    <t>On December 7, 2025, during installation of the Pipeline End Termination (PLET) to the High Pressure Protection System (HIPPS), the crane on the M/V was recovering the jumper spreader bar. As the spreader bar exited the splash zone, it rotated slightly and made contact with the starboard side of the vessel’s Fast Rescue Craft (FRC).
The contact caused minor damage to the FRC’s bulwarks. No personnel were injured, and the FRC remains fully operational.</t>
  </si>
  <si>
    <t>jumper spreader bar</t>
  </si>
  <si>
    <t>While the #1 Crane was landing an empty helifuel tote on the starboard forward pipe deck, the tote contacted the tongs E-Stop Controller Box. The job was immediately stopped, and Supervisors were notified. The contact caused cracking of the door hinges of the E-Stop Controller Box (estimated damage $500). No injuries, dropped objects, or environmental impact occurred. The lift was not a blind lift. Taglines were not being held, and a push pole was used as the load was ~3 feet off the deck. Communication was maintained via UHF radio and hand signals.</t>
  </si>
  <si>
    <t>empty helifuel tote</t>
  </si>
  <si>
    <t>During routine ROV deployment using the Launch and Recovery System (LARS), the ROV/Cage was not properly centered as it passed through the LARS cantilever opening. This caused the cage foot to contact and shear off a 1-inch × 4-foot square tubing handrail support from the LARS structure, which fell into the water. The ROV crew did not observe the contact at the time. The missing support was identified after the ROV deployment during handrail reinstallation. The ROV Supervisor notified Shell DSV immediately. Attempts to locate the fallen tubing on the seafloor were unsuccessful. Three barricades were in place at LARS entrances, with the outboard barricade temporarily removed for the launch. No injuries, personnel exposure, or environmental impact occurred. Estimated replacement cost: $100.</t>
  </si>
  <si>
    <t>ROV Cage</t>
  </si>
  <si>
    <t>LARS (Launch and Recovery System)</t>
  </si>
  <si>
    <t>While pumping out of the hole, the drill string released from the saver sub on the top drive, causing the drill pipe to drop rapidly onto the elevators. Approximately 3 bbls of 13.0 ppg SBM were released from the Kelly hose and contained on the rig floor. No personnel were in the red zone. Equipment was inspected and corrective actions implemented. Total cost: $7,340.</t>
  </si>
  <si>
    <t>drill string (drill pipe)</t>
  </si>
  <si>
    <t>Top drive system (TDS) and elevators</t>
  </si>
  <si>
    <t>On December 10, 2025, at approximately 06:55 hours, while tripping in the hole with the drilling BHA, a Transocean floor hand reported hearing an unusual noise near the rotary table. The floor hand immediately notified the main driller, and operations were stopped to allow for investigation.
Upon inspection, a 0.5" x 2" bolt was discovered lying near the rotary table. Further examination determined that the bolt had originated from the drill pipe elevators. The bolt weighed approximately 1.9 ounces and fell an estimated 15 feet to the rig floor. The event registered as “slight” on the DROPS calculator.
At the time of the incident, the nearest personnel were approximately 20 feet away inside the bomb shelter. No injuries or additional damage were reported.</t>
  </si>
  <si>
    <t>bolt from the drill pipe elevators</t>
  </si>
  <si>
    <t>Rig hoisting system – elevators/top drive</t>
  </si>
  <si>
    <t>While supplying joints of Merlin riser using the port aft KBC crane, the crane operator slewed the crane back toward the pipe bay between lifts. One leg of a two-part sling snagged on a speaker mounted to the crane walkaround handrail. During attempts to free the snagged sling, the second sling leg contacted the crane cab window, cracking the glass. No personnel were injured, no glass fell, and no dropped objects occurred. The estimated repair cost is $5,000. The lift was not a blind lift. Wind speed: 12 knots, direction 159°.</t>
  </si>
  <si>
    <t>At approximately 03:30 on December 13, 2025, an incident occurred involving the M/V  while operating offshore at the Deepwater facility. During cargo handling operations, a chain binder became lodged between two pallet boxes on the vessel deck. As one of the pallet boxes was lifted by the Deepwater facility crane approximately two to three feet off the deck, the chain binder became dislodged and fell to the vessel deck.
An immediate all stop was called, and the pallet box was safely lowered back to the deck. The closest person was positioned approximately 40 feet away in accordance with established procedures. There were no injuries, no equipment damage, and no environmental impact.
The dropped object was immediately communicated over the radio between the crane operator and the vessel crew.</t>
  </si>
  <si>
    <t>Crane #1 was engaged in lifting operations to relocate riser bolts on the dead man deck, starboard side. During the lift, the suspended load made unintended contact with a fire hose station/hydrant located within the work area. The lift was classified as a blind lift, and continuous radio communication was maintained between the Banksman and the Crane Operator throughout the operation.
Following the contact, the fire hose station/hydrant was immediately secured and isolated to allow for repair. At no time was the vessel’s firefighting capability reduced. All personnel were positioned within the designated step-back area, and no dropped objects occurred. No personnel were injured. Tag lines were not used and were not deemed necessary for this lift.
The estimated cost to repair or replace the damaged fire hose station/hydrant was $419.</t>
  </si>
  <si>
    <t>Riser bolts.</t>
  </si>
  <si>
    <t xml:space="preserve">During umbilical installation operations aboard the facility, the Offshore team had installed bend restrictors on the umbilical and was in the process of lowering it through the moon pool. The operation was temporarily halted to reduce the moon pool opening and provide smaller clearance around the umbilical.
While making this adjustment, the D-Ring on one of the PU Blocks failed, causing the block to detach from the roller system and fall onto the moon pool deck. At the time of the incident, the PU Block was positioned on the roller system used to support and guide the umbilical.
No personnel were in the immediate vicinity, and no injuries were reported. </t>
  </si>
  <si>
    <t>PU Block</t>
  </si>
  <si>
    <t>Umbilical deployment roller system (moon pool handling system)</t>
  </si>
  <si>
    <t xml:space="preserve">On December 17, 2025, a life capsule was being offloaded from the M/V using the platform crane at . During the lifting operation, a sea swell caused the vessel to shift slightly from its intended position. This unexpected movement resulted in the suspended life capsule making contact with a padeye on an equipment basket located in close proximity to the load.
The contact caused minor damage to the fiberglass hull of the life capsule. The lifting operation was stopped, and the area was secured to assess the condition of the capsule and surrounding equipment. An inspection confirmed that the damage was minimal and did not compromise the structural integrity or functionality of the capsule.
No personnel injuries, dropped objects, or environmental impacts were reported as a result of this incident. </t>
  </si>
  <si>
    <t>Life capsule / escape capsule</t>
  </si>
  <si>
    <t>A crane was utilized to transfer a 550-gallon tote tank as part of routine material handling operations. During the lift, the suspended load traveled through an area containing fixed infrastructure. While maneuvering the load, it made contact with the housing frame of a permanently installed light fixture.
The contact resulted in damage to the light frame hinge. The crane operator immediately stabilized the load, and the lift remained under control throughout the operation. No personnel were injured, and no additional equipment or structural components were affected. There were no dropped objects or secondary impacts associated with the incident.
Following the event, the area was inspected, and the damaged light fixture was secured pending repair. The incident was documented and reviewed to reinforce proper lift planning, situational awareness, and clearance management during crane operations in congested work areas.</t>
  </si>
  <si>
    <t>550-gallon tote tank</t>
  </si>
  <si>
    <t xml:space="preserve">While back-loading a 20" OD section of cut conductor from the Platform to the M/V , the load was repositioned on deck. One end of the conductor rested on another section, causing it to roll slightly once crane tension was released. This coincided with a leak in the engine room cooling system. Inspection revealed a cracked brass ball valve on the surge tank of the main engine aftercooling system. The valve was replaced, and operations resumed at 1345 hours. No injuries occurred; damage was minimal (&lt;$100).
</t>
  </si>
  <si>
    <t xml:space="preserve">Human Error / Rigging / Load Shifted  </t>
  </si>
  <si>
    <t>cut conductor section</t>
  </si>
  <si>
    <t>While conducting a personnel transfer using a Billy Pugh basket, a worker’s hardhat became dislodged and fell approximately 20 feet to the drill deck. The area where the hardhat landed was barricaded at the time of the transfer, and no personnel were present within the designated drop zone.
The incident resulted in no injuries, equipment damage, or operational impacts. The transfer was completed safely, and the dropped object was recovered following the event.</t>
  </si>
  <si>
    <t>Billy Pugh basket</t>
  </si>
  <si>
    <t>The drill crew was moving the NOV cuttings auger into position on the shaker deck. A TBT (Toolbox Talk), JSA, compass card review, and PTW (Permit to Work) were completed prior to the lift. The auger was lifted by a crane on one end and guided with a come-along on the other.
During the lift, a 10 ¾” x 13 ½” slide gate slid out a few inches on the auger. The job was paused, the plate repositioned, and crew discussed with the NOV technician who confirmed the gate would not come out. As the auger was moved again, the auger rolled counterclockwise, causing the slide gate (7.8 lbs) to detach and fall approximately 37 feet to the main deck. A DROPS no-go barricade was in place, and the closest personnel were 25 feet away from the drop site. No injuries occurred, and there was no equipment damage.
The bolt intended to prevent the gate from fully sliding out had sheared, allowing the drop to occur.</t>
  </si>
  <si>
    <t>NOV cuttings auger</t>
  </si>
  <si>
    <t>While transferring personnel/cargo basket loaded with casing tongs from one M/V to the other M/V, a yellow bracket on the basket was found damaged. The bracket, which included a sensor, contacted part of the rigging due to vessel movement caused by wind and swell.
During the lift, the slings were properly held clear, and the crane operator was informed of the damaged bracket. As the crane lifted the basket, the combined motion of the vessels caused the bracket to snag on the rigging. Riggers retreated to the safe zone while signaling the crane to continue the lift. No dropped objects occurred, and no personnel were injured. A safety discussion was held with all parties to reinforce awareness of vessel movements, maintaining a clear out path, avoiding pinch/crush points, and maintaining clear communications between the banksman and crane operator.</t>
  </si>
  <si>
    <t>Expro basket loaded with casing tongs</t>
  </si>
  <si>
    <t>During S-89 wellhead removal operations, the  crew was pulling and lifting the wellhead using the Rig 455 air tugger. While manipulating the well tree to unseat it, the bonnet flange lifted and a bolt on the flange unintentionally engaged the flange of a disconnected flow line. This unplanned contact caused the flow line to twist.
Personnel located in the well room were unable to signal the tugger operator to stop the lift before the flow line was damaged. Once the contact was recognized, the wellhead was freed from the flow line and successfully lifted without further incident. The damaged flow line was removed from service and will be repaired prior to completion of the S-89 workover. No personnel injuries or environmental impacts were reported.</t>
  </si>
  <si>
    <t>Air tugger (Rig 455) used to lift and manipulate wellhead</t>
  </si>
  <si>
    <t xml:space="preserve">During crane operations with a vessel positioned on the west side of the platform, the crane operator received the signal from the vessel deckhand to lift a full 550-gallon diesel tote tank. As the crane began lifting the load, the vessel shifted position due to environmental conditions. During this movement, the crane sling caught on a lid bolt located on the top of the tote tank, causing the lid to lift partially.
Operations were immediately paused, and the tote tank lid was safely re-secured. No diesel was released, and there were no injuries, damage to the facility, vessel, or crane, and no pollution occurred. Weather conditions at the time included 62°F temperature, 10+ miles visibility, 1–2 ft seas, north-to-south current at approximately 2 mph, and west winds at 10–15 mph.                </t>
  </si>
  <si>
    <t>550-gallon diesel tote tank</t>
  </si>
  <si>
    <t>On Thursday, January 1, 2026, a crane incident occurred at the Production Facility involving the East Crane. The crane operator was lowering a tote into a designated chemical rack when one leg of the tote contacted the sight glass on an adjacent tote already positioned in the rack.
The contact resulted in the sight glass being bent and requiring replacement, with an estimated repair cost of approximately $500. At the time of the incident, two riggers were positioned on deck observing the load, and two taglines were secured to the tote being lowered. Wind conditions were approximately 12 knots. There were no injuries, no dropped objects, and no additional property damage reported.</t>
  </si>
  <si>
    <t>tote tank</t>
  </si>
  <si>
    <t>On January 3, 2026, an equipment damage incident occurred on the rig floor of the facility during pipeline flush preparations for future decommissioning activities. The Coiled Tubing Lift Frame (CTLF) was positioned vertically on the rig floor, and the Flow Head (FH) was positioned horizontally while rigging up surface equipment.
As the Driller began lifting the CTLF and FH to allow the Flow Head to be tailed in, starboard-side tuggers were used as skinner lines to maintain tension and control the CTLF. During this operation, the starboard 10-ton tugger and attached sling came into tension against the Top Drive (TD) cage. The bottom portion of the TD cage bumper assembly failed and broke under the applied load.
No dropped objects occurred, and there were no personnel injuries. Damage was limited to two bumper bars on the Top Drive cage. No wells, facilities, or operations were shut in as the equipment was not latched to the well at the time of the incident.</t>
  </si>
  <si>
    <t>Coiled Tubing Lift Frame (CTLF) and Flow Head</t>
  </si>
  <si>
    <t>tuggers (10-ton tugger used as skinner line)</t>
  </si>
  <si>
    <t xml:space="preserve">On 1/4/2026 at 10:00 AM, during temporary crane operations on the supply vessel, a 24'x10' basket was being lowered on the aft port quarter. The crane operator inadvertently set the basket on the vessel’s port side jump deck handrail. When lifting the basket, it contacted and damaged the handrail. No personnel injuries or environmental damage occurred. Weather conditions at the time included overcast skies, NE winds at 10 knots, NNE current at 0.08 knots, and 3–5' swell from the north.
</t>
  </si>
  <si>
    <t>24' x 10' basket</t>
  </si>
  <si>
    <t xml:space="preserve">On January 5, 2026, an incident occurred on the semisubmersible, dynamically positioned, deepwater construction and intervention vessel during Pipeline Segment 14509 flush operations in preparation for decommissioning. The crew had completed the first two coiled tubing (CT) pressure tests and was rigging up for the third test involving the slip/pipe rams.
The Injector Head was lifted from the table using the Coiled Tubing Lift Frame (CTLF) main winch. A wash nozzle was installed on the CT connector, the table was returned to center, and the Hydraconn was in the process of being made up. The main winch was connected to a four-part sling attached to each corner of the Injector Head frame. As slack was being taken out of the sling after the CTLF had been landed on the table, one sling leg contacted the underside of a depth counter mounted on the gooseneck arch.
The contact caused the welds securing the depth counter to fail, resulting in the depth counter and its encoder falling approximately 75 feet to the rig floor. The depth counter weighs approximately 38 pounds, and the encoder weighs approximately 1 pound. No personnel were on the rig floor at the time of the drop. The depth counter is not used during operations, as depth is monitored using the counter located on the horsehead above the reel.
There were no injuries, no well involvement, and no impact to ongoing operations. </t>
  </si>
  <si>
    <t>Injector Head via the Coiled Tubing Lift Frame (CTLF)</t>
  </si>
  <si>
    <t>Coiled Tubing Lift Frame (CTLF) winch lift</t>
  </si>
  <si>
    <t xml:space="preserve">Equipment Damage During Casing Operations – BPA Directional Manifold Cover
While running 16-inch casing using the Knuckle Boom Pipe Handler, an equipment damage incident occurred at approximately 11:30. During the operation, the Crane Operator needed to reposition a joint of casing to obtain a better grip. In the process of repositioning, partial weight of the casing was inadvertently set down on the BPA (By-Pass Actuator) directional manifold. As a result, damage occurred to the protective cover of the BPA.
No personnel injuries or environmental impact were reported. An equipment inspection was conducted, and the damage was limited to the BPA cover. </t>
  </si>
  <si>
    <t>16-inch casing joint</t>
  </si>
  <si>
    <t>Knuckle Boom Pipe Handler</t>
  </si>
  <si>
    <t>Minor Damage to Turbo Coolant Tube During Gear Box Installation in Crane 3 Engine Room    During the installation of a four-pad gear box in the Crane 3 engine room, chain falls were used to position the equipment. The crane was not utilized, and communication between crew members was maintained visually throughout the task.
While maneuvering the gear box in a confined space, the load made contact with a 1-inch turbo coolant tube, resulting in damage to the tube. The estimated repair cost was $205.
At the time of the activity, environmental conditions included wind speeds of approximately 10 knots from the south and wave heights of 1.5 feet. No personnel injuries occurred, no dropped object event was identified, and there was no environmental impact. No additional equipment was damaged.</t>
  </si>
  <si>
    <t>Four-pad gear box.</t>
  </si>
  <si>
    <t>manual/chain-fall lift in a confined space,</t>
  </si>
  <si>
    <t>Tote Tank</t>
  </si>
  <si>
    <t>Four-part sling assembly (rigging)</t>
  </si>
  <si>
    <t>Rig Floor Utility Winch</t>
  </si>
  <si>
    <t>9 5/8" casing doubles
Four joints in each bundle
Total weight ~11,052 lbs</t>
  </si>
  <si>
    <t>8-foot wireline tool string</t>
  </si>
  <si>
    <t>wireline lifting mechanism integral to the wireline unit.</t>
  </si>
  <si>
    <t>Minor Electrical Cable Damage During Cargo Container Landing Operation                                    On January 18, 2026, at approximately 0830 hours, NOV 100-ton Knuckle Boom Crane #1 was used to land a 6’ x 6’ cargo container onto the port sack room porch deck. During final positioning, the container made contact with an RCS pressure washer pump unit, causing damage to the unit’s power supply cable. The pump was not in operation at the time of the incident.
The container was successfully landed and disconnected from the crane. The RSTB notified the crane operator, who then informed the electrician. While the electrician was en route, the RCS tank cleaner attempted to start the pump but was unsuccessful. Upon inspection, the electrician identified damage to the cable sheathing with no evidence of shorting or arcing. The cable was repaired, and the pump was subsequently test-run and confirmed to be fully operational.
Weather conditions at the time included wind speeds of approximately 26 knots from 015 degrees and sea state with 10–12 foot waves. No personnel injuries occurred, and no operations were shut in. Estimated repair cost was less than $500.</t>
  </si>
  <si>
    <t>A 6’ × 6’ cargo container, moved with a crane.</t>
  </si>
  <si>
    <t xml:space="preserve">Fingertip Avulsion Injury During Manual Movement of Storage Box on Cellar Deck                         On January 19, 2026, at approximately 10:15 hours, personnel were staging materials on the Cellar Deck in preparation for an upcoming construction operation under the supervision of Contractor Supervisor. The task involved manually moving an approximately 400-lb aluminum storage box using a pallet jack from the staging area to the work site. While maneuvering the storage box through a narrow pathway with limited clearance, personnel were required to guide the load by hand. During positioning, a line-of-fire condition developed between the box pad eye and a fixed support column. As the box was being guided through the restricted area, the injured person’s left pinky finger became caught between the pad eye and the column, resulting in an avulsed fingertip injury.
The injured person was immediately treated onboard by the platform medic and transported via regularly scheduled flight to shore for further evaluation. Upon arrival onshore, the individual was transported by PES to a medical facility for additional treatment and care.Following the incident, the Ultimate Work Authority (UWA) initiated Stop Work Authority (SWA), and a 30-minute platform safety stand-down was conducted to review situational awareness, pinch-point hazards, and proper body positioning. A toolbox talk and action review were completed prior to authorization to resume work activities.
</t>
  </si>
  <si>
    <t>aluminum storage box (~400 lb)</t>
  </si>
  <si>
    <t>manual material handling with a pallet jack</t>
  </si>
  <si>
    <t>IBOP Rod Lock Screw Damage During Sub Landing Operation on Pipe Deck                               On January 21, 2026,  while landing an X/O sub into a rack using NOV 100-ton Knuckle Boom Crane #2 on the starboard pipe deck, the suspended sub made contact with the side of an IBOP positioned in the rack. This contact dislodged the rod lock screw from the IBOP.
The sub was successfully placed into the rack, the load was unhooked, and the rod lock screw was retrieved from the top of the rack. The Crane Operator immediately notified the Second Mate (2/M), who in turn notified the Senior Toolpusher and the Night Company Man.
Weather conditions at the time included wind speeds of approximately 13 knots from 132 degrees, vessel heading of 285 degrees, and sea state with 3–5 foot waves. No personnel injuries occurred, and no operations were shut in. The pre-existing bent condition of the vertical rod was noted prior to the incident; the rod lock screw damage resulted from this event.</t>
  </si>
  <si>
    <t>X/O sub (tubular well-control/drill-string hardware)</t>
  </si>
  <si>
    <t>Guide Weight Cable Failure During LARS Load Test                                                                                               On January 22, 2026, at approximately 1620 hours, the dive crew onboard the facility was conducting a load test of the guide weight cable from the Launch and Recovery System (LARS) using a water bag. The test was conducted for a duration of approximately 10 minutes.
As a precautionary safety measure, the main hoist cable was rigged to the water bag during the test. At the conclusion of the load test, the guide weight cable parted. The main hoist cable successfully engaged and supported both the water bag and guide weight, preventing an uncontrolled drop into the Gulf of America (GOA).
No personnel injuries occurred. No equipment damage was identified other than the failed guide weight cable, and no marine debris was generated. Operations were safely controlled, and the event was immediately reported in accordance with 30 CFR 250.190 requirements.</t>
  </si>
  <si>
    <t>Water bag + guide weight</t>
  </si>
  <si>
    <t>LARS and hoist cables</t>
  </si>
  <si>
    <t>high‑pressure water blasting unit (HPU) skid package</t>
  </si>
  <si>
    <t>Minor Personnel Contact with Crane Headache Ball During Sling Unhooking                             During crane operations, a deckhand sustained minor contact to the elbow from the crane headache ball while unhooking slings. The employee was immediately assessed using DCAP-BTLS/DOTS protocols. First aid was administered in the form of an ice pack, and no additional medical treatment was required.
As a precautionary measure, the crane was placed out of service due to a potential boom lever issue identified following the event. The incident was reported to HSE and remains under review. The crane will remain out of service until a full inspection is completed and clearance is granted.
No lost time, restricted duty, or environmental impact occurred as a result of this incident.</t>
  </si>
  <si>
    <t>ROV Basket Lost Overboard and Successfully Recovered
At approximately 5:46 AM on January 23, 2026, an ROV basket weighing approximately 2.5 tons became disconnected while already submerged and was lost overboard into the Gulf of America.
The basket was located by an ROV at approximately 6:00 AM and was found intact, upright, and without damage to itself or surrounding assets.
Recovery operations were initiated, and the basket was successfully retrieved onboard at approximately 12:00 PM. A post-recovery inspection confirmed no damage to the ROV basket or associated lifting equipment.
No injuries, environmental impact, or operational downtime resulted from this incident.</t>
  </si>
  <si>
    <t>ROV basket</t>
  </si>
  <si>
    <t>BOP Landing Assist Tool (BLAT) Contact with Crane Pedestal Light During Lift
While transferring the BOP Landing Assist Tool (BLAT) from the port riser deck to the starboard riser deck using UHF radio communication, the crane operator conducted a blind lift without the use of tag lines. During the lift, the BLAT contacted a light mounted on the #3 crane pedestal, resulting in slight damage.
No dropped objects occurred, and no personnel were injured. All personnel remained within the designated Safe Step Back Zone in accordance with Job by Design procedures. The BLAT was safely lowered to the deck following the contact.
Crane operations were suspended, rig supervision was notified, and electricians were dispatched to assess the damage, which was estimated at $1,917.17</t>
  </si>
  <si>
    <t>BLAT is considered a piece of equipment used in BOP operations</t>
  </si>
  <si>
    <t>Stabilization Strap Failure During Stair Tower Laydown Operation                                                   During a stair tower laydown operation for removal and salvage, a 2-inch nylon strap being used as a stabilization point failed at the eyelet. At the time of the failure, the load was approximately 12 to 15 inches above the deck and remained fully supported by the crane’s primary load line.
No personnel were positioned in the line of fire, and no damage occurred to the deck, structure, or surrounding equipment. The operation was conducted under controlled conditions, and no injuries were reported. Additional details are pending further review.</t>
  </si>
  <si>
    <t>stair tower</t>
  </si>
  <si>
    <t>Hand Injury During Backloading of Bottle Rack 
While backloading construction equipment onto the motor vessel, a deckhand was guiding a bottle rack by holding its horizontal brace as the crane lowered the load onto the vessel’s deck. As the load was being landed, the bottles shifted within the rack, causing the deckhand’s hand to become caught between the rack’s brace and a bottle.
The injured person (IP) sustained injuries to two fingers and remained onboard, where basic first aid was administered. Although initially classified as a first aid case, the incident is considered crane-related because the load remained connected to the crane at the time of the injury.
No further medical treatment or vessel damage was reported.</t>
  </si>
  <si>
    <t>Personnel Contact / Caught Between</t>
  </si>
  <si>
    <t>bottle rack</t>
  </si>
  <si>
    <t xml:space="preserve">Equipment Contact During Crane Operations                                                                               During crane operations to land a test ring on the POD shop roof, the load made contact with a fixed light fixture. This resulted in a cracked plastic lens on the light. At the time of the incident, wind speeds were recorded at 21.8 kts.The light remained secured to its mounting; no debris fell, and no personnel were in the line of fire. Following the "Job by Design" protocols, all personnel were positioned in the Safe Step Back Zone. Upon contact, the operator immediately lowered the test ring back to the deck and suspended operations. Rig supervision was notified, and electricians were called to assess and repair the damage.      </t>
  </si>
  <si>
    <t>test ring</t>
  </si>
  <si>
    <t>Tote Tank Contact with Structural Beam During Blind Crane Lift                                                     Crane #2 was conducting a blind lift using radio communication to transfer an empty tote tank with tag lines from the loading station on the VRU deck to the +50 deck. During the lift, platform movement caused by sea conditions resulted in the suspended load swinging beneath a structural beam and making contact. An immediate stop was called, and the crane operator halted operations. Once the tote tank was clear of the beam, the crew safely landed the load on the +50 deck as planned.
A visual inspection was conducted on the crane, beam, slings, and surrounding area. No damage was identified to lifting equipment or structural components. Minor damage was observed to the tote tank only. There were no injuries, dropped objects, or environmental impacts.</t>
  </si>
  <si>
    <t>Dropped Object Incident During Pipe Bundle Transfer                                                                                  On February 1, 2026, a lifting incident occurred onboard the drillship, Well DC104. The crane crew was transferring a bundle of pipe from the port/starboard pipe rack to the auxiliary side skate.
During the lift, the pipe bundle swung and made contact with a drill line hang-off bracket. As a result of the impact, the bracket—along with an attached used drill line—broke free from its mounting locaion.
The bracket, weighing approximately 13 lb 2 oz, fell approximately 24 feet. It initially dropped 17 feet to a lower deck, bounced outside the handrail, and then fell an additional 7 feet to the main deck, where it came to rest. The attached used drill line, weighing approximately 1,200 lbs, fell approximately 17 feet to the deck.
The red zone was clear by design at the time of the incident, and no personnel were exposed. No injuries were reported.</t>
  </si>
  <si>
    <t>pipe bundle</t>
  </si>
  <si>
    <t xml:space="preserve">Loss of ROV Sampling Skid During Recovery Due to Incorrect Lift Point Selection
During recovery operations of an ROV sampling skid aboard the motor vessel MV Blue Sea, the vessel was positioned in a designated safe overboarding zone, and the skid was successfully lifted to the water surface without incident.
Upon attempting to recover the skid from the water surface to the vessel deck, all four lift points simultaneously pulled free from the sampling skid, causing the unit to slowly descend back to the seabed.
The vessel crew subsequently located the submerged skid using a survey locator beacon that had been installed prior to deployment. An ROV was deployed to the skid’s location, successfully lifted the unit, and transported it back to the work site, where it was placed in a subsea work basket. The basket containing the skid was then safely recovered to the back deck of the vessel.
Post-incident inspection confirmed that no personnel injuries occurred. The ROV sampling skid sustained only superficial damage and remained fully operational.
Estimated Cost of Damage: $10,000
</t>
  </si>
  <si>
    <t>ROV sampling skid</t>
  </si>
  <si>
    <t>Dropped Object – Finger Board Latch Sheared During Pipe Racking with Auxiliary Hydraracker
While racking back a stand of pipe using the auxiliary hydraracker, the pipe stand made contact with a finger board latch, causing the latch to shear off and fall to the rig floor. There were no injuries, and no other equipment was damaged. The cost of the damaged latch was estimated at $1,500.
Immediate actions included securing the area and reviewing the process for monitoring finger board latches during pipe racking operations.</t>
  </si>
  <si>
    <t>Rigging Equipment Snag or Contact / Dropped Object / Poor Lift Planning</t>
  </si>
  <si>
    <t>stand of pipe / tubulars</t>
  </si>
  <si>
    <t>The auxiliary hydraracker</t>
  </si>
  <si>
    <t>Crane Headache Ball Contacts Radar During Post-Lift Operations
During crane operations using the west crane to the cellar deck, the primary lift had been completed and the load was successfully landed. While lowering the auxiliary hook and slings for disconnect, the crane’s headache ball struck a stationary radar unit located on the northwest side of the production deck. The impact caused damage to the radar’s fiberglass housing.
The radar was not in service at the time of the incident and remained stationary throughout the event.</t>
  </si>
  <si>
    <t>The only thing being lowered was the auxiliary hook, slings, and headache ball — not a load</t>
  </si>
  <si>
    <t>Tubing Damage Due to Miscount During Racking Operations
While racking back 4.5-inch VAM TOP tubing using the auxiliary rotary sock, the driller miscounted the number of joints already made up in the sock. After making up an additional joint, the driller proceeded to slack off the line, unaware that the tubing had bottomed out in the rotary sock. As a result, the pin end of the pipe contacted the bottom of the sock, causing the box end to strike the saver sub. This contact bent one joint of tubing.
An immediate all-stop was initiated, and the area of authority was notified. The affected area was barricaded, and all involved equipment was inspected for damage and potential dropped objects. All personnel were positioned in designated safe step-back areas in accordance with the TOI Job by Design, preventing any personnel injuries. A safety stand-down was conducted with the drill crew to review the incident and reinforce situational awareness.</t>
  </si>
  <si>
    <t>4.5" VAM TOP tubing</t>
  </si>
  <si>
    <t>auxiliary rotary sock during tubing racking operations.</t>
  </si>
  <si>
    <t>Crane Load Contact with Light Pole Resulting in Dropped Object Overboard – No Injuries
At approximately 4:45 PM on 2/8/26, the crane operator was offloading the weekly supply boat using the west crane. While booming down on approach with the load, a 4-pack chemical rack weighing approximately 23,500 lbs contacted a platform light pole located on the Main Deck level, knocking the light fixture off the pole.
The light fell toward the lower deck level and subsequently went overboard. The exact fall path was not observed, and no impact marks were identified to indicate intermediate contact points prior to entering the water.
The crane operator immediately exercised Stop Work Authority and reported the incident. No personnel were present on the lower deck in the fall zone. Platform electricians isolated and locked out the lighting circuit pending repairs.
Estimated repair cost for the light is approximately $1,500. No damage was reported to lifting devices or the chemical rack. The light will be reported separately as an item lost overboard (Marine Debris) within the TIMS database.</t>
  </si>
  <si>
    <t>4‑pack chemical rack weighing approximately 23,500 lbs.</t>
  </si>
  <si>
    <t>Dropped Drill Pipe Joint – 5 7/8" Drill Pipe Released onto Rig Floor
On February 9, 2026, the drill crew was laying down a 5 7/8" drill pipe on the auxiliary floor. The block operator hoisted a single joint from the stump at the rotary and extended the elevators toward the awaiting pipe skate.
As the pin end of the drill pipe contacted the pipe skate, the block operator began lowering the block to lay down the joint. Upon reaching the pipe skate, the joint released from the elevators and came to rest on the rig floor.
All personnel were positioned safely inside the DROPs shelter during the incident. No injuries occurred.</t>
  </si>
  <si>
    <t>5 7/8" drill pipe joint</t>
  </si>
  <si>
    <t>block and elevators, which are part of the drilling rig’s hoisting system</t>
  </si>
  <si>
    <t>Wireline Spool Lift – Timber Contact Causes Cracked Window 
Onboard the DP SEMISUBMERSIBLE at approximately 2100 hours, SLB Wireline personnel reported damage occurring during a lift of a wireline spool. A 12" x 12" timber placed between the spool and the unit’s glass was pushed into the window during the lift, resulting in a crack. The timber was wider at the top than the clearance allowed for the skid, causing it to be forced into the glass as the load moved. The crew immediately notified the Toolpusher and DSM.
Weather conditions at the time of the incident were seas of 2–4 ft and winds of 7–10 knots.
Personal Injuries: None
Property Damage: Approximately $500</t>
  </si>
  <si>
    <t>wireline spool</t>
  </si>
  <si>
    <t>Dropped Object – Elevator Bottom Plate Foot Fell to Rig Floor During Casing Operations
During casing operations, the crew was picking up a 12 1/4-inch casing double on the auxiliary hoist using Expro door-style clamp type elevators while running doubles on the main. With the elevators positioned approximately 70+ feet above the rig floor, a bottom plate foot from the elevator assembly detached and fell to the rig floor near the auxiliary rotary.
The falling object was observed by an Expro crew member inside the drops shelter, who immediately notified the TOI crew. Auxiliary operations were stopped, and the area was secured. The scene was assessed and verified safe with no escalation potential. The crew conducted a safety briefing to ensure alignment on securing the equipment. The auxiliary was then lowered to the rotary area and inspected.
There was no damage, injury, or cost associated with the incident. The auxiliary floor was a designated Red Zone at the time of the operation.</t>
  </si>
  <si>
    <t>12 1/4" casing doubles</t>
  </si>
  <si>
    <t>Auxiliary Hoist + Expro Door-Style Clamp Elevators</t>
  </si>
  <si>
    <t>Crane Load Cell Damage Following Headache Ball Contact with Rig Structure
During crane operations involving the lifting of a riser flange from the drill deck on the far side of the rig, the crane headache ball made slight contact with adjacent rig structure during the lift.
Shortly after the contact, the crane operator received a fault alarm from the Crane Smart system. The operator safely landed the load and suspended operations. Crane mechanics were dispatched to evaluate the equipment.
Upon inspection, it was determined that the load cell located just above the headache ball had sustained damage and required replacement. As a precautionary measure, the auxiliary line was removed from service until repairs could be completed.</t>
  </si>
  <si>
    <t>Riser flange being lifted from drill deck</t>
  </si>
  <si>
    <t xml:space="preserve">Dropped Drill Pipe from Bridge Racker Grip Jaw – No Injuries
While tripping in the hole on the main side of the rig floor, approximately 10 feet from Main Well Center, the Main VPH (pipe racking system) was being used to transfer stands of drill pipe from the fingerboard to the Main Drilling Drive Motor (Top Drive). During the operation, one stand of drill pipe slipped through the Main bridge racker grip jaw and contacted the drill floor. The drill pipe stand measured 133.18 feet and weighed 40.2 pounds per foot (ppf) (approximately 5,353 lbs total). The estimated drop distance was approximately 24 inches. There is potential damage to one joint of drill pipe; confirmation and repair cost are pending further investigation.
Operations on the drill floor were immediately secured. The affected stand was safely re-racked and secured in the fingerboard. No personnel injuries were reported. </t>
  </si>
  <si>
    <t>stand of drill pipe (133.18 ft, ~5,353 lbs)</t>
  </si>
  <si>
    <t>VPH pipe handling system</t>
  </si>
  <si>
    <t>Wire Rope Sling Failure During Well Tree Removal – Rig 9
During workover operations on Rig 9, the crew was attempting to unseat and lift the A-52 well tree using an air tugger. A 3/16-inch braided wire rope sling was configured in a choke hitch around the well tree to facilitate the lift.
While tension was being applied to unseat the tree, the sling parted just below the thimble. The failed sling had a manufacture date of March 2025 and a rated working load limit of approximately 3,800 pounds.
Following the failure, the crew secured the area and conducted an inspection of all associated rigging and lifting equipment. The damaged sling was removed from service and replaced. The well tree was subsequently removed successfully without further incident.
No injuries or additional equipment damage were reported.</t>
  </si>
  <si>
    <t>Well tree / A-52 well tree</t>
  </si>
  <si>
    <t>stand of drill pipe, 133.18 feet long weighing 5,353 lbs total.</t>
  </si>
  <si>
    <t>Pipe racking/handling system                                          -Main VPH (Vertical Pipe Handler)</t>
  </si>
  <si>
    <t>CCU (Cargo Carrying Unit)</t>
  </si>
  <si>
    <t>Finger Pinch Injury During Chemical Tote Placement at Dump Station
At approximately 0800 hours, a crane crew consisting of one crane operator, one signalman, and two riggers were engaged in placing a chemical tote into the dump station rack. During the positioning of the load, Rigger A (Injured Person – IP) was manually guiding the tote using his hands.
As the tote shifted unexpectedly to the right, the IP’s right middle finger became pinched between the tote and the steel frame of the dump station. The IP was wearing impact gloves at the time of the incident.  Work was immediately stopped, and the IP reported to the facility medic for evaluation. Leadership and HSE were notified promptly. The medic assessed the injury, provided over-the-counter pain medication and an ice pack, and the IP was instructed to remain at home base (HB).
There was no equipment damage associated with this incident.</t>
  </si>
  <si>
    <t>Dropped Object Incident During Crane Boom Replacement – Bridle Assembly Fell onto Boom
On February 13, 2026, at approximately 1825 hours, a dropped object incident occurred at SS-182C during maintenance operations involving installation of a new crane boom.
Three crane mechanics were in the process of floating a bridle into position using the East crane so that the pendant lines could be attached. The bridle was being maneuvered into place utilizing a snatch block secured to boom pad eyes with two (2) 6-foot x 1-inch web straps serving as anchor straps.
During the operation, both web straps failed and separated at the pad eyes, allowing the bridle assembly to fall approximately three (3) feet onto the top of the aft-mid section of the boom. Stop Work Authority was immediately exercised, and the bridle was secured. Notifications were made, and a plan of action was initiated.
On February 14, 2026, a detailed inspection of the boom was completed. In addition to cosmetic damage, two lattice members were found to be slightly bent. Engineering evaluation confirmed that the damage did not reduce the crane’s lifting capacity, and no de-rating was required.
Coordination meetings have been held with the crane contractor.</t>
  </si>
  <si>
    <t>Bridle assembly / crane boom replacement rigging</t>
  </si>
  <si>
    <t>Near Miss – Signalman Lifted by Entangled Tagline During Crane Operations
During crane operations on the M/V, the crane crew was engaged in retrieval of the fast line with an empty hook while taglines remained hanging. A signalman was positioned on deck directing the crane operator to hoist (“come up”).During the evolution, a loose tagline became entangled around the signalman’s leg. As the crane operator continued to hoist the line, the signalman was briefly lifted off the deck before falling back onto the deck surface. Operations were immediately stopped following the event.The individual declined medical evaluation and treatment from the vessel medic. No equipment damage and no recordable injuries were reported.</t>
  </si>
  <si>
    <t>No cargo or object was being lifted as the primary load</t>
  </si>
  <si>
    <t>Work String Slip During Milling Operations Due to Incorrect Drill Pipe Selection
At approximately 8:30 PM, during milling operations on the A12 well at the offshore facility, the rotary dies and bar clamp dies lost grip on the work string.
As a result, the work string slipped approximately 26 feet before coming to a stop when the tool joint landed on the bar clamp. The bar clamp sustained damage during the incident.
Operations were immediately suspended following the event. There were no reported injuries associated with the incident. Personnel are meeting with ISS to discuss additional corrective measures to prevent a recurrence.</t>
  </si>
  <si>
    <t>3.5" drill pipe work string</t>
  </si>
  <si>
    <t>Pipe handling / well control holding system (rotary + slips/bar clamp assembly)</t>
  </si>
  <si>
    <t>Load Contact with Fixed Lighting Fixture During Conex Box Lift – No Injuries
After receiving a verbal radio command from the signalman, the crane operator began lifting a 6x6 Conex box from the West Production Deck. During the lift, the suspended load swayed and contacted the top hat of an LED light mounted to a brace beam. The light fixture sustained damage but remained secured by its secondary retention.
Once the load was safely landed, the lifting operation was stopped. The OIM/UWA and HSE personnel were immediately notified. No personnel were in the line of fire and no injuries occurred.</t>
  </si>
  <si>
    <t>Conex box</t>
  </si>
  <si>
    <t>Dropped Object Near Miss – Ventilation Ducting Eyelet Failure During Manual Lowering
Fabric Maintenance personnel were manually lowering a section of soft ventilation ducting from an upper deck platform to a lower deck using a rope. The ducting was approximately 1 foot in diameter and 20 feet in length.
During the lowering process, the OEM eyelet tab being used as the connection point failed, allowing approximately 10 feet of the tubing to fall onto the structure below. A worker positioned mid-span on ropes to help guide the material was in the drop zone but was not struck or injured.
No personnel injuries or equipment damage occurred.</t>
  </si>
  <si>
    <t>Soft ventilation ducting</t>
  </si>
  <si>
    <t>Derrick-Mounted Sheave Support Cable Separation During Block Hang-Off
During block hang-off operations in the derrick, the support cable for a sheave mounted to the derrick separated. The separation occurred after insufficient slack was present in the stabilization line during the hang-off configuration.
When the support cable failed, the sheave traveled approximately 106 feet along the stabilization line before coming to rest at its termination point on top of the winch motor housing.
The work area had been properly flagged off during the operation, and no personnel were positioned in the vicinity of the winch motor at the time of the event. No injuries were reported.
Initial assessment indicates the only damage sustained was to the cable. Estimated repair cost is expected to be less than $25,000.</t>
  </si>
  <si>
    <t>Derrick-mounted sheave and its support cable</t>
  </si>
  <si>
    <t>Snatch Block / Sheave Assembly</t>
  </si>
  <si>
    <t>Damaged Wireline Spool Protective Frame Identified During Offloading
On February 18, 2025, the drillship was demobilizing from #4 well site and backloading equipment to the Motor vessel. According to the vessel crew, no incidents or abnormal conditions were observed during the transfer operations or while the equipment was being received onboard.
On February 19, 2025, following arrival at the dock and during offloading activities, dock personnel identified damage to the protective frame of a wireline spool. The frame was observed to be bent. The damage was reported to operator HSE. No injuries were reported. The estimated repair cost associated with the damaged protective frame is approximately $900.</t>
  </si>
  <si>
    <t>Human Error / Crane Operator</t>
  </si>
  <si>
    <t>Rotating Casing Contacts Boom Rest Ladder and Drops Casing Protector During Vessel Offloading
During casing offloading operations, personnel were unloading 22-inch casing from a supply vessel. Two joints of 22-inch casing were lifted from the M/V and began rotating in a clockwise direction while suspended.
As the load was brought onboard, it traveled between the crane boom rest and the crane pedestal. During this transition, the casing continued to rotate and contacted the boom rest ladder, resulting in minor damage to the ladder structure. Additionally, the pin end of the casing sustained superficial damage.
During the event, a casing protector weighing approximately 17.5 pounds became dislodged and fell approximately 26 feet to the deck below.
The area below was properly barricaded, and no personnel were present. No injuries were sustained.
Estimated total damage was approximately $1,000.
The lift was not classified as a blind lift, and radio communication was maintained throughout the operation. Tag lines were not used during the lift.</t>
  </si>
  <si>
    <t>22-inch casing joints</t>
  </si>
  <si>
    <t xml:space="preserve">Suspected Crane/Material Handling Contact Resulting in Minor Vessel Handrail Damage
Initial notification of a crane/material handling incident. Between 03:00 and 04:00 hours on 02/20/2026, operator personnel were notified by the Captain of the M/V of minor damage to a handrail onboard the vessel. The Captain indicated the damage was presumed to have occurred during the offloading of two grocery Conex boxes within the preceding few hours. At the time of notification, details regarding the exact mechanism of damage were unknown. </t>
  </si>
  <si>
    <t>grocery Conex boxes (cargo containers)</t>
  </si>
  <si>
    <t>Unexpected Upward Movement of Buoyancy Cans and Outer Production Riser During Cutting Operations
On February 24, 2026, personnel were conducting outer riser cutting operations as part of decommissioning activities. During the operation, the outer 13-5/8" production riser was successfully severed. Immediately following the cut, the attached buoyancy cans and outer riser experienced an unplanned upward movement. The assembly rose and contacted the drill deck floor and portions of the rig substructure before descending and settling back onto the designed lower stops located within the spar deck.
All personnel had been cleared from the immediate work area prior to the cut, and no injuries occurred. The well had been fully plugged and abandoned before the operation; therefore, there was no risk of well control or hydrocarbon release. Initial inspections identified contact with structural components, and damage assessments and securing activities are currently underway to ensure the area is safe prior to resuming operations.</t>
  </si>
  <si>
    <t>13-5/8" production riser
and buoyancy cans</t>
  </si>
  <si>
    <t>Buoyancy Can / Buoyant Riser Assembly</t>
  </si>
  <si>
    <t>Crane Contact with Vessel Gangway During Backloading Operations 
On February 24, 2026, a crane/material handling incident occurred. During backloading operations, the crane operator was transferring a welding machine onto the stern deck of the M/V. While positioning the welding machine, the load contacted the vessel’s aluminum gangway. At the time of the lift, the crane operator suspected minor contact but was unaware that damage had occurred. Upon arrival at the ICY dock later that day, the vessel captain identified damage to the aluminum gangway handrail and notified platform personnel. Personnel were subsequently informed, and the incident was reported to operator management. No injuries were reported. The incident resulted in equipment damage only.</t>
  </si>
  <si>
    <t>welding machine</t>
  </si>
  <si>
    <t>Dropped Load During Marine Vessel Offload 
On February 28, 2026, a dropped load incident occurred during vessel offloading operations. The lift team had begun offloading the Marine Vessel Warren Thomas earlier that day after completing the lift plan, Job Safety Analysis (JSA), and a pre-task safety meeting.
Nine lifts were completed without incident. During the hoisting of a 16-cylinder compressed gas bottle rack from the vessel deck, the crane operator reported feeling the winch stop as tension was applied. The load subsequently detached from the stinger hook and dropped back onto the vessel’s port stern deck. The falling load damaged two sections of deck grating.
Lifting operations were immediately stopped, and an investigation was initiated. No injuries occurred.
The total estimated cost associated with the incident was $1,825, including $1,550 for replacement of damaged deck grating and $275 for replacement of the stinger hook.</t>
  </si>
  <si>
    <t>16-cylinder compressed gas bottle rack</t>
  </si>
  <si>
    <t>Load Contact During Tote Transfer Results in Minor Equipment Damage
While utilizing the facility’s west crane to move 550-gallon stainless steel intermediate bulk containers (IBCs), or tote tanks, on the top deck, a miscommunication occurred between the rigger and the crane operator during load positioning.
The load was directed to move left instead of right. As a result, the stainless steel tote tank being handled contacted a stainless-steel nipple installed on a nearby 500-gallon poly tote tank.
The poly tote tank contained biocide chemical and was positioned over secondary containment at the time of the incident. The contact damaged the stainless-steel nipple on the poly tote tank.
Following the contact, the biocide was transferred (pumped) from the damaged poly tote tank into a clean 550-gallon stainless steel tote tank to prevent further risk.
There were no injuries, no pollution, and no damage to the stainless steel tote tank being moved by the crane. The only damage sustained was to the stainless-steel nipple on the poly tote tank.
Estimated damage cost is less than $100 (parts and labor).</t>
  </si>
  <si>
    <t>550-gallon stainless steel intermediate bulk container (IBC / tote tank).</t>
  </si>
  <si>
    <t>Near Miss – Fast Line Hook Contact with Handrail During Crane Line Retraction
After placing a chemical tote on the Northwest Main Deck (DSM Mixing Area) using the west crane, the crane operator began retracting the fast line that had been rigged with a 30k nylon stinger and a spring-loaded hook. During retraction, the spring-loaded hook swung laterally and contacted the Northwest DSM3 (PR2 Pipe Rack) handrail, pulling and bending the top rail upward before the flagger/banksman was able to signal the operator to stop.
No personnel were in the immediate area during the event, and no dropped objects were generated. The crane operator’s line of sight to the fast line and hook was obstructed by a tote tank positioned on the pipe rack adjacent to the damaged handrail.</t>
  </si>
  <si>
    <t>no lifted item at the time of the incident</t>
  </si>
  <si>
    <t>Dropped Load During Marine Vessel Offload 
On February 28, 2026, a dropped load incident occurred during vessel offloading operations at an offshore facility. The lift team had begun offloading the Marine Vessel earlier that day after completing the lift plan, Job Safety Analysis (JSA), and a pre-task safety meeting.
Nine lifts were completed without incident. During the hoisting of a 16-cylinder compressed gas bottle rack from the vessel deck, the crane operator reported feeling the winch stop as tension was applied. The load subsequently detached from the stinger hook and dropped back onto the vessel’s port stern deck. The falling load damaged two sections of deck grating.
Lifting operations were immediately stopped, and an investigation was initiated. No injuries occurred.
The total estimated cost associated with the incident was $1,825, including $1,550 for replacement of damaged deck grating and $275 for replacement of the stinger hook.</t>
  </si>
  <si>
    <t>Uncommanded Descent of Main Hoist Line – 20K Crane
On February 28, 2026, the main hoist line of a 20K crane began descending without input from the crane operator. At the time, the crane was powered off and properly parked while the operator was awaiting direction for the next lift and completing documentation prior to the end of his shift.
The main hoist hook slowly descended approximately 40 feet over a period of about three and a half minutes and ultimately contacted the drill deck, which alerted the operator to the issue. Upon observing the descent, the operator powered up the crane and raised the hoist back to a safe position.
The main hoist line was immediately removed from service pending evaluation by crane maintenance personnel. No injuries or additional damage were reported.</t>
  </si>
  <si>
    <t>The crane was parked and not actively lifting a load;
Only the hook/hoist line descended under its own weight;
No cargo or object was being handled</t>
  </si>
  <si>
    <t>Crane Wire Rope Damage Identified During Spanner Joint Laydown Operation
At approximately 0220 hours on March 2, 2026, personnel were conducting operations to lay out a subsea spanner joint from the rig floor to the riser skate using the main traveling assembly and KBC #3. After tailing out and successfully landing the spanner joint onto the riser skate, the banksman reported hearing an unusual noise originating from the tip of the crane.
Operations were immediately stopped. The crane wire was lowered to the deck to allow for inspection. During the inspection, a damaged section of crane cable was identified approximately 10 feet from the work end of the wire rope.UWA and BP WSL were notified of the damaged crane cable following confirmation of the condition. No injuries or dropped objects were reported.</t>
  </si>
  <si>
    <t>The load being handled was a subsea spanner joint, which falls under subsea handling hardware.</t>
  </si>
  <si>
    <t xml:space="preserve">Container Rigging Failure During Lift Due to Obstruction with Pipe Rack Beam
During lifting operations, a container weighing approximately 2,200 lbs was being moved from the west side of the pipe rack. As the load was raised from the deck using a 4-way rigging assembly (3/8" x 6' x 4 slings rated at 10,000 lbs at 60°), a lip on the bottom of the container became caught underneath a pipe rack I-beam.As the crane continued to take load, the obstruction prevented the container from lifting freely. The resulting shock load and uneven load distribution caused two legs of the rigging assembly to part.
The lift was immediately stopped, the area was secured, and onboard leadership was notified. No injuries were reported. </t>
  </si>
  <si>
    <t>Container staged at a pipe rack location</t>
  </si>
  <si>
    <t>Top Drive Contact with Hydro Racker Upper Guide Arm During BHA Pickup – Property Damage
At the time of the property damage event (estimated $30,000), operations were underway to make up the Bottom Hole Assembly (BHA) on the auxiliary well. During the pickup of a BHA stand, the auxiliary well top drive and traveling block made contact with the hydro racker upper guide arm guiding head.
The contact resulted in damage to the upper guide arm latch assembly securing bolts on the hydro racker. No dropped objects occurred during the event, and no personnel injuries were sustained. At the time of the incident, all personnel were clear of the red zone.Operations were stopped, the area was secured, and the incident was reported for investigation.</t>
  </si>
  <si>
    <t>BHA stand during pickup</t>
  </si>
  <si>
    <t>Top Drive / Traveling Block System (Drilling Hoisting System)</t>
  </si>
  <si>
    <t>Anti-Two Block Support Cable Failure During Material Transfer
While lifting material from a work boat to the lift boat using the vessel’s crane, the 1/4-inch cable supporting the crane’s anti-two block on the fast line failed.
At the time of the failure, the crane was actively engaged in transferring material to the lift boat. The failure did not result in a dropped load, and no injuries occurred. Following the incident, the crew replaced the damaged support cable, and after evaluation, the UWA authorized the crew to resume work.
The area was assessed to ensure safe conditions before operations continued.</t>
  </si>
  <si>
    <t>Material transfer between work boat and lift boat</t>
  </si>
  <si>
    <t>Unintentional Equipment Damage During Crane Retrieval Operation from Crew Boat
During a lifting operation using the facility crane and the crew boat, unintentional damage occurred to vessel equipment. The crane operator was retrieving a 5x5 drum carrier from the aft deck of the vessel when the vessel captain notified the crane operator that the load was positioned tightly against a toolbox. Several latches on the toolbox were contacting the drum carrier, creating a risk of equipment damage.
During the operation, the top of a vessel tie-off bitt was struck, dislodging the aluminum top cap (approximately 1 inch thick, 7/8 inch diameter, weighing approximately 4.2 lbs.). The cap fell approximately 6 feet into the water and was unrecoverable. Estimated repair cost is less than $1,000.
There were no personnel injuries and no additional damage reported other than the missing aluminum cap.</t>
  </si>
  <si>
    <t>Human Error/Dropped Object / Load Snag / Contact</t>
  </si>
  <si>
    <t>5x5 drum carrier</t>
  </si>
  <si>
    <t xml:space="preserve">Uncommanded Descent of Lifeboat #6 from Stowed Position                                                          On March 6, 2026, Lifeboat #6 descended from its stowed position without a launch command. An operator in the AICC reported hearing a noise consistent with a lifeboat launch. Upon inspection, the lifeboat was observed descending in a controlled manner to the water. Once at the surface, the hook automatically disengaged from the pendant and the unmanned lifeboat drifted away from the facility.
No personnel were inside the lifeboat and no vessels were in the area at the time. The OIM was notified immediately and a recovery plan was implemented. The M/V located, secured, and towed the lifeboat back to the facility, where it was reinstalled and secured.
SSI technicians conducted inspections and determined the brake release pin was likely not correctly installed, allowing the brake release arm to disengage from the counterweight and open the drum brake, resulting in the controlled descent.
The lifeboat and davit were inspected and tested with no damage identified. The unit was cleared to return to service by the United States Coast Guard on March 11, 2026. </t>
  </si>
  <si>
    <t>Free-fall lifeboat / survival craft system</t>
  </si>
  <si>
    <t>Lifeboat davit winch system</t>
  </si>
  <si>
    <t>Load Contacts Deck Light During Jet Fuel Transfer
While landing a full tote of jet fuel using the boomvang crane, the load made contact with a deck light on the north side of the Workover deck. The light was dislodged but remained suspended by undamaged electrical wires and continued to illuminate. Secondary restraint netting prevented the fixture from falling. No personnel were injured. Equipment damage was estimated at $150.</t>
  </si>
  <si>
    <t>Full tote of jet fuel</t>
  </si>
  <si>
    <t>Slip and Fall Resulting in Skull Fracture and Multiple Lacerations During BOP Rigging Operations                                                                                                                                                The crew had just set the blowout preventer (BOP) on deck, and the IP climbed onto the BOP to disconnect the crane hook from the D-ring of the BOP lifting cap. After successfully disconnecting the crane hook, the IP stepped down onto a deck flange. While attempting to pivot and step off the deck flange, the IP lost his footing, slipped, and fell, striking his head and face on adjacent pipe flanges on the deck. The incident was witnessed by a coworker with Accu-Line. The IP was wearing full PPE at the time of the incident.
As a result of the fall, the IP sustained multiple lacerations including an approximately six-inch triangular laceration to the back of the head, a second two-inch laceration to the back of the head, and a small laceration near the left eye. The IP was briefly unconscious following the impact. The onboard medic treated and monitored the IP overnight. An RLC helicopter transported the IP to shore the following morning for further evaluation. A CT scan at the hospital confirmed the IP had sustained a skull fracture and he was admitted overnight for observation.</t>
  </si>
  <si>
    <t>BOP (Blowout Preventer</t>
  </si>
  <si>
    <t>Crane Hook Snag Damages Safety Latch During Post-Lift Operations
At approximately 1:30 AM, the crew completed landing a 50-barrel xylene tank onto the vessel deck. After the rigging was disconnected, the crane operator began hoisting the hook. During this process, the hook unintentionally snagged the tank’s rigging, resulting in damage to the hook’s safety latch. No personnel were injured. Equipment damage was estimated at $50.</t>
  </si>
  <si>
    <t>50-barrel xylene tank</t>
  </si>
  <si>
    <t>Dropped Object During Crane Hoisting Operation – Contact with Floodlight
On March 9, 2026, the crane crew was in the process of demobilizing well test equipment. During the operation, the crane operator began hoisting the LP separator when it contacted a floodlight mounted on the inboard side of the fire monitor platform located on the port funnel casing.
The impact with the floodlight caused two 6 mm machine screws securing the light fixture to dislodge and fall approximately 12.5 feet to the deck below. At the time of the incident, all personnel were positioned in the designated safe step-back area.
One screw weighed approximately 0.4 ounces and the second screw weighed approximately 0.25 ounces. Based on the dropped object calculator, both items registered as a “slight” dropped object potential. No injuries or additional equipment damage were reported.</t>
  </si>
  <si>
    <t>LP separator during well test equipment demobilization</t>
  </si>
  <si>
    <t>Basket Contacted Generator Door During Retrieval Due to Vessel Motion
While retrieving a 2' × 8' basket from the seafloor using the vessel crane, sea conditions and associated vessel movement caused the suspended load to swing during hoisting. The basket made contact with a generator enclosure door, resulting in minor damage to the door. No damage occurred to the basket or other vessel equipment. There were no personnel injuries and no environmental impact reported. Estimated property damage was approximately $500.</t>
  </si>
  <si>
    <t>Load Snag or Contact / Environmental Factors / Poor Lift Planning</t>
  </si>
  <si>
    <t>2' × 8' basket retrieved from seafloor</t>
  </si>
  <si>
    <t>Roustabout Injured During Tagline Entanglement on Basket Lift 
On March 11, 2026, a lifting incident occurred on the rig during crane operations moving a basket. A roustabout was controlling the load with a tagline. As the basket was lifted, the tail of the tagline was on the deck and became entangled around the individual’s foot. The individual was briefly lifted off the deck, lost grip of the tagline, and fell backward onto the deck. The rig medic immediately evaluated the injured person (IP), who was then evacuated by field helicopter to Plaquemines Medical Center via EPS dock in Venice for further assessment. The IP was treated and released to full duty with minor injuries.</t>
  </si>
  <si>
    <t>Basket Contacted Scaffolding Material Rack During Deck Landing Operation
While setting an 8' × 24' basket onto the deck using the vessel crane, the suspended load contacted a rack containing scaffolding materials. The contact resulted in minor damage to one scaffolding pan. Environmental conditions at the time included southwest winds at approximately 9 knots and seas of 4–5 feet with an air temperature of 76°F. No additional equipment damage occurred. There were no personnel injuries and no environmental impact associated with the incident. Estimated property damage was approximately $110.</t>
  </si>
  <si>
    <t>8' × 24' basket</t>
  </si>
  <si>
    <t>Sling Failure During Heavy Tool Room Hatch Lift
During lifting operations to raise the heavy tool room hatch, a two-part sling failed after the hatch reached its uppermost vertical position. The sling parted while the hatch was being positioned, causing the load to release.
Following the sling failure, the hatch came to rest on the open hatch back supports. No additional equipment damage occurred and no personnel were injured during the event.
Operations were stopped and the lifting equipment was removed from service pending inspection.</t>
  </si>
  <si>
    <t>Rigging Equipment Failure / Dropped Object / Equipment Component Failure</t>
  </si>
  <si>
    <t>Tool room hatch</t>
  </si>
  <si>
    <t>Dropped Handrail Overboard During Tote Tank Positioning 
On March 13, 2026, at approximately 12:15 PM, a dropped object/crane-related event occurred while workers were positioning a tote tank on the north side of the main deck. During the positioning, the tote contacted a handrail, causing the weld attaching the handrail to the deck to fail. A section of the handrail fell overboard and was not retrievable.
Stop Work was immediately initiated, and the area was flagged and barricaded to prevent personnel access. Workers were briefed on the hazard until proper barricades were installed. No personnel were injured or otherwise affected as a result of the event.
Following the incident, a Hazard Hunt was conducted by the Production Foreman across platforms in the area to visually inspect handrails and identify any signs of corrosion or compromised integrity. Identified issues were entered into the Integrity Action Tracker. Operations Specialists were instructed to perform similar inspections during facility visits to proactively identify corrosion or integrity concerns, particularly with handrails and grating. Any questionable areas are to remain barricaded until the Construction Department can investigate and implement corrective measures.</t>
  </si>
  <si>
    <t>Gearbox Dropped During Material Handling – A-Frame Trolley
On March 14, 2026, a material handling incident took place. A gearbox was being removed from its enclosure package using an A-frame trolley device. While lowering the gearbox to the deck, the lifting hook bolt snapped, causing the gearbox to fall approximately 3.5 feet onto the deck below. No personnel were injured during the incident. The equipment was removed from service pending inspection.</t>
  </si>
  <si>
    <t>Gearbox</t>
  </si>
  <si>
    <t>Lift performed using an A-frame trolley device, not a crane system</t>
  </si>
  <si>
    <t>Dropped Object Incident During Provision Crane Operations – Lifting Eye Assembly Failure on  Drillship
On March 15, 2026, at approximately 18:45, a dropped object incident occurred during lifting operations on the Rig Well No. 014. Operations were being conducted using the provision crane located aft of the vessel on the poop deck.
After successfully lifting the first ACD sleeve from the storeroom to the poop deck, the rigging crew began lowering the slings in preparation for the second lift. While the lifting eyes attached to the sling hooks were being lowered, swing momentum caused the lifting eyes to contact each other. This contact dislodged the snap ring from one lifting eye assembly, resulting in four components separating and becoming dropped objects.
One component weighing approximately 1.1 lb fell about 2 ft onto the hatch opening deck and was classified as “Slight” according to the DROPS calculator. The remaining three components fell approximately 20.5 ft to the storeroom deck:
Bolt – 7.4 oz (Slight)
Washer – 3.4 oz (Slight)
Swivel block – 3.2 lb (Major)
The nearest personnel were positioned approximately 6 ft away, outside the designated drop/landing zone and clear of the hatch opening. No injuries occurred. The only equipment damage identified was to the lifting eye assembly. Weather conditions at the time included winds of approximately 20 knots from the south. Water depth at the location is approximately 4,976 ft and the facility is about 115 miles offshore.</t>
  </si>
  <si>
    <t>Rigging Equipment Failure / Dropped Object / Temporary Connection Failure</t>
  </si>
  <si>
    <t>ACD sleeve and associated rigging hardware during handling</t>
  </si>
  <si>
    <t>No object or equipment was being lifted—only personnel transfer via swing rope</t>
  </si>
  <si>
    <t>Personnel Transfer Via Rope</t>
  </si>
  <si>
    <t>swing rope</t>
  </si>
  <si>
    <t>Gripper Head Misalignment Identified During Pipe Handling Operations 
On March 18, 2026, a material handling incident occurred onboard the facility during pipe handling operations.  While preparing to lift a joint of pipe from the skate, the crane crew observed abnormal closure behavior of the gripper head. During an attempted grip, one side of the gripper head closed correctly around the pipe, while the opposite side closed over the pipe rather than securing it properly. The condition was identified prior to lifting the pipe clear of the skate.
Material handling operations were immediately suspended, and notifications were made in accordance with reporting requirements. The gripper head was inspected and subsequently repaired. No personnel injuries, dropped objects, or environmental impacts occurred as a result of this incident.
 The gripper head was repaired at an estimated cost of $200.00, and operations resumed after corrective actions were completed.</t>
  </si>
  <si>
    <t>Joint of pipe</t>
  </si>
  <si>
    <t>Dropped Object Incident Involving Hand Tool During Nitrogen Equipment Backload                       The crane crew was backloading nitrogen equipment from the aft moonpool area to a workboat positioned on the port aft side of the rig.While positioning a nitrogen tank onto the workboat, the suspended nitrogen tank made contact with another nitrogen tank frame. At that time, the workboat flagger observed an object fall from the lower frame of the nitrogen tank. After the load was landed safely, an ALL STOP was called and the incident was immediately reported to supervision. An initial investigation determined that a 9/16" combination wrench (approximately 5 ounces) had fallen from the lower frame of the nitrogen tank from an estimated height of approximately 5 feet. The closest individual to the dropped object at the time was approximately 15–20 feet away. No personnel injuries occurred, and no equipment damage was reported.</t>
  </si>
  <si>
    <t>Human Error / Load Snag or Contact / Dropped Object</t>
  </si>
  <si>
    <t>Nitrogen tank assembly / equipment frame</t>
  </si>
  <si>
    <t>Dropped Object — Steel Wire Sling Lost to Sea Through Rotary Table During CADA Rigging Operations                                                                                                                                                       During well operations on Well No. 001, a dropped object incident occurred on the drill floor during the rig down of the CADA (Completion and Drilling Adapter) tool. The task being performed was to reengage the CADA and reinstall the shear pins as directed by the Contracrtor Representative.
The CADA was brought above the rotary table and rotary bushings were installed. The crew installed a 1/2" x 3' short steel wire sling through the CADA and attached both eyes to the winch hook. The CADA was then hoisted and engaged to the running tool per Innovex guidance, at which point the shear pins were reinstalled by the Contractor Representative. The Contractor Rep then instructed the winch operator to slack off tension and proceeded to remove the sling from the winch hook. The Contractor Rep removed the eyes of the sling and released it, believing it was basket hitched around the CADA. The sling was not basket hitched and upon release, the 1/2" x 3' steel wire sling weighing approximately 4 lbs fell through the rotary table and descended approximately 103 feet through the moonpool into the water. There were no personnel in the moonpool area at the time and no injuries were reported. The sling was not recovered.
Initial findings identified two contributing factors — no hole cover was installed over the rotary table during equipment and rigging handling operations, and a third party representative was allowed to handle and disconnect rigging rather than drilling contractor personnel as required.
The ROV crew was notified to search for the sling when operations allowed. The RDS conducted an immediate discussion with the drill floor crew reinforcing strict protocol for working around the rotary table, the requirement for hole covers, and the expectation that third party personnel are to provide guidance only and are not to handle, connect, or disconnect rigging. A crew standdown was conducted to reinforce dropped object prevention expectations, and the event will be communicated to all onboarding personnel going forward.</t>
  </si>
  <si>
    <t>Human Error / Rigging Equipment Failure / Poor Lift Planning / Dropped Object</t>
  </si>
  <si>
    <t>CADA (Completion And Drilling Adapter)</t>
  </si>
  <si>
    <t>Winch</t>
  </si>
  <si>
    <t xml:space="preserve">Loss of Power to Vessel Crane During Subsea Jumper Recovery                                                                                                                              On March 21, 2026, during subsea jumper recovery operations involving a JO2 assembly, the vessel’s 250-tonne portside active heave compensated (AHC) pedestal crane experienced a sudden loss of power while lifting a 57.5-ton, 40-meter subsea jumper.
At the time of the incident, the vessel was positioned southwest of the platform, approximately 150 meters away. Environmental conditions were favorable, with calm seas and southwest winds at approximately 5 knots.
No load was dropped, and no damage to equipment or structures was reported. No personnel injuries occurred. Operations were safely paused, and the vessel moved away from subsea infrastructure while the marine crew initiated troubleshooting of the crane system.     </t>
  </si>
  <si>
    <t>57.5-ton subsea jumper assembly)</t>
  </si>
  <si>
    <t>Hydracon Contacted Coil Tubing Equipment During Backloading Operation Due to Vessel Movement
On March 21, 2026, at approximately 14:30 hrs, the Noble BlackRhino #1 crane was backloading coil tubing equipment to the M/V Ms. Charlotte. While the crane operator was lowering a Hydracon into position adjacent to coil tubing equipment that had been previously backloaded, vessel movement caused by a swell resulted in the supply vessel shifting position. This movement caused the suspended load to contact nearby coil tubing equipment, breaking a stem/fitting on the equipment.
No personnel injuries or environmental impacts were reported. Damage was limited to the coil tubing equipment fitting.</t>
  </si>
  <si>
    <t>Coil tubing equipment</t>
  </si>
  <si>
    <t>Spreader Bar Contacted Ballast Tank Air Vent Heads During Recovery Operation
On March 21, 2026, the crane aboard the LCV recovered a spreader bar (PSN 21007) following completion of subsea jumper installation operations. The work was being performed by a contractor under contract with the Lessee. After the spreader bar was brought to the surface and laid down on the starboard side of the vessel, the crew observed that the spreader bar and one attached shackle had contacted two ballast tank air vent heads. Both vent heads were found to be cracked as a result of the contact. Replacement vent heads were installed by the Vessel Engineer.
There were no personnel injuries, no pollution, and no additional equipment damage identified. Estimated property damage was less than $1,000.</t>
  </si>
  <si>
    <t>Spreader bar and attached rigging</t>
  </si>
  <si>
    <t>Crane Headache Ball Pin Contacted Scaffolding During Lubricator Lift
During wireline operations, the crew was lifting a lubricator using the crane when a pin on the crane headache ball contacted a scaffolding rung along the lift path. The contact caused a section of scaffolding to be unintentionally lifted approximately 6–7 inches before an immediate all stop was called and the load was safely lowered.
One individual was positioned on the scaffolding at the time of the event; however, no personnel injuries occurred. The scaffolding section that was contacted sustained minor damage estimated at approximately $200. There was no damage to the platform or wireline equipment.
Operations were immediately stopped, the incident was reported to the area, and leadership was notified. Corrective measures were implemented following the event, including adjustments to rigging configuration and lift setup to eliminate blind lift conditions and reduce interaction with scaffolding during future operations.</t>
  </si>
  <si>
    <t xml:space="preserve">Crane Encoder Malfunction Resulted in Overboarding of Crane Block and Cable to Seabed – No Contact with Subsea Infrastructure
During subsea lifting operations, a crane encoder malfunction occurred that allowed the crane operator to pay out approximately 3,140 ft of cable, exceeding the intended deployment depth of approximately 2,700 ft from surface.
As a result of the encoder malfunction, the crane block and approximately 202 ft of crane cable were deposited onto the seabed. The estimated cable deflection remained approximately 22 ft above the seabed prior to final landing.
There was no contact, clash, or striking of any subsea assets, and no personnel injuries or equipment damage to subsea infrastructure were reported.
Recorded cable deflection position:
Northing: 10,468,310.74 ft
Easting: 1,141,175.18 ft  </t>
  </si>
  <si>
    <t>Crane block and cable</t>
  </si>
  <si>
    <t xml:space="preserve">Crane Load Contact with Unsecured Handrail Gate During BOP Relocation
On March 18, 2026, at approximately 15:00 hours, a lifting incident occurred during relocation of the BOP from the starboard side to the port side of the facility. During the transfer, a handrail gate along the load travel path had not been properly secured or pinned and swung into the open position.
As the BOP was being transited by the crane, the suspended load contacted the unsecured handrail gate, resulting in damage to the gate. The incident was immediately recognized, and the job was stopped. There were no dropped objects, and no personnel were present within the red zone at the time of the incident. Rig Management and the Client Representative were notified promptly. A safety stand-down was conducted with the crew to review the event and reinforce hazard awareness and pre-lift verification practices. </t>
  </si>
  <si>
    <t>BOP – Blowout Preventer assembly</t>
  </si>
  <si>
    <t>Right Hand Laceration Requiring Sutures During 7 5/8" Casing Pull — Well F-2 P&amp;A Operations    At approximately 16:00 on March 25, 2026, during plug and abandonment (P&amp;A) operations at the ST 26 F facility, a well work crew was in the process of pulling 7 5/8" casing out of Well F-2. The injured party (IP) inserted a 2" pin through a hole in the casing to secure the load. The crane operator lowered the load, causing the IP's right hand to become caught between the pin and the work plate, resulting in lacerations to two fingers of the right hand.
Following the incident, the IP was transported to the shore base via motor vessel and taken to a local medical clinic for evaluation. The IP received two sutures on two fingers of the right hand and was placed on light duty pending further evaluation.</t>
  </si>
  <si>
    <t>7 5/8" casing being pulled from Well F-2</t>
  </si>
  <si>
    <t>Crane Relay Failure Resulting in Alarm 63 During Subsea Jumper Recovery Operation
On March 26, 2026, during recovery operations of Jumper JO1, the vessel crane operator notified the Vessel Offshore Manager (OM) and bridge crew that the crane experienced a tripped relay condition (Alarm 63 – Motor 1 fault) while hoisting the jumper from the seabed.
At the time of the incident, the jumper was being recovered for transfer and landing onto the OSV. The jumper had been lifted approximately halfway to the surface from a depth of 897.263 meters when the fault occurred.
Upon notification of the alarm condition, lifting operations were immediately suspended pending investigation and resolution of the issue. At the time of the event, the vessel was operating outside the 500-meter zone at approximately the 60% zone.
A technician onboard the vessel initiated troubleshooting activities. Shoreside management was notified, and operations remained suspended until the fault was identified, corrective actions implemented, and system performance verified.
Investigation determined the crane experienced degraded relay performance affecting the Motor 1 running signal, which triggered Alarm 63. The fault was resolved following replacement of relays –K10 and –K11. The crane was monitored for approximately one hour after replacement with no recurrence of the alarm observed.</t>
  </si>
  <si>
    <t>Subsea jumper JO1</t>
  </si>
  <si>
    <t>Crane Lift Incident – Damaged Sling and Riser Bail Storage Bracket During Lift from Riser Deck to Rig Floor
On March 26, 2026, Crane #3 located on the starboard aft riser deck was used to lift a set of riser bails (approximately 16 ft long and weighing 1.3 tons) from their storage mounting brackets to the rig floor in preparation for BOP/riser operations at the Rig.
The riser bails were rigged using a 30 ft × 7/8" two-leg basket sling as per normal practice. During the initial lift attempt, when the load was raised approximately 6–8 inches off the deck, the crane operator observed higher-than-normal weight on the load indicator. Simultaneously, the banksman signaled an all-stop. The load was immediately lowered back into the brackets.
Inspection identified that the sling had become damaged/frayed and was no longer safe for use. The sling was removed from service and replaced under supervisor direction. The lift was subsequently completed safely.
Following removal of the riser bail from the storage brackets, damage was identified to the lower portion of the mounting bracket, including a broken weld. It was determined that slack in the sling had become caught beneath the storage bracket during the lift, resulting in the bracket weld failure.
No dropped objects or personnel injuries occurred. Estimated property damage was approximately $200.</t>
  </si>
  <si>
    <t>Riser bails</t>
  </si>
  <si>
    <t>Suspended Connex Box Contacted Vessel Mast Equipment During Crane Hoisting Operation
During a crane operation, personnel were receiving an 8' × 10' connex box from a vessel. The vessel deck crew connected the load, centered the crane block over the load, and moved into a designated step-back area. Once the area was confirmed clear, they instructed the crane operator to begin hoisting. As the crane operator began hoisting and booming up, the vessel crew observed the suspended load drifting toward the vessel wheelhouse and instructed the crane operator to hoist faster to increase clearance. During hoisting, the suspended connex box swung toward the vessel mast and contacted a wind vane and anchor light mounted on the mast.
The vessel crew immediately notified the crane operator of the contact. Crane operations were stopped, the area was secured, and the vessel was repositioned to a safer location to prevent further interaction with the suspended load.No injuries occurred. Damage was limited to the vessel’s wind vane and anchor light. Estimated repair cost is between $2,500 and $5,000.</t>
  </si>
  <si>
    <t>8' × 10' connex box</t>
  </si>
  <si>
    <t xml:space="preserve">Crane #2 Wire Damage – Hydrate Deflector Deployment and Cable Birdnesting Incident (Subsea)
On March 27, 2026, Crane #2 (port forward) was utilized to lower a hydrate deflector to the seabed at Well No. 001 (West Bump) location in preparation for installation around the wellhead.
The hydrate deflector had been pre-slung prior to arrival on the rig and was being lowered subsea to approximately 5,647 ft. During lowering operations, the ROV observed that the Crane #2 wire had experienced an unlay condition (birdnesting) at the lift point. As a result, damage occurred to the crane wire while the hydrate deflector remained attached to the line subsea.
The hydrate deflector was subsequently recovered to surface. Post-recovery inspection identified damage to Crane #2 wire, requiring removal of approximately 115 meters of cable and re-termination of the hook socket. Crane wire repairs were completed prior to returning the system to service. No injuries occurred.
Estimated property damage is approximately $12,804 USD. </t>
  </si>
  <si>
    <t>Hydrate deflector</t>
  </si>
  <si>
    <t>Contact Incident – 11-7/8" Casing Contacted East Crane Boom Rest Lighting During Offloading Operations
At approximately 10:30 hours, during offloading of 11-7/8" casing from a supply vessel, a joint of casing contacted the East crane boom rest lighting assembly.
As a result of the contact, the light fixture was dislodged from its mounting post but remained secured to the boom rest via secondary retention cables. A portion of the mounting bracket and two set screws failed during the impact and fell approximately 7 feet onto the top of a 6x6 container located directly beneath the boom rest.The broken mounting bracket weighed approximately 2.3 ounces, and each set screw weighed approximately 0.8 ounces. No personnel were in the line of fire; the nearest individual was approximately 40 feet away. Red zone barriers were in place at the time of the incident.
Estimated property damage is approximately $219 USD.</t>
  </si>
  <si>
    <t>11-7/8" casing</t>
  </si>
  <si>
    <t>Auxiliary Line Contact with Boom Tip During Lubricator Rig-Down 
On March 28, 2026, at approximately 12:00 hours, a crane/material handling incident occurred during wireline lubricator rig-down operations. The crane main line was connected to the wireline lubricator when wind conditions exceeded allowable limits, and the decision was made to secure and rig down operations. While lowering the lubricator, the crane operator boomed down without simultaneously paying out slack on the auxiliary line. As a result, the auxiliary line headache ball traveled past the anti-two-block device and contacted the boom tip. This contact caused one strand of the auxiliary line cable to break and begin unraveling. Operations were stopped following identification of the issue. No personnel injuries occurred, and no additional equipment damage was identified beyond the affected auxiliary line cable.</t>
  </si>
  <si>
    <t>Wireline lubricator system and associated crane rigging</t>
  </si>
  <si>
    <t>Crane Fast Line Cable Failure and Dropped Object                                                                       While setting up for dive operations aboard the lift boat, the dive crew and crane operator were working together to prepare for a lift. The crane operator lowered the fast line to approximately head height. While coordinating the lift, the operator began raising the fast line to position the rigging near the work area. When the fast line reached approximately 10 to 12 feet off the deck, it suddenly stopped and shuttered.
The dive crew, who were observing the fast line as it was being raised, noticed the sudden stop and observed the Anti-2-Block (A2B) weight sliding down the crane cable from the tip of the crane. The A2B weight, weighing 65 lbs, fell approximately 75 feet and impacted the wedge socket connection at the top of the crane ball. Upon impact, the 9/16" fast line cable sheared at the wedge socket connection. The fast line hook, weighing 125 lbs, then fell approximately 12 feet to the deck. One diver sustained a brush burn and scrapes to the right torso between the ribs and hip, believed to be caused by contact with either the A2B weight or the severed cable. Stop Work Authority was immediately initiated.</t>
  </si>
  <si>
    <t>Dropped Object Resulting from Drill Pipe Protector Damage During Pipe Transfer Operation
At approximately 08:40 hours, the crew was tasked with transferring an assembly consisting of a single joint of drill pipe and a 20-foot pup joint (approximately 50 feet total length) from the Topside Fingerboard Manipulator (TFM) to the starboard pipe deck.
During the transfer, the pin end of the pipe contacted a structural beam located beneath the frac hanger on the starboard forward rig floor wind wall. As a result of the contact, the pin-end pipe protector fractured into multiple pieces.
The pipe protector fragments, with a total weight of approximately 3 pounds (largest fragment approximately 1.5 pounds), fell approximately 15 feet to the starboard aft pipe deck.
At the time of the incident, the Banksman and rigger were positioned on the forward end of the pipe deck in the step-back area, clear of the dropped-object path. No personnel injuries occurred, and no additional equipment damage was reported.</t>
  </si>
  <si>
    <t>Drill pipe and pup joint assembly</t>
  </si>
  <si>
    <t>TFM / pipe-handling transfer</t>
  </si>
  <si>
    <t>Dropped Object Incident – ½" × 3' Steel Sling Lost Through Rotary Table to Moonpool During CADA Rig-Down Operations –  On March 30, 2026, a dropped object incident occurred on the main rig floor of the rig while rigging down the CADA tool. During the operation, a short ½" × 3' steel wire sling (approximately 4 lbs.) was installed through the CADA and attached to the winch hook to support engagement with the running tool as directed by the third-party service company personnel representative. After the shear pins were reinstalled, the third-party service company personnel representative instructed the winch operator to slack off and removed the sling from the winch hook, believing the sling was secured in a basket hitch configuration.
Upon removal of the sling eyes from the hook, the sling released from the CADA and fell through the rotary table and moonpool (approximately 103 ft) into the Gulf of America. No personnel were in the moonpool area at the time, and no injuries or equipment damage occurred. The sling could not be recovered and was classified as marine debris.
Weather conditions at the time were clear with SE winds at approximately 8 knots and seas around 2 feet.</t>
  </si>
  <si>
    <t>½" × 3' steel wire sling used in CADA rig-down operation</t>
  </si>
  <si>
    <t>Rig-floor rigging/winch operation</t>
  </si>
  <si>
    <t>Fingerboard Latch Sheared During ACD Retrieval with Hydra Pipe Racker – No Dropped Object (Secondary Retention Functioned as Designed)
On March 31, 2026, at approximately 19:00 hrs, an equipment contact incident occurred at Well 014 (SP4), within the Houma District while retrieving the ACD assembly from the auxiliary side fingerboard.
During operations, the Assistant Driller used the main Hydra Pipe Racker to retrieve the ACD assembly from Row 5, Slot 2 on the auxiliary side fingerboard. After latching onto the ACD assembly, the Assistant Driller picked up the stand and began retracting the Hydra Pipe Racker. During retraction, the ACD assembly contacted a fingerboard latch, causing the latch to shear as designed.
Secondary retention remained in place and functioned as intended, preventing any dropped object. The red zone was confirmed clear at the time of the incident, and no personnel were exposed to hazards. No injuries occurred.</t>
  </si>
  <si>
    <t>ACD assembly handled via Hydra Pipe Racker / fingerboard system</t>
  </si>
  <si>
    <t>Hydra Pipe Racker retrieval operation</t>
  </si>
  <si>
    <t xml:space="preserve">Contact Incident – Sub-Mar Mat Frame Contacted Chute Handrail During Crane Operations 
During subsea umbilical installation operations, the vessel experienced a crane-related contact incident while transferring Sub-Mar mats to the vessel deck. While bringing the Sub-Mar mat frame onboard, the suspended load contacted the chute handrail on the port forward side of the vessel. The contact resulted in the handrail being bent inward and a release handle breaking off the Sub-Mar frame. There were no personnel injuries associated with the incident. Estimated property damage is approximately $1,000. </t>
  </si>
  <si>
    <t>Sub-Mar mat frame</t>
  </si>
  <si>
    <t xml:space="preserve">Crane Lift Incident – HVAC Fan Guard Bent During Transfer 
On March 31, 2026, at approximately 1700 hours, the platform crane was used to transfer an HVAC unit from the M/V to the platform. During the initial lift attempt, the crane operator observed uneven loading of the HVAC unit. The lift was stopped, and the crew adjusted the sling configuration prior to continuing operations.Following sling adjustment, the lift was completed without further issue. However, on April 2, 2026, construction supervision identified that one of the fan blade guards on the HVAC unit had been bent during the lifting operation. Platform leadership and HSE were notified at that time, resulting in delayed reporting of the incident. The HVAC unit remains in service supporting PWE operations. No personnel injuries were reported. Estimated property damage was approximately $200. </t>
  </si>
  <si>
    <t>HVAC unit</t>
  </si>
  <si>
    <t>Contact Incident – Manual Pallet Jack Contact with Potable Water Tank Fitting                                           While pushing a pallet of blasting media with a manual pallet jack on the East Drill Deck, the contractor supervisor maneuvered the pallet past a potable freshwater tank. As the pallet was being moved, it contacted a PVC fitting on the potable water tank, striking the fitting and breaking it off the tank. The approximate capacity of the tank is 150 gallons, with an estimated 100 gallons in the tank at the time of the incident. No personnel injuries occurred.</t>
  </si>
  <si>
    <t>pallet contained blasting media</t>
  </si>
  <si>
    <t>Manual Pallet Jack</t>
  </si>
  <si>
    <t>Suspended Load Rotation Contact with Chiller System Copper Line During Crane Lift 
On April 2, 2026, a welding crew was performing a material transfer from the Production Deck to the Drill Deck on a Platform using the South Unit Crane. The lift involved angle iron and was classified as a static auxiliary lift. During the hoisting operation, the suspended load began to rotate unexpectedly. As the load rotated, it contacted a one-inch copper line associated with the chiller system, resulting in a brief hang-up of the load. Before the oiler could halt the lift, the copper line was slightly bent; however, it remained intact and system integrity was not compromised.
The welding crew subsequently repositioned the load to eliminate interference and safely completed the lift without further incident. Production Operators inspected the affected chiller line following the event and continued monitoring the system. Based on inspection results and system performance, the chiller system remained in service.</t>
  </si>
  <si>
    <t>Angle iron (steel structural material)</t>
  </si>
  <si>
    <t>Riser Tilt Cylinder Load-Holding Valve Contacted BRC Trolley Beam During Traveling Assembly Lowering
While lowering the traveling assembly after activation of the secondary crown saver during MDDM handling operations, the load-holding valve mounted on the riser tilt cylinder contacted the BRC trolley beam. During contact, the securing bolts on the load-holding valve sheared.
The load-holding valve remained attached to the riser tilt cylinder by three connected hydraulic hoses and did not fall. As a precaution, the drill floor main rotary area was black-zoned to restrict personnel access. The block and tilt cylinder assembly were then safely lowered to the rig floor.
Following lowering operations, the tilt cylinder was removed from the block for inspection. Inspection of the BRC trolley beam confirmed that two of the three sheared bolts remained at beam level, while the third bolt remained captured within the load-holding valve assembly when it reached the rig floor. All sheared bolt components were accounted for. No dropped objects occurred and no personnel injuries were reported.</t>
  </si>
  <si>
    <t>Equipment Component Failure / Lifting Device Component / Load Snag or Contact</t>
  </si>
  <si>
    <t>Traveling assembly (block, riser tilt cylinder, and associated components)</t>
  </si>
  <si>
    <t>Drawworks / hoisting system (rig hoisting equipment)</t>
  </si>
  <si>
    <t xml:space="preserve">Rigging Strap Failure During Subsea Jumper Section Handling – Winterfell #3 Well                                    On 04/03/2026 at approximately 03:00 hrs, crews were performing subsea demolition activities on the Winterfell #3 well.
During operations, the ROV cut the 7" Tree-to-PLEM jumper into several sections and temporarily staged the pieces on the seafloor. One approximately 20-foot section of jumper required additional cutting before placement into a subsea workbasket.
The jumper section had been previously rigged with a single 2" nylon lifting strap, rated at 4,960 lbs (choked). The lift plan involved raising the jumper section slightly and leaning it against the workbasket to improve the ROV cutting angle.
The 150-ton KBC crane aboard the M/V was used to hoist and orient the jumper section. As the crane began hoisting, the 2" nylon strap parted.
There were no personnel injuries and no equipment damage, other than the failed strap.
Following the strap failure, the ROV rigged the jumper section using two nylon straps, and the task was completed safely without further incident.  </t>
  </si>
  <si>
    <t>7" Tree‑to‑PLEM subsea jumper section</t>
  </si>
  <si>
    <t>Hydraulic Riser Running Tool Tilt Cylinder Contact with Bridge Racker Crane Trolley Beam During Secondary Crown Saver Test
During secondary crown saver function testing on April 18, 2026, the traveling assembly was being lowered with the MDDM oriented toward well center and the HRRT riser tilt cylinder installed on the MDDM. As the assembly was lowered, the load‑holding valve manifold on the riser tilt cylinder came into contact with the Bridge Racker Crane (BRC) trolley beam. The contact sheared the securing bolts on the load‑holding valve; however, the valve remained attached to the cylinder, supported by three hydraulic hoses.
The drill floor main rotary was black‑zoned and no personnel were in the area, so there were no injuries. The block and tilt cylinder were lowered to the rig floor, and the cylinder was removed from the block for inspection. Two sheared bolts were recovered at the BRC trolley‑beam elevation and one remained in the valve when it was lowered, with no uncontrolled dropped objects. Inspection confirmed localized damage to the tilt cylinder, and a replacement cylinder was installed. Total repair cost for the hydraulic cylinder was 60.24 USD.</t>
  </si>
  <si>
    <t>MDDM with HRRT riser tilt cylinder attached</t>
  </si>
  <si>
    <t>Drilling hoisting system (traveling block / top drive with MDDM and HRRT riser tilt cylinder); interaction with Bridge Racker Crane (BRC).</t>
  </si>
  <si>
    <t>Crane Boom Walkway Damage Due to Improper Boom Positioning in Boom Rest
At approximately 20:10 hours on April 7, 2026, damage occurred to a section of the walkway and handrail on the east crane boom. The crane boom had been parked too close to a vertical support within the boom rest.
While raising the boom, the crane operator experienced resistance and erratic movement. Recognizing the abnormal condition, the operator immediately lowered the boom back into the rest and halted operations.
A facility mechanic was called to inspect the crane. Initial observations identified that the boom walkway was positioned very close to the boom rest structure, suggesting possible contact during operation. After confirming that mechanical and safety systems were functioning properly, the crane operator resumed operations under observation.
No issues were observed until the boom was returned to the rest position, at which point deformation of the walkway and handrail was identified. The crane was secured in a neutral position and locked out. No injuries or pollution occurred, and estimated damage was less than $2,000.</t>
  </si>
  <si>
    <t>Dropped Object – 22" Casing Thread Protector Dislodged During Backloading Operation
Deck crew was backloading 22" casing from the forward pipe deck to the M/V. Prior to the lift, the rigger verified scribe marks on the thread protectors to confirm they were properly secured. Once verification was complete, the banksman signaled the crane operator to commence the lift.  While the casing joint was suspended approximately 8 feet above the deck of the M/V, the pin-end thread protector (weighing approximately 12.1 lbs) became dislodged and fell onto the vessel deck. No personnel were in the line of fire; the closest worker was approximately 30 feet away. The load was safely returned to the deck of the DCQ, and an investigation was initiated.
Subsequent inspection revealed the thread protector had been made up tight but did not achieve a full turn (approximately 3/4 turn engagement).</t>
  </si>
  <si>
    <t>22" casing joints</t>
  </si>
  <si>
    <t xml:space="preserve">Unsecured Crane Slewed in Wind After Operations – No Injury or Damage                                 During routine lifting operations, a crane operator completed work in the ECR‑1200 (East Crane) and boomed the crane up to approximately a 70‑degree angle. Believing he had properly locked the crane, he exited the cab and moved to the West Crane to begin additional lifts. While operating the West Crane, the operator observed the ECR‑1200 crane beginning to swing in the wind. Wind speed at the time was approximately 15–20 mph with no major gusts reported. The operator immediately radioed the deck crew, who notified the crane mechanic onboard. The mechanic entered the ECR‑1200 crane and correctly secured and locked the crane. The crane swing was stopped, and no personnel injuries, equipment damage, or dropped objects occurred.        </t>
  </si>
  <si>
    <t>Contact Incident – Drum Rack Contact with Supply Boat Vent During Backloading Operations
On 04/09/2026, the supply vessel was alongside the installation conducting offloading of drill water and backloading operations. During the backloading of an empty drum rack (approximately 0.7 tons) from Crane #1 (starboard forward pipe deck) to the vessel, the crane operator initially landed the load on the deck of the Ship Island.
While the drum rack was on deck, the vessel crew requested the crane operator to lift the load to assist with repositioning. The vessel crew used push/pull poles to maneuver the load into position while the crane held it suspended. During this repositioning, vessel motion due to 10 kt easterly winds and approximately 8 ft seas caused the load to shift unexpectedly.
As a result, the drum rack contacted a vent on the deck of the supply vessel, shearing two small bolts securing the vent cover. The incident was immediately reported to the crane operator via radio, and the task was stopped for assessment and reporting. No injuries occurred and no dropped objects were reported.</t>
  </si>
  <si>
    <t>empty drum rack</t>
  </si>
  <si>
    <t>Hand Injury Sustained During Tagline Handling of Cantilever Personnel Basket                                 On April 11, 2026, at approximately 15:45 hours aboard the MODU. A contractor employee (roustabout) sustained an injury to the left hand while performing rust remediation support work on the vessel hull using a cantilever-mounted personnel work basket positioned along the port side of the vessel.
Two roustabouts were assigned in tandem to control a tagline attached to the basket. The basket was occupied at the time of the operation. The second employee in tandem (Employee #2) communicated intent to release the tagline to reposition for a better handling angle. Upon release of tension by Employee #2, the remaining employee (Injured Person, IP #1) maintained control of the basket.
The sudden release of tension caused the full load of the tagline to transfer unexpectedly to the IP’s hands. The tagline tension pulled the IP’s left hand into contact with the vessel handrail, resulting in injury to the top of the left hand. The employee was initially evaluated by the onboard medic and returned to duty. On April 12, 2026, due to swelling, the employee underwent further medical evaluation. Medical assessment identified a small fracture to the left hand. The injury resulted in a DART case classification greater than 3.</t>
  </si>
  <si>
    <t>Personnel basket (with personnel inside)</t>
  </si>
  <si>
    <t>Crane Main Block Contacted Deck Light Fixture During Preparation for Subsea Crane Operations
The crane operator lowered the main block of the 400-ton crane to the deck and tagged it down to allow removal of the holdback tugger in preparation for subsea crane operations. Roustabouts removed the tugger cable from the block and properly stowed it.
After removal was complete, the crane operator picked up the crane block. As the block lifted off the deck, it swung to port and contacted a 4-foot fluorescent light fixture on the main deck, resulting in damage to the fixture. No personnel were present in the red zone at the time of the incident, and no dropped objects occurred.
The electrician was notified to repair the damaged fixture. The event was discussed with the crew, emphasizing the importance of selecting a larger, unobstructed work area when available to prevent recurrence. Subsea crane deployment operations continued afterward without further issue.
No lift was in progress at the time of the contact event; therefore, taglines were not in use. The operation was conducted within the crane operator’s direct line of sight and maintained radio communication throughout. The estimated replacement cost of the damaged fixture is approximately $500.
The event occurred approximately one hour after a routine inspection team departed the rig. The Responsible Authority (RA) was notified, and operations continued as normal.</t>
  </si>
  <si>
    <t>No load                     (Only the crane main block was being picked up—no suspended load involved)</t>
  </si>
  <si>
    <t xml:space="preserve">Finger Pinch Injury During Fuel Tote Placement in Designated Tote Rack 
On April 14, 2026, at approximately 1300 hours during crane-assisted material handling operations a
fuel tote tank was being lowered by crane into a designated tote rack. The tank was suspended several inches above the landing surface and was being positioned for final placement within the rack.
An employee (Injured Person, IP) attempted to remove the tagline from the suspended tote tank prior to full landing. During this action, the tank rotated slightly within the rack interface. As a result, the IP’s left thumb became pinched between the suspended fuel tote tank and a stationary tote tank already positioned in the rack.
At the time of the incident, the IP was wearing gloves that were not consistent with operator's PPE standards. Following the event, operations were immediately stopped and the injured employee was evaluated by the onsite medic. The injury was determined to be minor in severity, consisting of a small laceration and minor bleeding to the left thumb. Medical treatment consisted of local bandaging and a recommended follow-up evaluation the following day.
A safety standdown was conducted by facility leadership to review the incident, discuss causal factors, and reinforce safe material handling practices. On April 15, 2026, a follow-up medical assessment confirmed no additional trauma. The employee reported no ongoing concerns and was cleared to return to normal duty. The event is classified as First Aid only, with no lost work time anticipated.              </t>
  </si>
  <si>
    <t>Fuel tote tank</t>
  </si>
  <si>
    <t>8' x 25' Basket Contact with Fire Extinguisher Storage – West Crane                                                                   While lifting an 8 ft x 25 ft open‑top basket containing supersacks of waste (approximately 20,000 lb) with the west crane (Seatrax Monarch SeaKing S7226) on the west main deck, the suspended load swung and struck a fiberglass fire extinguisher storage cabinet. The vessel was positioned off the west side of the facility under the west crane. Weather at the time was calm winds (approximately 2 kts) and 5 ft seas. Two riggers were using tag lines to help control the basket. The contact resulted in minor damage to the fiberglass storage unit only. No personnel were injured, and no damage was identified to the crane, rigging, or basket. Estimated property damage was approximately $100. An oral report was made to the regulator, and an internal safety stand‑down was conducted with the crane crew.</t>
  </si>
  <si>
    <t>8 ft × 25 ft open-top basket containing supersacks of waste (approximately 20,000 lb)</t>
  </si>
  <si>
    <t xml:space="preserve">Contact Incident – Scaffold Basket Contacted Hose Rack During Crane Operations
On April 14, 2026, a crane-related contact event occurred  while utilizing the west crane. During lifting operations, a construction scaffold basket came into contact with a hose rack on the facility.
As a result of the contact, minor damage was observed to the hose rack, including a slight structural bend and a cracked weld on the backside. No injuries to personnel were reported, and no dropped objects occurred.
</t>
  </si>
  <si>
    <t>construction scaffold basket</t>
  </si>
  <si>
    <t xml:space="preserve">Drill Pipe Parted During Casing Pulling Operation                                                                                            On April 15, 2026, at approximately 14:30 hours, a joint of 3 1/2 in. S135 IF drill pipe parted during a casing pulling operation. The drill pipe was being used to apply tensile load in an attempt to pull the 13 3/8 in. casing hanger and 13 3/8 in. casing. Approximately 360,000 lb of tensile load was applied repeatedly to the drill string prior to failure. The joint of drill pipe separated under load, and the pulling operation was suspended. No personnel injuries were reported, and there was no additional damage identified beyond the parted drill pipe joint.  </t>
  </si>
  <si>
    <t>13 3/8 in. casing hanger and 13 3/8 in. casing string</t>
  </si>
  <si>
    <t>Drilling rig hoisting equipment:</t>
  </si>
  <si>
    <t>Drill String Slippage During Milling Operations – A025 Well
During milling operations on the A025 well, the drill string slipped approximately 7 feet while the rotary was being repositioned. The Iron Roughneck System (ISS) operator successfully engaged the stationary slips, arresting the downward movement of the drill string and preventing impact with the bar clamp. No injuries or equipment damage occurred as a result of the event.</t>
  </si>
  <si>
    <t>Drill String (including BHA)</t>
  </si>
  <si>
    <t>Rotary slips (rig slips / stationary slips) used in the rotary table</t>
  </si>
  <si>
    <t>Hard Landing of Personnel Basket During Transfer 
On April 18, 2026, a personnel basket transfer was being conducted from the platform to the attending vessel, with three contractor personnel positioned in the basket. During the maneuver over the platform handrail and descent toward the vessel deck, the basket experienced an unexpected change in momentum. The personnel inside observed the abnormal movement and attempted to signal their concern to the crane operator using visual signals. The basket continued its descent and made a hard landing on the vessel deck. All three occupants sustained minor injuries, received medical evaluation and treatment, and were classified as first‑aid cases; each individual was released to full duty with no work restrictions.</t>
  </si>
  <si>
    <t>Three contractor personnel</t>
  </si>
  <si>
    <t>Bit Stand Slipped Through Bridge Racker Grip Jaw and Contacted Drill Floor                                  BRC Bit Stand (114 ft, 20,500 lbs) slipped approximately 18 inches through the Main Bridge Racker (BRC) grip jaw while being transferred from the top drive (MDDM) to the fingerboard setback area using the Main Vertical Pipe Handler (VPH) during pipe racking operations. The stand came to rest on the drill floor deck boards approximately 10 feet from well center. The pipe remained fully contained within the VPH throughout the event with no potential for release. No injuries, no confirmed equipment damage. Drill floor operations were secured and a PTW issued to rack the stand to its parking position using the Auxiliary VPH. Root cause attributed to peak load oscillations approaching the 9-5/8" grip profile limit, combined with heavy BHA weight (approx. 12,830 kg), resulting in pipe movement within the grip rather than grip release or hydraulic failure.</t>
  </si>
  <si>
    <t>Bit Stand (made up of drill pipe stands configured to run a drill bit/BHA)</t>
  </si>
  <si>
    <t>Main VPH/BRC grip jaw</t>
  </si>
  <si>
    <t>Torque Tube Damage from Inadvertent Pipe Stand Contact During Top Drive Repositioning                      During routine drilling operations at approximately 21:10, a stand of pipe had been set in the slips and the elevators were being unlatched in preparation to move the top drive (TDX) clear. The SDI indicator light showed the elevators in the unlatched position, and the driller proceeded to slack off and retract the block to move the TDX away from the well center. As the block was being slacked off, the pipe stand inadvertently contacted the torque tube.
The stand was subsequently racked back and the TDX lowered to the rig floor for inspection. During this inspection, damage was identified on the torque tube assembly, including three bracket bolts that had sheared off. The three bolts, along with their associated secondary retention, were later found on the rig floor with a combined weight of approximately 3.2 ounces. The red zone was clear by design at the time of the contact, and no personnel were exposed or injured. A preliminary investigation was initiated, supporting documents and witness statements were collected, and the cost of repairs was later estimated at 6,721.27 USD.</t>
  </si>
  <si>
    <t>stand of pipe set in the slips</t>
  </si>
  <si>
    <t>Drawworks / top drive hoisting system (TDX) with elevators handling stand of drill pipe</t>
  </si>
  <si>
    <t xml:space="preserve">Crane Hook Contact with Test Pump Water Tank Lid During Vessel Backloading Operations
Onboard the facility, a crane operator was preparing to lift an Oil States test pump from the MV s to the facility deck during routine backloading operations. While the deck crew was in the process of securing tag lines to the load, vessel motion in seas of approximately 5–7 feet with winds of 20–25 knots caused the crane hook to swing and contact the water tank lid on the test pump. The contact resulted in damage to the tank lid but did not disturb any other components.
The crane operator immediately notified supervision, and the test pump assembly was inspected before the lift continued. The inspection confirmed that no loose components or dropped object hazards were present, and the test pump was subsequently transferred safely to the deck. No personnel injuries occurred, and no dropped objects were reported. Equipment damage was limited to the water tank lid, with an estimated repair cost of 169.14 USD. </t>
  </si>
  <si>
    <t>Oil States test pump with an integral water tank,</t>
  </si>
  <si>
    <t>Crane Boom Structural Damage Identified During Quarterly Inspection 
On April 23, 2026, at approximately 09:30 hours, a crane mechanic resumed quarterly inspection activities on the platform crane. These inspection activities had initially begun earlier in the week but were temporarily suspended due to concurrent ARO work with contractor.
While inspecting the boom heel pin area, the mechanic observed that the boom stop rubber was positioned abnormally, adjacent to the swing gearbox. This prompted a closer examination of the boom structure. During the inspection, damage was identified on the boom chord and the lacing band in the heel section of the crane boom.
The condition was immediately reported to the Maintenance Team Lead (MTL) and the Offshore Installation Manager (OIM). As a precautionary measure, crane operations were suspended pending a detailed engineering assessment and further evaluation.</t>
  </si>
  <si>
    <t>No Load
(inspection activity only — no lifting operation in progress when discovered)</t>
  </si>
  <si>
    <t>Safety Link Sling Failure During 18" Casing Running Operations
On 4/25/2026 at approximately 1815 hours, personnel were conducting 18" casing running operations on the main rig floor. A single 18" casing joint was lifted from the RFM using Weatherford single-joint elevators and associated rigging. Once the joint was positioned vertically, it was aligned for stabbing utilizing the DFMA system.
The driller slacked off the suspended joint into the box of the casing joint positioned in the rotary, and Weatherford personnel completed the connection makeup. The driller subsequently lowered the block, latched the Weatherford 18" casing elevators onto the casing string, and picked up the string to remove the slips. While lowering the string, the driller observed damage to a sling associated with the lifting arrangement. The operation was immediately stopped, the string was secured in the slips, and a time out was called.
Following inspection, it was determined that the 5/8" x 22" safety link sling (WLL 3.9T) had parted. No personnel injuries, dropped objects, or secondary equipment damage occurred. The only damage identified was to the safety link sling itself. Weather conditions at the time included southeasterly winds at approximately 15 knots and seas of 2–3 feet.</t>
  </si>
  <si>
    <t>18" casing joints and a casing string, which fall squarely under tubulars.</t>
  </si>
  <si>
    <t>Derrick / drilling hoisting system (drawworks, travelling block, and hook) on the main rig floor.                                     Below‑the‑hook / lifting attachment:
- Weatherford single‑joint elevators (for the individual 18" joint lifted from the RFM).
-Weatherford 18" casing elevators (latched onto the casing string).
Rigging component that failed:
5/8" × 22" safety link sling (WLL 3.9T) acting as a weak‑link in the lifting arrangement.</t>
  </si>
  <si>
    <t>Contact Incident – Lifeboat 7 Made Contact with Davit Structure During Winching
On April 25, 2026, at approximately 0745 hours, the Marine Team was conducting a scheduled monthly inspection of Lifeboat 7. As part of the inspection, the lifeboat was lowered and then winched back into its stowed position. During the winching operation, the upper limit switch failed to stop the hoist, allowing the lifeboat to be raised beyond its normal stopping point and make contact with the davit structure. The contact caused minor damage to the lifeboat’s fiberglass; however, the lifeboat remains fit for service. It is noted that the limit switches were function‑tested and confirmed to be operating correctly immediately prior to raising the lifeboat. Work was stopped and the proper notifications were made following the incident.</t>
  </si>
  <si>
    <t>Lifeboat 7</t>
  </si>
  <si>
    <t>A lifeboat davit system</t>
  </si>
  <si>
    <t xml:space="preserve">Contact Incident – Sling Contacted Cooling Water Expansion Tank Sight Glass Valve During Casing Lift                                                                                                                                                          On April 25, 2026, the crane crew was using the Port Aft Crane to pick up 22" casing. As the crane began to hoist, the lifting sling came into contact with a sight glass valve mounted on an adjacent cooling water expansion tank. The contact sheared the valve bolts, causing the valve assembly (weighing approximately 1.98 lbs) to drop about 8 inches and come to rest on top of the expansion tank. No fluids were released, the tank remained intact, and there were no injuries.  </t>
  </si>
  <si>
    <t>22" casing</t>
  </si>
  <si>
    <t xml:space="preserve">Minor Contact of Suspended Conex Box with Fixed Lighting Fixture                                                               On April 25, 2026, an 8 ft x 10 ft Conex box was being transferred from the drill deck to the lower deck using the west crane. While the load was being positioned over the side of the platform, the suspended Conex box contacted a fixed lighting fixture. The contact caused minor damage to an aluminum pipe nipple connecting the light fixture to its mounting pole. No personnel injuries occurred, and no damage was identified to the crane or the lifted load. An electrician was notified and initiated repairs to return the fixture to service. The estimated repair cost is approximately $50. </t>
  </si>
  <si>
    <t xml:space="preserve">Contact Incident – Lube Oil Tote Valve Sheared During Repositioning on Pipe Deck
On April 25, 2026, the port forward crane was being used to land a 500‑gallon tote of lube oil onto the pipe deck. After the initial landing, the load required minor repositioning, and the crane operator re‑hoisted the tote to adjust its position. During the second landing, the tote’s valve contacted a stanchion post receptacle on the deck, resulting in the valve being pulled off the tank. The tote was then safely landed and secured. No personnel were injured. </t>
  </si>
  <si>
    <t>500-gallon tote of lube oil</t>
  </si>
  <si>
    <t>Loss of Communications to SA002 and SA005 Due to Unmated Electrical Flying Lead Connection
During ROV operations for the Laser Shark (Silver Tip Phase 3) project, an ROV slightly repositioned an existing Q2 Electrical Flying Lead (EFL) that was obstructing access for a planned EFL installation. Shortly afterward, communications to wells SA002 and SA005 were lost when the crossover-to-EFL connection separated upon minimal contact with the ROV manipulator. Although the connector indicators showed the connection as mated, the ease of separation indicated it was not fully mechanically engaged.
Both wells had only one available communications line (SEM B) due to historical issues, leaving them without communications and limiting operations. Regulatory coordination allowed temporary operation without communications while repairs were completed. On April 28, 2026, both EFLs were replaced and communications were restored. The total replacement and installation cost was approximately $780,000. No injuries occurred and no personnel muster was required.</t>
  </si>
  <si>
    <t>ROV was manipulating/repositioning an EFL, not lifting a load.</t>
  </si>
  <si>
    <t>Contact Incident – Crane Hook Contacted Riser Deck Light Fixture During 3×3 Basket Lift
During a lift of a 3×3 basket from the riser deck, the crane hook experienced fast‑block sway and contacted an overhead light fixture, damaging the light bracket. The light fixture remained in place and was contained by the installed DROPS netting, and there were no dropped objects. The load remained on the deck at the time of contact, and no tag lines were attached. Radio communication was in use between the crane operator and the rigging crew, and this was not a blind lift. No personnel were injured. Approximate damage cost is 871.59 USD for the light fixture. Immediate actions included completing the lift in a controlled manner and notifying the appropriate supervisor and asset management.</t>
  </si>
  <si>
    <t>3×3 Basket</t>
  </si>
  <si>
    <t>Knuckle Boom Crane Contact with Pipe Deck Handrail During Crane Positioning for Maintenance
On 04/28/2026 at approximately 1900 hours, personnel aboard the facility were preparing to perform greasing and inspection activities on the 100MT starboard/forward knuckle boom crane #1.
The crane operator was positioning the crane with the knuckle extended and the boom lowered across the forward pipe deck in preparation for walking the boom for maintenance and inspection. While booming down, with the boom tip positioned over the warehouse porch, the underside of the crane knuckle contacted the port pipe deck handrail.
An all-stop was immediately initiated and the incident was reported to the UWA. No load was attached to the crane at the time of the event. Subsequent inspection confirmed no structural damage to the crane beyond minor paint transfer/surface impact. Damage was limited to the pipe deck handrail, with estimated repair costs less than $500. No personnel injuries or dropped objects occurred.
Environmental conditions at the time included southeasterly winds of approximately 18 knots and seas of 3–4 feet.</t>
  </si>
  <si>
    <t>Basket Contact with Staircase – Sheared Bolts on Drops Prevention Skid (No Injuries)
On April 29, 2026, at approximately 03:20 hours, the crane operator was offloading a supply vessel on the starboard side using hands-free operations to position a 90-foot basket. During positioning, the basket contacted the underside of a nearby staircase. This contact caused three bolts (3/8" x 1-3/8") to shear from the drops prevention skid mounted beneath the staircase treads. The deck area was barricaded due to ongoing lifting operations, and no personnel were present in the immediate vicinity. No injuries occurred, and the only damage noted was to the drops prevention skid fasteners. The estimated cost to replace the sheared bolts is $1.50 .</t>
  </si>
  <si>
    <t>90-foot basket</t>
  </si>
  <si>
    <t>Crane Boom Contact with Adjacent Cradled Crane During Grocery Box Offloading Operations
Onboard the drillship at approximately 1720 hours, the crane crew was offloading a grocery box to the starboard forward main deck utilizing the port forward crane. During the lifting operation, the boom of the port forward crane contacted the handrail located on top of the starboard forward crane, which was in the cradled position at the time of the incident.
An all-stop was immediately called, and the suspended load was safely landed without further incident. No dropped objects, personnel injuries, or loss of containment occurred. The event resulted in minor property damage estimated at approximately $950.</t>
  </si>
  <si>
    <t>grocery box</t>
  </si>
  <si>
    <t>Strain Injury Event During Manual Material Handling – Scaffold Builder, Engine Overhaul Preparation
On 05/01/2026, while preparing for an engine overhaul to be conducted by LA Cat, a GSSI scaffolding builder was assigned to lift a chain fall weighing approximately 47.6 pounds to an elevated work area using an approved lifting rope. The worker accessed the elevated position with appropriate fall protection.
During the lifting process, the individual experienced a sudden “pop” in the back with radiating pain down the right leg. The worker carefully lowered the chain fall in a controlled manner, descended from the elevated position, and immediately reported the incident to his supervisor.
The injured person (IP) was provided over-the-counter medication and advised to rest. On 05/02/2026, the IP continued to report pain and was scheduled for crew change flight for further medical evaluation. No witness statements were available.
GSSI later evaluated the case and released the individual to full duty with no further medical treatment required, concluding the discomfort was related to a pre-existing condition and classifying the case as first aid. The IP did not return to the facility and continued work from the GSSI office, with instruction to follow up with a personal physician regarding the pre-existing condition.
No property damage was reported.</t>
  </si>
  <si>
    <t>Chain fall / hoisting device weighing ~47.6 lbs used during scaffold/engine prep activities.</t>
  </si>
  <si>
    <t>Manual material handling (human-powered hoisting with rope)</t>
  </si>
  <si>
    <t xml:space="preserve">Crane-Related Contact Incident Resulting in Damage to Coolant Day Tank Piping 
On May 1, 2026, at approximately 08:00 hours, a crane/material handling incident occurred during ongoing facility repair activities. Construction personnel were engaged in the removal of a temporary work platform used to access the upper area surrounding a gas compressor.
While lifting and repositioning the work platform using the crane, the platform became caught on a protruding bottom nipple and associated piping connected to the coolant day tank. As a result of this contact, the nipple and piping sustained damage.
No personnel injuries were reported. </t>
  </si>
  <si>
    <t>Temporary work platform</t>
  </si>
  <si>
    <t>Diesel Tote Tank Contacts Mooring Bitt During Vessel Offloading
Personnel were lifting a diesel tote tank from a motor vessel when the vessel shifted unexpectedly due to wave action. The vessel movement caused the suspended tote tank skid to swing and contact a nearby mooring bitt, resulting in damage to the tote tank skid pan. There were no injuries to personnel and no environmental impacts reported. Estimated repair costs for the damaged skid pan are less than $1,000.</t>
  </si>
  <si>
    <t>diesel tote tank</t>
  </si>
  <si>
    <t>Crane Cable Contact with KBC Speaker Resulting in Dropped Object – STBD Aft Upper Pipe Bay
At approximately 06:15, the #2 crane cable contacted a speaker mounted on the #4 KBC while positioning a basket into the starboard (STBD) aft upper pipe bay. During the contact, the horn of the speaker assembly became dislodged and fell approximately 20 feet, landing inside the basket being positioned below.
The basket was immediately lowered in a controlled manner, and the supervisor was notified. No personnel were within the red zone at the time of the incident, and no materials were lost overboard. 
The estimated cost of damage is $368.26 USD. Per the DROPS calculator, all three components involved were classified as “SLIGHT” risk. No injuries were reported.</t>
  </si>
  <si>
    <t>Basket being positioned into the STBD aft upper pipe bay</t>
  </si>
  <si>
    <t>Unintended Deployment of 25-Man Viking Life Raft During Container Transfer Operation
During routine operations aboard the offshore facility, a 25-person Viking life raft was being transferred from a container to its hull-mounted position using crane lifting equipment. While the lift was in progress, the crane sling/line became snagged on an adjacent handrail. As a result, the life raft container slipped free from the sling and fell into the water below.
Upon water impact, the life raft deployed from its container as designed. The deployed raft was observed floating in the water near the facility. A vessel was dispatched to recover the life raft, and it was subsequently retrieved and brought back onboard. The U.S. Coast Guard Sector New Orleans was notified at the time of the incident and again upon recovery of the equipment.
No personnel injuries occurred. Estimated replacement cost of the deployed life raft is approximately $1,900.</t>
  </si>
  <si>
    <t>25-person Viking life raft in its container</t>
  </si>
  <si>
    <t>Contact Incident – Suspended Valve Contacted Palletized Valve During Landing Operation 
On May 4, 2026, the crane crew was conducting pre-TAR (Turnaround) activities and in the process of landing a valve in the mid-deck production module laydown area. Weather conditions at the time were favorable, with winds 6–10 kts from the southeast, seas 2–3 ft from the east, current towards 194 degrees at 0.47 kts, and temperature 74°F. During the landing operation, the suspended valve swung and contacted an adjacent palletized valve staged in the laydown area. The contact resulted in damage to a stainless steel control tubing line and regulator on the palletized valve. No personnel were injured, and no additional damage was noted on the suspended valve. Stop Work Authority was initiated immediately to discuss the incident and implement mitigations to prevent recurrence. Cost to replace the damaged stainless steel tubing and gauge is to be determined.</t>
  </si>
  <si>
    <t>Suspended valve being set down during pre-TAR activities</t>
  </si>
  <si>
    <t>E-Line Unit Contact With Vessel Gangway And Well Barricade During Offloading
During routine offloading operations from the stern of a motor vessel, an E-Line unit was being lifted when it made contact with an adjacent aluminum well barricade and the vessel gangway located on the stern. The contact resulted in damage to the aluminum frames of both the well barricade and the gangway handrail. Operations were subsequently reviewed, and a final investigation was completed and attached as part of this initial and final report package. No personnel were injured, and there were no environmental impacts associated with the event.</t>
  </si>
  <si>
    <t>E‑Line unit              (used for well interventions/operations, not a generic container, basket, or bulk cargo.</t>
  </si>
  <si>
    <t>Basket Sling Contact with Air Compressor Radiator Housing During Supply Boat Offloading Operations
On 05/07/2026 at approximately 1130 hours, a crane event occurred during supply vessel offloading operations involving the motor vessel.
While lifting an open basket containing an air compressor from the vessel, a sling associated with the basket contacted the radiator housing of the air compressor during the hoisting operation. The contact resulted in minor, localized damage to the radiator blade housing.
Operations were stopped and the equipment was inspected following the event. No personnel injuries, dropped objects, or loss of containment occurred as a result of the incident.</t>
  </si>
  <si>
    <t>open basket containing an air compressor.</t>
  </si>
  <si>
    <t>Bridge Racker Crane Load Slip Event – Bit Stand Contacted Lower Guide Assembly During Static Positioning                                                                                                                                    On 05/09/2026, drilling operations were underway to move an SLB bit stand (part of the drilling BHA) to the main well center in preparation for running the BHA for the upcoming hole section. The load, weighing approximately 22,000 lbs, was being handled by the Aux-side Bridge Racker Crane (BRC) on the drill floor near the Aux well center.
The Assistant Driller (AD) had been maneuvering the bit stand to transition from the Aux side toward the main well center so the main elevators/top drive could take the stand for running. While the unit was in a static position (not actively slewing at the time), the bit stand unexpectedly slipped and slid downward approximately 12–18 inches while remaining vertical. During the downward movement, the stand made contact with the guide frame on the bottom of the Lower Guide Assembly (LGA).
The bit stand did not fall free, remained under control in the vertical position, and no dropped objects occurred. No personnel injuries were reported. Initial inspections confirmed no immediate structural or equipment damage; however, the drill bit was scheduled to be replaced as a precaution pending further evaluation.
All rig floor operations were immediately shut down. The Drill Superintendent, Senior WSL, OIM, Maintenance Superintendent, electricians, ETs, and mechanics responded to assess the incident. At the time of reporting, the exact reason for the unexpected slip had not been determined, and a recovery plan was being developed to safely remove the bit stand from its current position and return it to the derrick.</t>
  </si>
  <si>
    <t>SLB bit stand that is part of the drilling bottomhole assembly (BHA)</t>
  </si>
  <si>
    <t>Cuttings Box Lid Damage Due to Sling Hang-Up During Crane Lift
On May 10, 2026, at approximately 1700, the crane crew was performing a task to change out a full 25 bbl cuttings box on the starboard aft cuttings deck porch using the 100T Knuckle Boom Crane #3. A pre-job briefing was conducted, including review of the prompt card and Job By Design.
During rigging, the cuttings box d-ring was connected to the crane’s 5-fall block. As tension was applied to the rigging, one leg of the 4-part sling became hung up underneath the cuttings box lid. The banksman immediately called for an all-stop over the radio; however, the crane operator was unable to stop the lift quickly enough to prevent minor damage.
As a result, a small securing tab on the cuttings box lid broke off. The tab landed on top of the box near its original position. All personnel were positioned in the designated safe step-back area inside the cuttings equipment room at the time. There were no injuries, no dropped objects, and no impact to operations. Weather conditions were approximately 10 knots ESE winds with 4–5 ft seas.</t>
  </si>
  <si>
    <t>Crane Lift Contact with Line-of-Sight Fire &amp; Gas Detector – Choke Skid Transfer
Rig Crane #3 was hoisting an NPD choke skid onto the shaker deck when the load contacted a line-of-sight fire and gas (F&amp;G) detector. The lift was being conducted using taglines to control the cargo box/basket, with continuous radio communication maintained throughout the evolution. The lift was not classified as a blind lift.
There were no injuries, dropped objects, or immediate safety consequences associated with the incident. Multiple other line-of-sight detectors are present in the area, and no operational disruption was reported at the time.
During investigation, no physical damage to the detector was identified and the cost of repair was recorded as $0. It was determined that force from the bridle cable used to support and position the load caused a temporary displacement of the detector cable/sensor alignment. The sensor was subsequently re-aligned and returned to service.</t>
  </si>
  <si>
    <t>NPD choke skid / choke skid assembly being installed on shaker deck</t>
  </si>
  <si>
    <t>Scrap Casing Bundle Contact with Vessel Handrail During Backloading Operations
During backloading operations utilizing the LB’s crane, personnel were transferring a bundle of scrap casing to the ML Grove. While positioning the casing bundle onto the vessel, the suspended load contacted the handrail located on the rear jump deck of the vessel.
As a result of the contact, the top rail section of the handrail was bent. Operations were stopped and the area was inspected following the incident. No additional property damage, personnel injuries, dropped objects, or environmental impacts were reported.</t>
  </si>
  <si>
    <t>bundle of scrap casing.</t>
  </si>
  <si>
    <t>Load Shift Incident During Sling Change-Out – BOP Drift Stand Contacted Adjacent Stanchion During Crane Operation
Crane operator utilizing Crane #4 (knuckleboom crane) was handling an 18.72" OD BOP drift stand during lifting operations. As part of the lift evolution, the drift stand was temporarily rested on a riser joint located on the deck to facilitate a sling change-out.
While the crane operator was slacking off tension on the suspended drift stand, the stand unexpectedly slid off the forward end of the riser and made contact with an adjacent stanchion. A flagger was assisting the crane operator during the operation, and radio communication was maintained throughout the lift. The lift was not classified as blind, and a temporary red zone had been established at the time of the event.
A tag line was attached to the bottom of the joint; however, it was not actively being used during this portion of the lift due to lift plan considerations and the location of the operation.
No dropped objects occurred, no injuries were reported, and post-incident inspection identified no visible damage to the drift stand, stanchion, crane, or surrounding equipment. No repair costs were incurred.</t>
  </si>
  <si>
    <t>8.72" OD BOP drift stand</t>
  </si>
  <si>
    <t>Crane Block Contact with Jib Resulting in Sheave Housing Damage – NBC #3 Stbd Forward Crane
During internal lifting operations onboard NBC #3 utilizing the starboard forward crane, the crane block made unintended contact with the crane jib. As a result, minor damage was observed on the sheave housing located on the jib. The contact occurred while positioning or handling loads during internal lift activities. Following the incident, operations were stopped and the crane will be inspected to confirm whether any additional or hidden structural damage exists beyond the visible sheave housing impact. At this time, no injuries or environmental impacts have been reported. The total cost of damage is currently unknown and pending assessment.</t>
  </si>
  <si>
    <t>Internal crane lift using block and hook system; no external cargo specified, focus is crane system interaction.)</t>
  </si>
  <si>
    <t>Tote Tank Transporter Rack Door Damage During Vessel Offloading Operations
Crane operations were underway to offload cargo from the M/V utilizing the East Crane. The crane operator was attempting to lift a full four-pack tote tank transporter rack identified as MCC-047, weighing approximately 26,000 pounds, from the starboard side of the vessel.
During the initial lift, the door of the tote tank rack became lodged beneath an adjacent rack, causing the load to hang up and preventing free movement of the cargo. Upon recognizing the resistance and abnormal load condition, the crane operator immediately lowered the load back onto the vessel deck and disconnected from the load.
Subsequent inspection by vessel personnel determined that the door on the affected transporter rack had sustained damage and was no longer operable. No personnel injuries, dropped objects, or chemical releases occurred during the incident.
The tote tank transporter rack contained the following materials:
Corrosion Inhibitor CORR1176SE (2 totes)
Biocide BIOC34011A (1 tote)
Tri-Ethylene Glycol (1 tote)</t>
  </si>
  <si>
    <t>full four‑pack tote tank transporter rack (MCC‑047, ~26,000 lb)</t>
  </si>
  <si>
    <t xml:space="preserve">Crane Block Contact with Jib Resulting in Sheave Housing Damage – NBC #3 Stbd Forward Crane
During internal lifting operations onboard NBC #3 utilizing the starboard forward crane, the crane block made unintended contact with the crane jib. As a result, minor damage was observed on the sheave housing located on the jib. The contact occurred while positioning or handling loads during internal lift activities.
Following the incident, operations were stopped and the crane will be inspected to confirm whether any additional or hidden structural damage exists beyond the visible sheave housing impact. At this time, no injuries or environmental impacts have been reported. </t>
  </si>
  <si>
    <t>crane’s own sheave housing on the jib,</t>
  </si>
  <si>
    <t>Welding Machine Contact With Spider Basket During Backloading to Vessel
During backloading operations from the facility to the boat, the crane operator was lowering a welding machine to the vessel deck. The deckhand was directing the operator to place the load in a designated staging area. While maneuvering the load into position, the suspended welding machine contacted a spider basket located on the deck. The spider basket sustained minor damage. No personnel were injured, and no one was in the line of fire at the time of the contact.</t>
  </si>
  <si>
    <t>Dropped Object Incident – Teflon Spacer Pad Dislodged During Controlled Lift of Duct Section #4
During a planned lifting operation, the Projects team and crane crew were positioning Duct Section #4 into its designated installation location. While the load was suspended, it was observed to exhibit slight lateral sway.
In response, the Deck Lead immediately issued an “All Stop” to halt the lift. During the controlled repositioning of the load following the stop command, a Teflon spacer pad (approximately 1 ft x 2 ft, weighing ~2.5 lbs) became dislodged from the duct section and fell approximately 6 feet to the deck below.
At the time of the incident, the nearest personnel was an Electrical Engineer (EE) managing a tagline, positioned approximately 6 feet from the drop zone. No contact or injuries occurred.
The load was subsequently safely landed and secured. A safety standdown was conducted immediately with all involved personnel to review the event and reinforce safe lifting practices.</t>
  </si>
  <si>
    <t>Human Error / Dropped Object / Mechanical Failure</t>
  </si>
  <si>
    <t>Duct Section #4</t>
  </si>
  <si>
    <t>East Seatrax Crane Load Contact with Knuckle Boom Handrail During Material Transfer
On 05/14/2026, the East Seatrax crane was being utilized to lift an open-top box containing chemical buckets from the chemical porch located on the west side of the rig. During the lift, the top corner of the box made contact with the mid-rail section of the handrail surrounding the knuckle boom area. The contact resulted in minor damage to the handrail.
The load remained secured throughout the event, and no dropped objects occurred. No personnel injuries were reported. The crane remained operational following the incident and was not required to be taken out of service. Estimated damage costs were approximately $100 USD.</t>
  </si>
  <si>
    <t>Crane Event – Dropped Load Due to Elevator Slippage During Drill Pipe Handling                       On 05/15/2026, Contractor was preparing to run a 3.5" drill pipe and spear assembly into the wellbore to assist in recovering a cut 13-5/8" casing using the platform crane on the offshore facility.
The crane operator positioned the elevators onto a 3.5" pup joint, and a crew member latched the elevators around the joint. After visually confirming the elevators were closed, the crew member secured the elevator horns together with a rope and stepped back. The crane operator then initiated a controlled lift using the main block.
When the assembly was raised approximately 8 feet above the deck, the elevators unexpectedly slid forward approximately 2 feet, impacting the pup joint tool joint/box. The impact caused the elevators to open, resulting in the bumper jar and spear assembly falling approximately 8 feet onto the engineered drilling rig skid beams on the platform deck. No injuries were reported.</t>
  </si>
  <si>
    <t>Drill pipe pup joint with bumper jar and spear assembly used in well intervention/recovery operations.</t>
  </si>
  <si>
    <t>Suspended Load Contact with Shaker House Window During Lifting Operations                                                                                  During a routine lifting operation, a crane operator was hoisting a toolbox to the top deck. As the load approached its intended destination, the crane operator initiated a swing to the left. During the maneuver, the suspended toolbox contacted a window on the shaker house, causing the window to become dislodged from its frame.
No personnel were in the line of fire, and no injuries occurred as a result of the incident. The associated door and surrounding structure were inspected and found to have sustained no damage. The displaced window was inspected and successfully reinstalled without requiring replacement.
Operations were paused to assess the condition of the window and surrounding structure prior to resuming lifting activities.</t>
  </si>
  <si>
    <t>DI Water Tote Contacted Adjacent Tote During Vessel Movement
During offloading operations from the warehouse boat, a full DI water tote tank (~5,000 lbs) was being lifted by crane to the platform. While the load was being hoisted, the vessel experienced movement due to swell/drift in approximately moderate sea conditions. This unexpected movement caused the suspended tote to swing and make contact with an adjacent empty DI water tote (~500 lbs) located on the boat deck, knocking it onto its side.
No personnel were in the immediate area at the time of the incident, and no injuries occurred. The crane operator maintained control of the load and continued lifting it safely onto the platform.
Following the event, the lifted tote was landed and inspected with no damage identified. The crane operator then uprighted the empty tote on the vessel, and the deck crew conducted an inspection confirming no damage. Operations were paused, and the incident was reported to the OIM. The vessel captain was contacted to verify crew safety and vessel status, with no issues reported.
The lift was conducted with radio communication, was not considered blind, and tag lines were not utilized. No damage or associated costs resulted from the incident.</t>
  </si>
  <si>
    <t>DI water tote</t>
  </si>
  <si>
    <t>Dropped Object Incident – Base Oil Hose Hang-Off Peg Detached During Crane Transfer to OSV
On May 16, 2026,  the Port Aft crane was transferring the port-side base oil hose to an offshore supply vessel (OSV) when the steel hose hang-off peg detached from its mounting base while the hose was being hoisted.
The steel peg fell approximately 40 feet into the Gulf of America. The dropped object measured approximately 10 inches in length, 1.5 inches in diameter, and weighed an estimated 3 pounds. No injuries, vessel damage, or equipment damage were reported. Post-incident inspection identified no visible damage to the surrounding railing or remaining welds associated with the mounting location.</t>
  </si>
  <si>
    <t>base oil hose</t>
  </si>
  <si>
    <t>Conductor Slip During Recovery Operations Results in Dropped Load and Crane Fast Line Failure
On May 17, 2026, during conductor recovery operations, a 30-inch conductor weighing approximately 56,000 pounds slipped through the stationary slips while personnel were transitioning from a 5-inch drill pipe pin-and-bail arrangement to direct conductor handling using casing jacks. As a result, the conductor fell an estimated 35 to 40 feet.
The sudden release of the load generated shock loading on the crane system, causing the crane's fast line to part. The crane headache ball subsequently fell into a nearby work basket occupied by three workers. Fortunately, no injuries occurred, and no personnel were struck by the falling equipment.
Operations were immediately suspended. A Learning Team review, risk assessment, and incident investigation were conducted to identify causal factors and evaluate existing controls. Additional safeguards and procedural improvements were implemented before recovery activities resumed. The conductor was successfully recovered without further incident and transported to shore for engineering evaluation and analysis.</t>
  </si>
  <si>
    <t>a 30-inch conductor weighing approximately 56,000 pounds</t>
  </si>
  <si>
    <t>NA</t>
  </si>
  <si>
    <t>Tubular Feeding Machine (TFM) Trolley Shift During Drill Collar Handling Operation
On May 18, 2026, personnel were conducting operations to transfer a Bottom Hole Assembly (BHA) component from the forward pipe deck to the forward Auxiliary Rotary. A single 8.25-inch drill collar weighing approximately 2.5 tons was lifted using 30-foot x 7/8-inch slings attached to a stinger connected to the center pad eye lifting point on the gripper of the starboard forward 100-ton Knuckle Boom Crane #1.
The drill collar was successfully landed onto the Tubular Feeding Machine (TFM), and the slings were disconnected from the load. The empty slings remained attached to the gripper's center pad eye. As the banksman signaled the crane operator to raise the gripper, one of the empty slings became caught on the starboard pad eye of the TFM trolley cart.
Upon observing an increase in the crane load indicator, the crane operator and banksman immediately recognized an abnormal condition. The banksman issued an all-stop signal, and the crane operator stopped the lift. During the event, the TFM skate shifted to port, causing the first three trolley rollers to come off the track. The crane was then lowered to a safe position, and a Stop Work Authority (SWA) was initiated.
The Senior Toolpusher, Well Site Leader (WSL), Second Mate, and Offshore Installation Manager (OIM) were notified. The crane crew had completed a pre-job briefing using the prompt card, utilized Job by Design principles, and were working under an approved Job Hazard Analysis (JHA).
No injuries occurred, and no equipment or structural damage was sustained. The trolley required repositioning onto the track prior to resuming operations.</t>
  </si>
  <si>
    <t>drill collar (8.25-inch, ~2.5‑ton) handling</t>
  </si>
  <si>
    <t>Loss of Grip During Rope Swing Transfer Leads to Man Overboard, Injury                                         During a routine personnel transfer from a vessel to the platform, two individuals were scheduled to swing from the vessel to the platform using a rope transfer method. The first individual completed the swing and landed on the platform safely. The second individual began the transfer without apparent issues; however, after leaving the vessel and while mid‑swing, he lost his grip on the rope and slid downward.
During the uncontrolled slide, the individual struck the platform structure and then fell into the water. A “man overboard” call was immediately transmitted by radio, and a ring buoy was promptly deployed toward the individual. Before the buoy reached him, the individual had already begun climbing the platform landing ladder and was able to exit the water unassisted.
Once the individual was safely on the platform landing, the vessel repositioned alongside and the injured person was transferred back to the vessel. The operator and deckhand provided first aid onboard and then transported the individual to the platform for further medical evaluation and treatment.</t>
  </si>
  <si>
    <t>personnel</t>
  </si>
  <si>
    <t>N2 Bottle Rack Partially Lifted During Unhooking Due to Vessel Swell
While backloading material from the TAR to the Nickie Candy supply vessel, the crane was handling an empty N2 bottle rack measuring approximately 5 ft by 5 ft and 7 ft tall, with an estimated weight of 2,600 lbs. The load had been landed on the vessel deck, and the boat crew was in the process of unhooking the d‑ring from the sling. During this unhooking activity, the vessel took a large swell, causing the sling to shift and catch on one side of the shackle, which resulted in one side of the N2 rack being lifted off the deck.
The crane operator maintained control of the load and immediately laid the rack back down on the deck in a safe and stable position. The crane operator then repositioned the crane ball directly over the load, allowing the shackle to untangle itself. Once the rigging was cleared and properly aligned, the operator uprighted the N2 rack on the deck and proceeded to lift the load back to the platform in a safe orientation. The lift was not blind, radio communication was in use, and tag lines were not being held at the time as the load was already landed and being unhooked. No personnel were injured, and no damage to equipment or structure was observed, so there were no costs associated with this incident.</t>
  </si>
  <si>
    <t>N2 bottle rack</t>
  </si>
  <si>
    <t>Slips Hung Up on Grating Cover While Lifting Near Light Plant
During lifting operations, the crane was used to pick up a set of slips for ISS to place on a work basket. The slips were staged next to a light plant. As the crane operator hoisted the load, the slips became hung up under the corner of a grating cover located above the lights. The snag was identified and addressed, and the load was subsequently freed and controlled. No injuries occurred, and damage was limited to minor impact to the grating cover and associated components, with an estimated cost of less than $100.</t>
  </si>
  <si>
    <t>set of slips</t>
  </si>
  <si>
    <t>Specialized well‑service tools</t>
  </si>
  <si>
    <t>Power Pack Contact with Bitt and Handrail During Backloading to GOL Big Blue
At approximately 01:00 hours, the crane crew was backloading the crew boat. The vessel’s aft deck was nearly fully loaded with cargo at the time. A Schlumberger power pack weighing approximately 13,000 lb was being landed in a narrow area on the aft deck. The crane operator was being guided by a vessel deckhand via radio communication, and two deckhands were using tag lines to help control and position the load. During final landing, the suspended power pack contacted a tie‑up bitt and adjacent handrail, resulting in a bent handrail and a cracked bitt cap. The load was then safely set in place. No personnel were in the line of fire, no injuries occurred, and operations were able to continue. Final damage cost is pending, and the incident remains under review.</t>
  </si>
  <si>
    <t>Schlumberger power pack weighing ~13,000 lb,</t>
  </si>
  <si>
    <t>Load Swing Contact with 500 bbl Tank Stairwell Handrail During Backloading Operations
During backloading operations to the M/V, a MI Swaco Gas Buster was being lifted using the 160 mT crane for transfer from the facility. While the load was being positioned, it swung and made contact with the stairwell/ladder handrail located on the 500 bbl tank, resulting in damage to the handrail.
At the time of the incident, all personnel were confirmed to be clear of the line of fire. Two taglines were attached to the cargo basket, and both taglines were being actively controlled by two riggers and one banksman. Communication between the crane operator and lifting team was conducted via radio. The lift was classified as a blind lift.
No dropped objects (DROPS) occurred as a result of the incident, and no personnel injuries were reported. The estimated cost to repair the damaged handrail is approximately $500.</t>
  </si>
  <si>
    <t>MI Swaco Gas Buster</t>
  </si>
  <si>
    <t>Near-Miss Line-of-Fire Incident During Fuel Tote Lift on Main Deck
While preparing to fuel equipment, an employee rigged up a fuel tote on the main deck and signaled the crane operator to lift the load. Because the crane block was not centered over the tote, the load swung toward the employee as it was lifted, nearly pinning him between the fuel tote and the handrail. The employee moved out of the line of fire just before the load contacted the handrail, causing slight deflection. The lift was a blind lift, and although the handrail flexed, no permanent damage was identified. The employee was not injured, and the estimated damage is less than $100.</t>
  </si>
  <si>
    <t>fuel tote</t>
  </si>
  <si>
    <t xml:space="preserve">Catastrophic Lifting Point Failure During 300-Ton Tank Lift Resulting in Load Drop
The planned lift of Tank #2 was being conducted in a controlled and stable manner. During the initial phase of the lift, the tank—approximately 300 tons—was raised and held static at approximately 2 to 3 feet above the deck. This pause is standard practice to allow rigging to settle and ensure load stability prior to continued movement.
While the load was suspended in this static position, one of the lifting points failed. This failure triggered a cascade overload across the remaining lifting points, which subsequently failed under redistributed load. As a result, Tank #2 dropped back onto the dock.
No injuries were reported. There was no apparent damage to surrounding equipment or structures; however, the tank itself sustained damage. An investigation is required to determine the precise failure mechanism and contributing conditions.
</t>
  </si>
  <si>
    <t>300‑ton process/storage tank</t>
  </si>
  <si>
    <t>Unexpected Opening of BX5 Elevators During Tripping Operations Resulting in Equipment Damage
During tripping out of the hole on the Main Well Center, BX5 elevators were engaged on a stand of pipe in the stump. A spotter visually confirmed to the driller that the elevators were closed prior to load transfer. During the transfer of weight from the slips to the elevators, the BX5 elevators unexpectedly opened, indicating they were not fully latched at the time of engagement.
The pipe string remained secured in the slips throughout the event, and there was no potential for dropped objects. However, the unexpected opening of the elevators during the load transfer resulted in damage to the elevator inserts.
The red zone was clear by design, and no personnel were in the line of fire or injured as a result of the incident. Following the event, the damaged inserts and elevators were replaced, and a full equipment inspection and safety stand-down were completed prior to resuming tripping operations.</t>
  </si>
  <si>
    <t>Stand of drill pipe during tripping out of the hole</t>
  </si>
  <si>
    <t>BX5 Elevators                                    (Drill pipe elevators)</t>
  </si>
  <si>
    <t xml:space="preserve">Crane #2 Boom Contact With Crane #3 Ladder Cage During Basket Lowering to M/V 
On May 23, 2026, at approximately 1600 hours, Crane #2 was being used to lower a small bag containing the JSEA and a MEOH sample bottle to the M/V Odyssea Darwin. While the operator was booming down with Crane #2 to position the load over the vessel, the Crane #2 boom entered the proximity envelope of Crane #3 and made contact with the boom‑tip ladder cage on Crane #3. The contact caused minor damage to the Crane #3 ladder cage but did not affect the integrity or control of the suspended bag. No personnel were in the line of fire at the time, and no injuries occurred. Following the contact, crane operations were immediately stopped, and the area was secured, </t>
  </si>
  <si>
    <t>Small bag with paperwork/sample bottle.</t>
  </si>
  <si>
    <t>Dropped Scrap Tubing into Gulf of America During Crane Hoisting Operation
Personnel were conducting routine waste handling operations using the West Crane aboard the facility. Following the completion of a lift to the cellar deck, the crane operator was hoisting a Super Sack containing municipal trash from the cellar deck to the drill deck utilizing a four-part sling arrangement and a 20-foot tagline.  During the hoisting operation, the tagline came into contact with an unsecured 2-foot section of 1/4-inch steel tubing that had been stored as scrap material on the deck. The contact caused the tubing to become entangled and dragged across the deck. The tubing subsequently passed through the handrail and fell into the Gulf of America (GOA). The scrap tubing could not be recovered.
The lift involved a 4 ft x 4 ft x 4 ft Super Sack weighing approximately 700 pounds and containing municipal waste. The operation was conducted using the West Crane (Nautilus 440L1-120, Serial No. 060206C). No vessel was involved in the operation. Weather conditions at the time were partly cloudy with seas of 2–4 feet and easterly winds of 9–15 knots.
No personnel injuries occurred, and no facility equipment was damaged. A Marine Debris Report was submitted through TMS in accordance with reporting requirements.</t>
  </si>
  <si>
    <t>4x4x4 Super Sack of municipal waste</t>
  </si>
  <si>
    <t>Crane Boom Stop Dislodged During Basket Offloading 
On May 24, 2026, at approximately 10:30 hours, a crane was offloading a basket from a motor vessel onto the platform deck during routine crane handling operations. Because the deck area was congested, the crane operator boomed up to position the basket, reaching the crane’s boom stops. When the operator began booming back down, it was observed that one of the boom stops had fallen off. The operation was immediately shut down pending investigation. No personnel were injured as a result of this incident.</t>
  </si>
  <si>
    <t>basket being offloaded from a motor vessel</t>
  </si>
  <si>
    <t xml:space="preserve">Crane Boom Contact with Compressor Exhaust Stack During Backloading Operations
During backloading operations involving a supply vessel, the West Crane operator was repositioning the crane boom to retrieve an additional load from the facility. While the boom was in transit, the crane boom contacted the top flange of a compressor exhaust stack located on the facility.
At the time of the incident, there was no load attached to the crane; the crane boom was only being repositioned. Environmental conditions at the time included winds from 180° at approximately 15–20 knots and sea conditions of 3–5 feet from 180°.
All work was immediately suspended following the incident, and notification was made in accordance with HSE0137 reporting requirements. A safety stand-down meeting was conducted with the crane crew prior to resuming operations.
Following the incident, both the West Crane and the affected compressor exhaust stack were removed from service pending inspection and verification of safe operating condition. As of 05/25/2026, the West Crane successfully passed all required inspections and was returned to full service without restrictions. Recommendations for the crane include cleaning and repainting the impacted area to prevent corrosion. Estimated repainting cost is approximately $1,800.
The impacted flange on the compressor exhaust stack sustained denting damage. Building A was not in service at the time of the incident and remains locked out pending further inspection and evaluation of the damaged flange.
During the turnaround (TAR) period, Drilling personnel were not present onsite. Per Management of Change (MOC) requirements, crane HSSE responsibility had temporarily transitioned from Drilling to Operations; therefore, the incident was immediately reported to the Production Section.
</t>
  </si>
  <si>
    <t>Subsea 3‑Tier Basket Struck Vessel Structures During Recovery to M/V 
On May 27, 2026, the M/V was recovering a subsea 3‑tier basket for operations. During recovery from the stern, the basket was brought out of the water and the crew began attempting to land it on the vessel deck. As the basket was being positioned, the vessel experienced a small roll, causing the suspended basket to begin spinning. In response, the foreman instructed that the basket be lowered to the deck so the crew could better control it. While the basket was being lowered, the spin and swing increased, and the basket struck and bent the stern keyway railing. Before the basket could be fully landed, the vessel rolled again, causing the basket to swing further to starboard and collide with the starboard headache rack, damaging both the 3‑tier basket and the vessel’s DP Compatt unit attached to its side. Sea state at the time was generally good but with minor rolls and winds SSE at approximately 15 knots. No personnel were injured. Damage included a cracked Compatt housing and bent ladder/rail components, with an estimated repair/replacement cost of approximately $5,000. The basket was then lowered to deck and all areas of contact were inspected</t>
  </si>
  <si>
    <t>subsea 3‑tier basket</t>
  </si>
  <si>
    <t>Load Contact with Diesel Fuel Line During Grocery Box Offloading Operation
During cargo offloading operations from the M/V Harvey Discovery, an 8 ft. × 10 ft. Sontheimer Offshore Grocery Connex containing provisions was being transferred to the platform using a 60-ton Constitution GC-680 West crane (Seatrax S6024, Serial No. 4382-140), operated by a Gulf Island contractor.
The vessel was positioned on the west side of the platform, facing southwest, with its stern oriented toward the northeast. Weather conditions were clear with southerly winds of 14–18 knots and seas from the southeast of approximately 4–6 feet.
During the lift, the suspended load (approximately 10,000 lbs) made contact with a diesel fuel line, resulting in damage to the fuel line nozzle. Tag lines were in use to assist with load control at the time of the incident.
There were no personnel injuries and no environmental release. Damage was limited to the diesel fuel line nozzle with an estimated repair cost of approximately $500.</t>
  </si>
  <si>
    <t>Sontheimer Offshore Grocery Connex containing provisions</t>
  </si>
  <si>
    <t>Rotating Grocery Box Contacts Vessel Handrail During Crane Transfer Operation
On May 27, 2026, the GC-158/DD202 crane operator was transferring an 8-foot by 10-foot grocery box from the M/V to a subsea vessel positioned alongside the platform. As the forwardmost load was lifted from the vessel's deck, the load began to rotate and swing forward. During the movement, the grocery box contacted the handrail located on the starboard aft side of the wheelhouse.
The impact damaged the aluminum handrail, including deformation of the middle and top rails and partial failure of the inboard welds. No personnel were injured, no dropped objects occurred, and no additional equipment was damaged during the lifting operation.
Estimated Property Damage: $500</t>
  </si>
  <si>
    <t>8-foot by 10-foot grocery box</t>
  </si>
  <si>
    <t>Quick Flange Tool Dropped onto Cantilevered Scaffold During Installation Activities
During the installation of a 10-inch Quick Flange, the approximately 900–1,100 lb tool became unintentionally disconnected from its attachment point and fell onto a cantilevered scaffold where three personnel were working.
The tool landed on the scaffold structure. Following the incident, one worker reported that he believed the tool may have made contact with his heel. The individual was evaluated by the medic out of an abundance of caution. At the time of this report, the extent of any injury was under evaluation.
Upon occurrence of the incident, Stop Work Authority was exercised, all work was suspended, and a safety stand-down was conducted. The area was secured to preserve the scene and prevent further exposure to hazards. High potential near-miss dropped-object event due to loss of tool securement with personnel in the drop zone.”
.</t>
  </si>
  <si>
    <t>10-inch Quick Flange tool</t>
  </si>
  <si>
    <t>Marine Vessel Offloading Incident – Tote Lid Damage Due to Dynamic Vessel Movement 
On May 29, 2026, during routine offshore offloading operations from an M/V, a 550-gallon tote sustained damage to its lid/seal ring assembly.The crane (American Aero Model OM450, Serial No. 81149, 90’ boom) was positioned with the main block centered over the load. Prior to transfer, line tension was increased to stabilize the lift. During the operation, sea swell induced vertical movement of the vessel, causing intermittent slack in the rigging system. As the vessel dipped, slack developed in one leg of a four-part sling. This slack allowed the sling leg to shift out of position and become caught beneath a tensioning bolt on the tote lid-seal ring. The interaction applied leverage to the lid assembly, prying the ring upward approximately 2–3 inches and resulting in physical damage.
The product (potassium chloride, KCl) remained fully contained with no release.</t>
  </si>
  <si>
    <t>550‑gallon KCl tote</t>
  </si>
  <si>
    <t>Dropped Lock Ring from Top Drive Following Contact Between Pipe Handler and Pipe Stand
While tripping out of the hole, the pipe handler on the top drive contacted a stand of pipe positioned in the stump. The impact caused the lock ring connecting the saver sub and the Internal Blowout Preventer (IBOP) to fail and separate. The 28-pound lock ring subsequently fell approximately 120 feet from the top drive and came to rest on the driller's cabin roof.
A DROPS calculator assessment determined that the dropped object had the potential to cause a fatality had it struck personnel. Fortunately, all personnel were outside the red zone at the time of the incident, and no injuries occurred. Property damage associated with the event was estimated at $10,000.</t>
  </si>
  <si>
    <t>A stand of drill pipe in the stump, being moved by the top drive pipe handler during tripping operations.</t>
  </si>
  <si>
    <t>Top Drive / Pipe Handler Assembly</t>
  </si>
  <si>
    <t>Cuttings Box Contact with Light Fixture and Dropped Plastic Shade During Crane Deck Move – STBD Shaker Area
The crane crew was performing deck moves in the shaker area, placing a cuttings box adjacent to the handrail beneath the shaker. While slewing/booming to set the cuttings box next to the handrail, the crane’s suspended load came into contact with the plastic shade of a fixed light fixture. Contact with the load dislodged the plastic shade from the light, and the shade fell one level down to the next deck below. No personnel were struck, no injuries occurred, and no additional damage was reported.</t>
  </si>
  <si>
    <t>Uncontrolled Load Swing During Riser Transfer Resulting in Damage to Support Vessel Bulwark
On May 31, 2026, a 13-3/8-inch riser section (approximately 24-inch OD, 10 feet in length, and weighing  3,000 lbs.) was being transferred from a support vessel to the L/B Michelle using the vessel’s north main crane.During initial hoisting, as the riser was lifted from the support vessel deck, the load unexpectedly became unstable and swung approximately 20 feet. The swinging motion resulted in contact with the support vessel’s bulwark, causing damage to a gusset and associated weld failures.
Following the contact event, the load was brought under control and successfully landed on the lift boat deck without further incident. A contractor assisting with the lift reported advising via radio that the load appeared off-center. It was also noted that the support vessel was experiencing drift at the time of the lift. However, no formal stop-work, hold, or cable-up instruction was issued prior to the load becoming free of the deck.No injuries occurred. Damage was limited to the support vessel’s bulwark, consisting of a bent gusset section approximately 14–16 inches by 3 inches with broken welds.</t>
  </si>
  <si>
    <t>13‑3/8-inch riser section, ~24-inch OD, 10 ft long, ~3,000 lb, which is a classic tubular/well riser joint.</t>
  </si>
  <si>
    <t>Dropped Object Incident – Main Well Racker Guide Head Separation
On 6/3/26, the drill crew completed racking the ACD sleeve assembly and began transversing the main well racker. During movement, the Assistant Driller was operating the racker when the lower racker guide head unexpectedly disconnected from the racker arm. The component fell approximately 10 feet 7 inches to the rig floor setback area. No personnel were within the immediate drop zone, with the closest individual positioned approximately 20 feet away in accordance with red zone management controls. An investigation is currently underway to determine the exact failure mechanism.</t>
  </si>
  <si>
    <t>Main well racker</t>
  </si>
  <si>
    <t>Main well racker (automated pipe‑handling system)</t>
  </si>
  <si>
    <t>Chain Fall Failure During Crane Operation Resulting in Equipment Damage
During crane operations on the platform, the platform crane was being powered by a temporary hydraulic power pack. The power pack was connected to the crane through multiple hydraulic hoses that were suspended and supported by a chain fall to keep them elevated and clear of operational areas.
As the crane rotated during normal operations, slack developed in the chain fall supporting the hoses. The slack chain fall became caught on the grating beneath the crane. Continued crane movement placed an increasing load on the chain fall until its rated capacity was exceeded, causing the chain fall to fail.
Personnel were monitoring the hydraulic hoses during the crane movement; however, the chain fall itself was not being actively observed. The failed chain fall was the only equipment damaged during the incident. There were no injuries, dropped objects, environmental impacts, or operational interruptions reported.
The estimated cost of the damaged chain hoist was approximately $787.</t>
  </si>
  <si>
    <t>Hydraulic Hose and Fitting Damage During Rigid Jumper Deployment Due to Spreader Bar Contact With Running Tool
During crane operations aboard the OSV, the vessel’s port-side 250-ton NOV knuckleboom crane was engaged in lifting and deploying a Marlin King Dumpflood rigid jumper system. The lift included a 120-foot spreader bar and a 110-foot rigid jumper with a combined total load of approximately 67,800 lbs.
While the spreader bar was being raised during deployment operations, personnel observed that the lifting slings made contact with the jumper running tool. An immediate “all stop” was issued, and the lift was temporarily paused. Adjustments were made to the rigging configuration, and operations resumed.
After the jumper was successfully placed subsea and lowered to a safe depth, an ROV inspection was conducted. The inspection identified that two hydraulic hose fittings on the OSS running tool had been sheared off, resulting in probable impairment of the tool’s function.
Environmental conditions at the time included southeast winds at approximately 12 knots, sea states of 2–4 feet, a current of 0.7 knots from the south-southeast, and vessel heave of approximately 0.3 feet. Tag lines were in use during the operation.
No personnel injuries occurred. Estimated equipment damage was approximately $100.</t>
  </si>
  <si>
    <t>The operation deployed:
A 120‑ft spreader bar
A 110‑ft rigid jumper
OSS running tool, with damaged hydraulic hose fittings</t>
  </si>
  <si>
    <t xml:space="preserve">Valve Contact with Handrail During Crane Re‑lift – East Cellar Mezzanine Deck
GIS was conducting crane operations using 20‑foot, 3/8‑inch orange polycot taglines while a Sparrows crane operator used the 62‑ton Seatrax Model 6024 East Crane to stage a 4‑inch FCV‑1150A Fisher valve on the East Cellar mezzanine deck. After the valve was initially landed on the deck, the crew decided to re‑lift it to improve placement because several previously staged sections of 4‑inch pipe were already present in the area. During the re‑lift, the suspended valve contacted the mezzanine handrail, damaging the valve’s plastic instrument box. The valve weighed approximately 428 pounds, and taglines were in use to control the load. Weather conditions at the time were Southeast winds at 16–22 knots with seas from the Southeast at 3–5 feet. There were no personnel injuries and no other equipment or structural damage reported, and the estimated cost to repair the damaged valve components is approximately $500. </t>
  </si>
  <si>
    <t>“4-inch FCV‑1150A valve”
Fisher type 667, 4" ANSI 1500, face‑to‑face 19", weight 428 lb.</t>
  </si>
  <si>
    <t>Crane Boom Pendant Contact with Electrical Junction Box Causes Platform Power Outage
Following completion of a crane cable replacement, the crane operator was returning the crane boom to its boom rest position. During the operation, the operator briefly glanced toward the winch drum to monitor for potential bird nesting of the wire rope while simultaneously booming down. During this period of diverted attention, the upper boom pendant contacted the underside of a nearby electrical junction box. The impact shifted the junction box from its mounted position and generated an electrical spark, which caused the generator protection system to trip. As a result, electrical power to the platform was lost. The incident resulted in equipment damage and repair costs totaling $11,053.38.</t>
  </si>
  <si>
    <t>Crane Load Contact with Port Forward Crane Handrail During Diverter Running Tool Lift
During lifting operations, the Starboard Forward Crane was being used to lift a Diverter Running Tool (DRT) from a storage container located on the port side of the rig. While maneuvering the load, the Diverter Running Tool made contact with the handrail of the Port Forward Crane.
The contact resulted in minor damage to the handrail. No personnel injuries occurred, and there was no dropped object or environmental impact associated with the incident. The estimated cost of repairs is approximately $250 USD.</t>
  </si>
  <si>
    <t>Diverter Running Tool (DRT)</t>
  </si>
  <si>
    <t>Synthetic Sling Parts During Subsea Flying Lead Deployment Operations
While conducting deployment and overboarding operations for a subsea Steel Flying Lead (SFL) associated with the Marlin King Dump Flood Project from the M/V personnel were using the port-side NOV 250-ton knuckle boom crane and a tugger system to assist with positioning the flying lead. Approximately 100 feet of the 710-foot flying lead had been deployed when the synthetic sling being used for positioning parted at the eye.
At the time of the incident, the flying lead assembly included a 500-pound Cobra Head, and the deployed section weighed approximately 1,400 pounds. The vessel was positioned on a bearing of approximately 100 degrees. Environmental conditions were reported as favorable, with southeast winds of approximately 0.8 knots and sea states of 1 to 2 meters.
The operation was not a conventional vertical lift; therefore, tag lines were not utilized. A tugger line was being used to control and position the load during deployment. Following the sling failure, operations were immediately stopped and a safety stand-down was conducted. No personnel injuries, dropped objects, environmental impacts, or equipment damage occurred other than the failed sling. Estimated property damage was approximately $50.
An investigation determined that the synthetic sling had been rigged in a choke configuration when used to assist with positioning the flying lead.</t>
  </si>
  <si>
    <t>Human Error / Rigging Equipment Failure / Poor Lift Planning</t>
  </si>
  <si>
    <t>The operation involves a subsea Steel Flying Lead (SFL) associated with a dump flood project, including:
A 500‑lb Cobra Head
A 710‑ft flying lead, with ~100 ft deployed at the time</t>
  </si>
  <si>
    <t xml:space="preserve">Crane Lift Contact Resulting in Loss of Removable Handrail Overboard 
On 06/09/2026, during routine crane operations, personnel were lifting a basket from the production deck. While the basket was being hoisted, one corner of the load made contact with a section of removable handrail. The impact caused the handrail to become dislodged from its sockets and fall overboard, where it was not recovered. No personnel injuries were reported. 
Following the incident, construction personnel installed a hard barricade to re-establish protection in the affected area. </t>
  </si>
  <si>
    <t>Basket (used for material handling on the production deck)</t>
  </si>
  <si>
    <t xml:space="preserve">Improper Elevator Insert Selection Leading to Drill Pipe Drop Event
A material handling incident during running of drill pipe operations. A 4-inch drill pipe joint initially slipped out of the elevators and landed on the pipe skate. The joint was subsequently brought back into position on the skate and measured by the driller, after which operations resumed.
During a subsequent lift, the pipe again slipped from the elevators and fell approximately 2–3 feet onto the pipe skate, bouncing and coming to rest on the rig floor walkway adjacent to the skate. An immediate “all stop” was initiated.
Upon inspection, it was determined that the pipe being handled was actually 3.5-inch diameter, while the elevator inserts installed were sized for 4-inch pipe. No injuries or equipment damage were reported. </t>
  </si>
  <si>
    <t>A 4‑inch drill pipe joint… [actually] 3.5‑inch diameter.</t>
  </si>
  <si>
    <t>Drill pipe elevators (with inserts sized for 4" pipe used on 3.5" pipe)</t>
  </si>
  <si>
    <t>Backloaded Carbon Vessel Skid Contacts Adjacent Equipment, Damaging Valve Handle
At approximately 18:30 on June 11, personnel were backloading a spent carbon vessel skid from the platform to the M/V Cape Horn using the west platform crane, a Seatrax S7226. As the 50,000-pound produced water filtration skid was being lowered onto the vessel, it contacted the valve handle of another carbon vessel skid located on the boat deck. The contact broke the valve handle from carbon vessel ZZZ-5260A. The incident was not communicated to the crane crew at the time it occurred. No personnel were injured, and there was no loss of primary containment (LOPC). The estimated cost to repair the damaged valve handle is approximately $1,500.</t>
  </si>
  <si>
    <t>Spent carbon vessel skid</t>
  </si>
  <si>
    <t>Top Drive Elevators Contact Drill Pipe Stump During Tripping Operations
On the Drillship, the drilling crew was engaged in pulling out of the hole operations. As the driller lowered the top drive to connect to the drill pipe stump, the elevators were not fully retracted. As a result, the elevators contacted the top of the drill pipe before proper alignment and engagement could occur.
The contact caused damage to the drill pipe tool joint and elevator inserts. Operations were stopped and the affected equipment was inspected. The estimated property damage associated with the incident is approximately $3,000.
The drilling unit is equipped with crown saver and floor saver settings designed to prevent contact between the traveling block and crown and between the elevators and drill floor. However, there are no sensors or automated settings that prevent the elevators from contacting the drill pipe stump during this phase of operations.  No personnel injuries were reported as a result of this incident.</t>
  </si>
  <si>
    <t>Human Error / Load Snag or Contact / Mechanical Failure</t>
  </si>
  <si>
    <t>Drill pipe stump / drill pipe stand being connected to by the top drive.</t>
  </si>
  <si>
    <t>Top Drive &amp; Elevators – Drillstring hoisting system</t>
  </si>
  <si>
    <t>Dropped Object Incident – Cobra Head Separation During Subsea Frame Lift Operations
On the M/V, during crane operations utilizing a 250-ton NOV knuckleboom crane (port side, mid-vessel), a dropped object incident occurred while relocating a Subsea Tool Lifting Frame (STLF) / HFL frame for deployment overboard. Environmental conditions at the time included clear skies, wind from the southeast at approximately 12 knots, seas of 2–4 meters, a 0.7 knot south-southeast current, and a heave of approximately 0.3 ft.
The crane was rigged to a cobra head connection point on the lifting frame. During the lift, once the load was elevated approximately 8 feet above the deck, the cobra head (estimated weight approximately 500 lbs) became disengaged from the rigging assembly and fell to the deck below.
Tag lines were in use to assist in load control. The load being handled was a subsea deployment frame measuring approximately 16 ft 8 in long by 8 ft wide by 7 ft 1/2 in high, with a total weight of approximately 8,000 lbs. The equipment is used for deployment of flying leads to subsea well infrastructure. An immediate stop was called following the drop. The area was secured and assessed for hazards. There were no personnel injuries associated with the incident. No equipment damage was initially identified beyond the dropped component. Estimated replacement cost for the affected component is approximately $15,000.</t>
  </si>
  <si>
    <t>Subsea deployment frame (STLF / HFL frame), approx. 8,000 lb, used for flying leads.</t>
  </si>
  <si>
    <t>Tote Tank Contact with Aluminum Tubing Tray During Lifting Operations
During lifting operations utilizing the facility’s East Crane, a partially filled tote tank was being transferred when the suspended load was inadvertently swung beneath a section of aluminum tubing tray. As the load moved under the structure, the tote tank contacted the tubing tray, resulting in bending and twisting damage to the tray assembly. An “all stop” was immediately initiated upon recognition of the contact. The load was safely lowered to disengage it from the tubing tray obstruction. Once clear, the tote tank was re-secured and placed on the top deck in a controlled manner.
There were no injuries, no damage to the crane or rigging equipment, no damage to the tote tank, and no environmental impact or pollution associated with this incident. Estimated property damage to the aluminum tubing tray is approximately $150.</t>
  </si>
  <si>
    <t>Partially filled tote tank being transferred with the East Crane.</t>
  </si>
  <si>
    <t>Crane Swing System Failure During Material Transfer Operation
On June 14, 2026, at approximately 1:50 p.m., the crane operator was conducting a material transfer lift for QCP Construction from the M/V  to Platform using the platform's 30-ton crane. While swinging the load toward the platform, the operator heard a loud popping sound originating from beneath the crane. Immediately thereafter, the crane's swing function became unresponsive when the operator attempted to actuate the swing control lever.
The operator successfully stopped the crane's movement by engaging the house lock and secured the crane in a safe condition. A subsequent functional check confirmed that the crane swing mechanism would not respond to control inputs and that no movement of the swing gear was observed.
As a precautionary measure, the M/V A was instructed to move clear of the suspended load area and proceed to another facility to retrieve crane maintenance personnel. The incident was reported through the established incident reporting process, and crane mechanics were notified for further inspection and troubleshooting.
Statements obtained from the rigging crew indicated that they also heard a loud popping sound at the time of the event. Due to language barriers, no additional details could be obtained.
There were no injuries, first aid cases, property damage, dropped objects, environmental impacts, or vessel/platform damage associated with this incident.</t>
  </si>
  <si>
    <t>Material transfer lift</t>
  </si>
  <si>
    <t>Foot Injury During Grocery Connex Box Placement on Welding Porch
During the placement of the first grocery Connex box onto the welding porch on Deck 1, the crane crew maneuvered the suspended load into position using a tagline to achieve the required lateral alignment. Due to limited crane boom height while attempting to position the Connex closer to the handrail, additional manual pulling was required to move the load into its final location.
While assisting with the positioning of the load, the injured person (IP) placed his left foot within the travel path of the moving Connex box. As the load was being pulled, the edge of the Connex momentarily trapped the IP's foot. The IP shifted backward and sat down on the grating. When the suspended load swung back in the opposite direction, the IP was able to remove his foot from the pinch area.
After standing, the IP experienced immediate pain and discomfort in his left foot and ankle. The IP notified the crane operator, who directed him to report to the onsite medic for evaluation and treatment.
The medic evaluated the injury and provided first aid treatment, including over-the-counter medication. The IP was not evacuated from the facility and no lost-time injury resulted from the event.
Personal Injury: One (1) First Aid Case – Left Foot and Ankle Injury</t>
  </si>
  <si>
    <t>Grocery Connex box being placed on the Deck 1 welding porch.</t>
  </si>
  <si>
    <t>Hand Pinch Injury Between Elevator and Sling During BHA Handling Operations
At approximately 0530 hours, during drilling operations on a Mobile Offshore Drilling Unit (MODU), the rig crew was in the process of picking up Halliburton’s Bottom Hole Assembly (BHA) in preparation to make up and run a cemented intermediate bridge plug (CIBP) in the hole.
The rig floor crew was attempting to load a joint of the BHA into the elevators. The crane was attached to the lower end of the tubular, while a rig floor air hoist (a compressed-air-powered winch used for lifting and positioning equipment) was attached via sling near the upper end of the joint, close to the elevator area.
As the air hoist operator applied lifting tension, the injured person (IP) had their hand positioned on the sling. During the movement of the tubular, the elevators slid along the pipe and contacted the sling area, resulting in the IP’s hand being caught between the elevator and the sling, causing a pinch/trap point injury.
The air hoist operator immediately released tension, allowing the IP’s hand to be freed. The IP was wearing impact-resistant gloves at the time of the incident. Following the event, the IP was escorted to the onboard medic for evaluation and treatment. The medic administered over-the-counter anti-inflammatory medication and ice therapy and instructed the individual to monitor for swelling and any changes in condition. No indications of fracture or serious injury were observed.
The Night Well Site Leader was present on the rig floor at the time of the incident and initiated notifications to the Offshore Safety Specialist and Lead Well Site Leader. The Drilling Superintendent and HSE Superintendent were subsequently informed in accordance with reporting procedures.
Personal Injuries: One (1) personnel injury (hand pinch/contusion). No lost time reported at the time of initial evaluation.</t>
  </si>
  <si>
    <t>Halliburton BHA joint (part of the Bottom Hole Assembly being picked up to run a CIBP)</t>
  </si>
  <si>
    <t>Air hoist (rig floor winch) with sling and elevators</t>
  </si>
  <si>
    <t>Compressor Load Contacts Wave Height Sensor During Blind Lift
On June 16, 2026, at approximately 5:00 p.m., personnel were conducting a blind lift of a compressor unit from an offboard location to the platform cellar deck. The crane operator was maneuvering the load inboard in accordance with radio communications from the designated signal person.
Upon receiving a stop command, the crane operator ceased crane movement; however, the suspended load continued to travel due to momentum and contacted a wave height sensor mounted to the leading-edge handrail. The impact dislodged the sensor from its mounting bracket, causing it to fall into the Gulf of America (GOA).  No injuries occurred as a result of the incident. No additional equipment or structural damage was reported. The estimated replacement cost of the wave height sensor is approximately $5,000.</t>
  </si>
  <si>
    <t>Compressor unit</t>
  </si>
  <si>
    <t>Faulty Shuttle Valve Causes Uncontrolled Spider Movement and Contact with Crane Structure
On June 17, 2026, painters were in the process of installing a personnel spider by suspending it from the gantry frame of the west crane. After connecting the air supply and opening the air valve, the spider unexpectedly moved approximately two feet and was drawn into the crane's engine lifting arm.
Upon observing the unintended movement, personnel immediately shut off the air supply and disconnected the spider cable. The spider was then safely lowered to the deck without further incident.
At the time of the event, no personnel were inside the spider or occupying the crane. There were no injuries, no pollution, and no damage to the crane. Damage was limited to the spider frame and the cable guide located on top of the spider. The estimated repair cost was less than $2,000.
Subsequent investigation determined that the incident was caused by a faulty shuttle valve in the spider's air supply system, which resulted in unintended movement of the equipment.</t>
  </si>
  <si>
    <t>Personnel spider (suspended access platform) being installed from the west crane gantry for painting work.</t>
  </si>
  <si>
    <t>Personnel Spider (Suspended Access Equipment)</t>
  </si>
  <si>
    <t>Tool Basket Load Shift Caused by Fouled Sling During Offloading Operations
While offloading cargo from the OSV to the facility, the crane was connected to the second load—a 35-foot by 3-foot tool basket containing a string mill and whipstock. As the crane began lifting the basket, it was observed that the string mill inside the basket was no longer centered.
The crane operator assessed the load, determined it remained stable, and safely landed the basket on the pipe deck of the Deepwater Invictus. All riggers remained clear of the suspended load in the designated step-back area throughout the lift. Stop Work Authority (SWA) was exercised, and the Unit Work Authority (UWA) was notified.
Following the lift, the banksman and riggers aboard the OSV reported that a sling had become fouled on the string mill as the rigging came under tension. The fouled sling caused the web ratchet strap securing the cargo to fail, allowing the load to shift within the basket. Although the condition was observed, it was not immediately communicated to the crane operator because the OSV crew believed no corrective action could be taken once the lift had begun.
No personnel were injured, no cargo left the basket, and no dropped objects occurred. The only damage was to the web ratchet strap, with estimated property damage greater than $50. The investigation determined that the sling fouling was not identified prior to lifting and that Stop Work Authority was not exercised before the load was fully suspended. Corrective actions focused on reinforcing monitoring, communication expectations, and the use of Stop Work Authority during lifting operations.</t>
  </si>
  <si>
    <t>35-foot × 3-foot tool basket</t>
  </si>
  <si>
    <t>Crane Main Block Tie-Back Sling Fails After Inadvertent Main Hoist Activation
During routine crane operations, the crane operator was using the fast line while the crane's main block was secured in the stowed position with a polyester (poly) tie-back sling. During the lift, the operator inadvertently engaged the main hoist, causing tension to be applied to the secured main block. The resulting overload caused the tie-back sling to fail. No personnel injuries, dropped loads, equipment damage, or environmental impacts occurred. The only property damage was the failed poly sling, with an estimated replacement cost of approximately $300.</t>
  </si>
  <si>
    <t>The crane’s main block was stowed and secured with a polyester tie‑back sling, and the inadvertent activation of the main hoist simply overloaded that sling—it did not involve a suspended cargo, basket, or tubulars.</t>
  </si>
  <si>
    <t>Load Contact with Blast Wall During Casing Offload Results in Dislodged Light Fixture
During offloading operations, the crew was transferring 38-inch casing on the port aft side of the rig using the #4 crane. While the load was being maneuvered, it swung and contacted the blast wall located on the well test deck. The impact caused a mounted light fixture to break free from its bracket. The light fell but was successfully retained by its secondary retention device, preventing it from striking the deck below. No additional damage was identified, and no personnel were injured.
At the time of the incident, one tagline was attached to the running tool and was being utilized to help control the load. The lift was not a blind lift, and communications between the crane operator and rigging personnel were maintained using both hand signals and radio communications. The incident occurred within the designated red zone, and no personnel were in proximity to the suspended load or the arrested light fixture.Estimated repair cost is approximately $1,002. The damaged light fixture has been removed and will be relocated by the maintenance team.</t>
  </si>
  <si>
    <t>38-inch casing being offloaded on the port aft side with the #4 crane</t>
  </si>
  <si>
    <t>Tote Tank Contact with Staged Fiberglass Grating During Motor Vessel Offloading Operations
On June 19, 2026, at approximately 10:00 hours, a crane/material handling incident occurred during motor vessel (M/V) offloading operations conducted by Talos Energy Offshore LLC.  A tote tank was being hoisted from a motor vessel when wave action impacted the vessel, resulting in unexpected movement of the suspended load. As a result of this vessel-induced motion, the tote tank made contact with fiberglass grating that had been staged on the facility for transport to another location.
The contact resulted in minor damage to the fiberglass grating. No damage was identified on the crane or the tote tank. There were no personnel injuries associated with the incident, and no environmental impacts were reported</t>
  </si>
  <si>
    <t>Cargo Box Contacts Adjacent Load During Vessel Backloading, Shearing Geotracking Device Mounting Bolt
During platform-to-vessel backloading operations, a 6 ft × 6 ft Connex cargo box weighing approximately 3,000 pounds was being lowered onto the deck of the M/V using the platform's west Seatrax S7226 crane. As the load was being landed, it contacted the top of an adjacent cargo box on the vessel deck. The contact dislodged a geotracking device mounted to the Connex box being lowered, shearing one of its two mounting bolts. The geotracking device and cargo box sustained no visible damage, and the estimated property damage was less than $5 for replacement of the mounting bolt. Tag lines were used during the lift. Weather conditions included SSE winds of 16–22 knots and seas of 4–6 feet. There were no personnel injuries or environmental impacts.</t>
  </si>
  <si>
    <t>5 7/8‑inch drill pipe with OSP packer.</t>
  </si>
  <si>
    <t>Fingerboard Latch Dropped to Rig Floor During Pipe Racking Operations
On June 21, 2026, at approximately 22:00 hours, operations were underway on a Mobile Offshore Drilling Unit (MODU) during the removal of a stand of 6-5/8" 40# drill pipe from the derrick using the main well pipe racker system.
During the operation, the rig floor crew was positioning the tubular using the pipe racker system. While the stand was being manipulated, a fingerboard latch was contacted during movement of the pipe handling equipment. This contact resulted in the fingerboard latch becoming dislodged from its secured position.
Once dislodged, the latch fell approximately 100 feet from the derrick area to the rig floor. An immediate “all stop” was initiated. All personnel had been positioned inside the designated shelter within the safe step-back area, approximately 30 feet from the worksite, in accordance with the Job by Design plan at the time of the incident. No personnel were exposed to the falling object trajectory.</t>
  </si>
  <si>
    <t>Stand of 6‑5/8" 40# drill pipe.</t>
  </si>
  <si>
    <t>Pipe racker / automated tubular handling system</t>
  </si>
  <si>
    <t xml:space="preserve">Crane Engine Fuel Filter Falls 60 Feet During Load Rotation                                                                 On June 21, 2026, at approximately 10:30 hours, personnel were lifting a crane engine for installation when they began rotating the suspended engine using tag lines to achieve the proper orientation for placement. During the maneuver, the engine's fuel filter detached for reasons currently unknown and fell approximately 60 feet to the No. 3 Lifeboat inspection deck.
The fuel filter weighed approximately 2 pounds and was the only component that fell from the suspended load. No personnel were within the red zone during the lift, and no injuries or environmental impacts occurred. Damage was limited to the fuel filter and the estimated repair/replacement cost was approximately $40. </t>
  </si>
  <si>
    <t>Crane Engine</t>
  </si>
  <si>
    <t>Top Drive Elevators Contact Hydraulic Slips, Damaging Slip Hinge Pin
On June 23, 2026,  personnel were tripping into the well with an OSP packer on 5 7/8-inch drill pipe when the main well top drive elevators contacted the stationary hydraulic slips just prior to the slips being set. The contact caused approximately a 2-inch section of the slips' hinge pin to fracture, along with a cotter pin. Both components passed through the rotary table. Operations were immediately stopped, and personnel recovered both the hinge pin fragment and cotter pin. No personnel were injured, and no additional damage has been reported. An investigation into the incident is ongoing.</t>
  </si>
  <si>
    <t>5 7/8‑inch drill pipe with an OSP packer, using the main well top drive elevators while tripping in</t>
  </si>
  <si>
    <t>Top drive elevators</t>
  </si>
  <si>
    <t>Failure of Yo-Yo Connection Pin Causes Suspended Torque Wrench to Disconnect During Riser Makeup
During the initial makeup of the first riser joint to the blowout preventer (BOP) stack, the rig crew was using a torque wrench suspended in the moonpool from a "Yo-Yo" retractable wire reel. The Yo-Yo was attached to a rig floor air tugger routed through the rotary table. While personnel attempted to lift the torque wrench off the riser stud, the pin connecting the Yo-Yo hook to the air tugger failed. The pin failure caused the Yo-Yo to disconnect from the air tugger, resulting in the loss of support for the suspended torque wrench. Operations were stopped, and the incident is under investigation. A final report is expected within 15 days.</t>
  </si>
  <si>
    <t>Torque wrench used for riser makeup.</t>
  </si>
  <si>
    <t>Yo‑Yo retractable wire reel attached to an air tugger</t>
  </si>
  <si>
    <t xml:space="preserve">Hydraulic Oil Leak from Riser Running Tool During Riser Handling Operations
At approximately 22:50 on June 24, 2026, while removing the hydraulic riser running tool from Joint #63 and transitioning it from a vertical to a horizontal position to stab into Joint #64, personnel observed a small hydraulic oil leak from the tool while it was in the retracted position. The leaking fluid was identified as Castrol Hyspin AWS 46 hydraulic oil. Operations were immediately stopped, and the leak, estimated at approximately 2 ounces, was contained on the hole cover using absorbent pads. No hydraulic fluid was released to the sea. The hydraulic supply to the running tool was isolated, and a mechanic was notified. The hydraulic riser running tool was removed from service and is currently being rebuilt onboard the rig. </t>
  </si>
  <si>
    <t>Hydraulic riser running tool attached to a riser joint (Joint #63) during transition to stab into Joint #64.</t>
  </si>
  <si>
    <t>Hydraulic riser running tool</t>
  </si>
  <si>
    <t>Riser Bolt Dislodged During Pup Joint Handling After Premature Release of RCW Gorilla Arms
While preparing 20-foot and 40-foot riser combination joints prior to skidding the BOP from the setback area, a 40-foot riser pup joint was lifted from the Riser Catwalk (RCW) and landed approximately one foot into the riser spider. Before the link tilt float function was activated, the RCW operator prematurely opened the gorilla arms, allowing the pup joint to swing slightly. The top of a riser bolt contacted the riser spider frame, shearing the ½-inch retaining Allen screw that secured the bolt. The 22-kg riser bolt and 0.4-kg retainer became dislodged from their seated position. At the time of the incident, the BOP remained in the setback area and no personnel were working below the rotary table or in the moonpool. No injuries or environmental impacts occurred. Estimated repair costs for the bolt and retainer were less than $25,000.</t>
  </si>
  <si>
    <t>40‑ft riser pup joint</t>
  </si>
  <si>
    <t>Riser Catwalk / Tubular Handling System</t>
  </si>
  <si>
    <t xml:space="preserve">Crane Offload Load Shift Damages Boat Walkway Handrails
While offloading cargo from the M/V to the facility using the crane, the load shifted during the lift from the vessel's aft deck. The moving load contacted the vessel walkway and dented the handrails. No personnel were injured. Estimated property damage to the handrails is $500–$750. </t>
  </si>
  <si>
    <t>Human Error / Load Snag or Contact / Load Shift</t>
  </si>
  <si>
    <t>offloaded cargo -not identified</t>
  </si>
  <si>
    <t xml:space="preserve">Snagged Spooler During Offloading Causes Equipment Door to Detach
On June 28, 2026, during the offloading of completion equipment from a workboat, a spooler was being lifted with the starboard forward crane when it became snagged on a second spooler positioned nearby. A bolt on the sacrificial weld-down plate at the bottom of the suspended spooler caught on the cage door of the adjacent spooler. After the boat crew recognized the snag, they instructed the crane operator to slack off the load, allowing the suspended spooler to disengage and swing free.
Following completion of the lift, it was discovered that the cage door on the stationary spooler had detached and fallen approximately 2 feet onto the deck along with three bolts and a hinge bar. The detached door weighed approximately 21.4 pounds. The nearest person was approximately 10 feet away at the time of the incident. No personnel were injured. </t>
  </si>
  <si>
    <t>Completion equipment spooler (suspended spooler being offloaded with the starboard forward crane).</t>
  </si>
  <si>
    <t>Crane Wire Rope Removal – Snake Grip Failure Causes 40‑Foot Dropped Wire Rope During Maintenance on Crane #1                                                                                                                  At approximately 1640 hours, the crane crew was performing wire rope removal activities on Crane #1. The main block was lowered to the riser deck, and the crew installed a Lewis LSGX Snake Grip onto the 1-inch Dyform main wire rope. After the connection was secured, the designated signal person (DSP) instructed the crane operator to hoist. As the wire rope traveled over the first sheave, the Snake Grip became lodged and subsequently opened, allowing the wire rope to detach from the grip. The wire rope fell approximately 40 feet onto the riser deck below within a barricaded area.</t>
  </si>
  <si>
    <t>1‑inch Dyform main wire rope</t>
  </si>
  <si>
    <t>BHA Contacts Light Bracket During Crane Laydown Operation
During crane operations to lay down a Bottom Hole Assembly (BHA) from the aft skate to the well test deck, the suspended load contacted a light bracket while personnel were using a stanchion post to help orient the load during placement. No dropped objects, personnel injuries, or environmental impacts occurred. The damaged light fixture was electrically isolated following the incident and scheduled for repair. Tag lines were not used during the lift. Radio communication was maintained throughout the operation, and the lift was not considered a blind lift. Estimated property damage was approximately $1,000.</t>
  </si>
  <si>
    <t>Bottom Hole Assembly (BHA)</t>
  </si>
  <si>
    <t>Crane Anti-Two-Block Hydraulic Hose Snagged on OOS Light Fixture During Boom-Up                  A crane operator lowered the platform crane boom to the deck to check the load indicator system due to suspected air in the hydraulic circuit. After completing the check, the operator began raising the boom. During the booming‑up process, the hydraulic hose for the anti‑two‑block system inadvertently snagged on an out‑of‑service (OOS) light fixture, resulting in damage to the JIC hydraulic hose fittings. There were no injuries or environmental impacts associated with the incident; hydraulic fluid released from the damaged fittings was contained on the top deck and cleaned up by personnel. The crane operator works for Gulf Land Structures, and this company affiliation has been updated in the records. It was later clarified that the initial after‑hours report incorrectly stated that personnel were working on the anti‑two‑block system; in fact, the task involved checking for air in the weight indicator system when the anti‑two‑block hose was snagged during boom operation.</t>
  </si>
  <si>
    <t>Crane Winch Mechanical Malfunction Results in Uncontrolled Load Descent During P&amp;A Operations
During plug and abandonment (P&amp;A) operations on the facility, the North Crane was being used to run heavyweight drill collars when the crane's main hoist experienced a mechanical malfunction. As a result, the suspended load descended in an uncontrolled manner approximately 18 inches due to winch slippage. Personnel immediately initiated an All Stop, and the crane was taken out of service by returning the boom to its cradle pending inspection and repair of the winch. No personnel injuries, dropped load, equipment damage, or environmental impacts resulted from the incident.</t>
  </si>
  <si>
    <t>Heavyweight drill collars</t>
  </si>
  <si>
    <t xml:space="preserve">Subsea Connector Actuation Tool Snag Damages Jumper Gooseneck Grounding Wire During Recovery                                                                                                                                         During recovery of the subsea Connector Actuation Tool (CAT) from the ATL DC105 jumper gooseneck at the W2‑05 PLET, the CAT became snagged on a tubing/ground wire bracket on the gooseneck. As hoisting continued, the CAT shifted and slid the clamp along the pipe, resulting in separation/damage of the grounding wire at the connector termination. No personnel were injured and the consequence was limited to minor equipment damage (estimated repair cost &lt; $100). Event classified as Material Handling / Subsea Lifting, consequence Equipment Damage Only, potential severity Moderate due to the snag/contact with subsea equipment and potential for dropped object or connector damage had the event escalated.
</t>
  </si>
  <si>
    <t>Subsea Connector Actuation Tool (CAT)</t>
  </si>
  <si>
    <t>Drill Pipe Swings During Tripping Operations Resulting in Personnel Injury
On July 1, 2026,  the WFD 450 drill crew was running 4-1/2 inch drill pipe in hole. During the operation, the Affected Individual (AI) was trailing the drill pipe in the hole using a rope to assist with pipe control. A stand of drill pipe was lifted using the top drive and was being trailed toward the rotary table. During the movement, the trail rope slipped from the AI’s hands, causing the suspended pipe to swing unexpectedly toward him. The pipe contacted the AI in the face, knocking him backward approximately five feet and causing him to fall to the rig floor. The AI sustained a 3/4-inch laceration to the forehead and abrasions beneath the left eyebrow and across the bridge of the nose. The AI applied a bandage, notified the driller, and was directed to report to the medic. While being evaluated in the medic’s office, the AI became dizzy and vomited, prompting a decision for further medical evaluation. Work was immediately stopped, and incident notification protocols were initiated. The OIM conducted a safety stand-down with personnel to review the event and reinforce safe work practices. Operations resumed after the area was assessed and deemed safe. The AI was transported by helicopter to Ochsner Lafayette General Hospital, where he was diagnosed with a closed fracture of the frontal sinus. Steri-strips were applied to the forehead laceration. The AI was released on July 3, 2026, with follow-up instructions to obtain clearance from a neurosurgeon or primary care provider prior to returning to work.  No property damage or environmental impact occurred as a result of this incident.</t>
  </si>
  <si>
    <t>Stand of 4½-inch drill pipe being run into the hole.</t>
  </si>
  <si>
    <t>Hose Snag During Crane Lift
While attempting to lift an empty tote tank from the tote tank rack using the crane, the crane crew identified that a hose remained connected to the tote tank as the lift was initiated. An immediate all stop was called, and the tote tank was lowered back into the rack.No fluids were released, and no additional equipment damage occurred. The connected hose was stretched and kinked during the lift attempt.Operations personnel performed a secondary inspection of the hose and determined that replacement was required.Hose was stretched and kinked due to tension created during the attempted lift.
Hose replacement required.
No fluid loss occurred.
No additional equipment damage identified.</t>
  </si>
  <si>
    <t>Empty tote tank</t>
  </si>
  <si>
    <t>Tubing Hanger Running Tool Disengages During Retrieval, Resulting in Uncontrolled Load Shift
During tubing retrieval operations, the planned scope of work was to recover the tubing hanger with the attached 3½-inch tubing and lay it down on the drill floor. Prior to the operation, the tubing hanger running tool had been changed from a hydraulic setting tool to a manual setting running tool. After the tubing hanger was raised to the required height, the first tubing joint below the hanger was cut with a band saw while the tubing remained secured in the slips. As the driller hoisted the tubing hanger and pup joint to begin the laydown operation, the running tool unexpectedly disengaged from the tubing hanger. The cut end of the pup joint slipped off the tubing stump and came to rest on the drill floor adjacent to the rotary table, while the tubing hanger leaned under gravity and came to rest against the walkway between the top drive dolly (DDM) tracks on the motor shed side of the drawworks. No personnel were injured, and there were no environmental impacts. Although no contact with personnel occurred, the event had significant potential for a serious struck-by or dropped-object incident and was classified by the operator as a near miss.</t>
  </si>
  <si>
    <t>Tubing hanger with the attached 3½-inch tubing and pup joint</t>
  </si>
  <si>
    <t>Drilling rig hoisting system / top drive</t>
  </si>
  <si>
    <t>Off-Center Personnel Basket Lift Results in Gangway Handrail Contact
During offloading operations from the M/V Margaret Lab, the crane operator was lifting an unoccupied personnel basket when the crane was not properly centered over the load. As the basket was hoisted, it began to swing and contacted the gangway, damaging the handrails. No personnel were in the line of fire, and no injuries or environmental impacts occurred. The incident resulted in property damage limited to the gangway handrails.</t>
  </si>
  <si>
    <t>Personnel basket - unoccupied personnel basket</t>
  </si>
  <si>
    <t xml:space="preserve">Roustabout Injury During Chiksan Pipe Rack Backloading Operations Due to Unexpected Load Movement
On July 9, 2026, the crane crew was preparing to reposition a 2-inch chiksan pipe rack for backloading operations. The chiksan rack rigging was attached to the crane fast line, and the crew was preparing the load for lifting.
While the crane operator began taking slack out of the rigging, the Roustabout (Injured Person - IP) entered the area between the chiksan rack and a nearby 550-gallon tote tank to attach a tagline to the load. As tension was applied to the rigging, one leg of the sling became caught on a portion of the chiksan rack, causing the load to shift unexpectedly toward the IP.
The IP’s lower left leg became caught between the chiksan rack and the tote tank, resulting in an injury. The rig medic was immediately notified, and the shore-based physician was consulted. Due to the nature of the injury, the decision was made to medevac the IP ashore for further medical evaluation and treatment.
</t>
  </si>
  <si>
    <t>2-inch chiksan pipe rack.</t>
  </si>
  <si>
    <t>Dive Basket Contact with Handrail Results in Handrail Loss Overboard                                                                                      While conducting diving operations aboard the PF Irene, the dive crew used an air tugger to raise a diver/gear basket to the +14 level. As the basket approached the landing area, the dive tender did not fully swing the handrail clear of the basket's travel path. The basket contacted the handrail, dislodging it from its retaining pocket. The handrail fell into the ocean and could not be recovered. There were no injuries, and no damage occurred to the lifting equipment or dive basket.</t>
  </si>
  <si>
    <t>Diver/gear basket</t>
  </si>
  <si>
    <t>Air tugger</t>
  </si>
  <si>
    <t>Crane Boom Contacts Derrick-Mounted Beacon Light During Tote Tank Change-Out Operation
During a production tote tank change-out operation on the cooler deck, the crane crew was conducting a lift when the crane boom contacted a beacon light mounted on the derrick. The lift plan identified the requirement for a spotter due to the proximity of the crane boom to the derrick structure. The spotter monitored the boom position and confirmed clearance from the derrick and beacon light. As the designated signal person (DSP) directed the crane operator to boom up, the crane boom moved upward and contacted the beacon light. The beacon light was secured within the derrick drops netting, preventing a dropped object. No personnel injuries occurred, and no additional equipment damage was reported. The estimated replacement cost for the beacon light was $10.00. The lift was not a blind lift, and VHF radio communication was maintained between the crane operator and signal person throughout the operation.</t>
  </si>
  <si>
    <t>Tote tank change-out</t>
  </si>
  <si>
    <t>Jumper Insulation Damaged During Subsea Lift Due to Contact with Support Beam
On 07/11/2026 at approximately 20:01 hours, the M/V crew was performing a lifting operation to remove the NaKika F7 Intermediate Jumper (SLED-F34 Man.) from the M/V. During the lift, the gooseneck on the SLED end of the jumper contacted the gooseneck support beam.
The contact resulted in superficial damage to the jumper insulation, removing an approximately 4 in. x 4 in. x 4 in. section of insulation material. The damaged insulation fragment fell into the jumper connector corral. No personnel were injured, and no structural damage occurred.</t>
  </si>
  <si>
    <t>Intermediate subsea jumper</t>
  </si>
  <si>
    <t>Subsea Jumper Insulation Damage During Lift                                                                                          While lifting the NaKika F7 Well Jumper from the M/V, the gooseneck on the Tie-In SLED end of the jumper contacted the spreader bar cradle I-beam. The contact resulted in superficial damage to the jumper insulation. The lift was stopped, and the jumper was inspected. No personnel injuries occurred, and no additional equipment damage was identified.</t>
  </si>
  <si>
    <t>NaKika F7 Well Jumper</t>
  </si>
  <si>
    <t>Electrical Conduit Damaged During Chain Fall Rigging for BDV Installation
While installing a Blowdown Valve (BDV) on the dehydration skid at the northwest cellar deck, personnel were rigging a 2-inch synthetic lifting strap and chain fall in a basket configuration around an overhead I-beam. During the rigging process, the synthetic strap contacted and pulled the electrical conduit from an overhead light fixture. Following the incident, visible charring was observed on the damaged conduit and light fixture.
Work was stopped, and the area was made safe. No personnel injuries occurred, and there was no loss of containment. The damaged light fixture and conduit sustained an estimated $500 in property damage. Environmental conditions at the time were southeast winds of 10–14 knots and seas of 1–3 feet.</t>
  </si>
  <si>
    <t>Blowdown valve on a dehydration skid</t>
  </si>
  <si>
    <t>chain fall (rigged with a 2-inch synthetic lifting strap).</t>
  </si>
  <si>
    <t>Operator Suffers Finger Amputation During Chain Fall Valve Replacement
On July 17, 2026, operations personnel were replacing a 6-inch inlet valve on HP Oil Exchanger #2 using a mechanical lifting device (chain fall). During the lift, the valve became misaligned while being positioned for installation. An operator manually attempted to manipulate and realign the suspended valve. During this process, the valve shifted, pinching the operator's right pinky finger between the valve and an adjacent surface.
The rig medic immediately evaluated the injured person (IP), who was subsequently evacuated from the facility via SARS helicopter at approximately 1300 hours for further medical treatment. The IP was evaluated by an orthopedic surgeon on July 20 and underwent surgery on July 21 for an amputation injury to the tip of the right pinky finger. A follow-up appointment was scheduled for August 3, and the employee will remain off work until medically cleared by the hand surgeon.
No loss of containment occurred. Property damage associated with the incident was estimated at $10,000. An investigation remains ongoing.</t>
  </si>
  <si>
    <t>HP oil exchanger</t>
  </si>
  <si>
    <t>mechanical chain fall (chain hoist)</t>
  </si>
  <si>
    <t>Crane Boom Winch Malfunction Results in Casing Contact with Welder’s Toolbox During Laydown Operation
While conducting casing handling operations for Well D8, the L/B Vennessa crane was utilized to lift, swing, and lay down a casing joint onto the platform. As the crane operator swung the suspended casing joint toward the designated laydown area and began booming down, the boom was approximately 90% lowered to the intended position when the boom winch appeared to malfunction.
At approximately the same time, the onsite supervisor communicated via radio for the operator to stop lowering the boom and swing the crane away from the area. However, the load continued to slowly descend toward a welder’s toolbox. The crane operator was able to maintain control of the boom using the winch control lever and gradually lower the remaining length of the casing joint.During the controlled descent, the casing contacted the top of the welder’s toolbox and ultimately came to rest on the toolbox. The crane operator then used the load block winch to regain control of the load, moved the casing clear of the obstruction, and safely lowered it onto the designated deck/laydown area. No personnel injuries, dropped objects, or environmental impacts occurred as a result of the incident. The only reported damage was to the top of the welder’s toolbox. After the casing was secured on the deck, the rigging was removed, and the crane boom was safely positioned in the boom rest. The L/B Vennessa crane was placed Out of Service pending inspection by a qualified crane mechanic and completion of any required repairs.</t>
  </si>
  <si>
    <t>Valve Assembly Damaged During MPT Securing Operations Due to Sling Contact
During preparation to secure a full 50-bbl Mobile Production Tank (MPT) for transport, a crane was being used to pick up and tighten the tank transport slings. As the sling was being positioned, it caught the ear of a cap on the valve assembly, resulting in damage to the valve assembly. The tank was not lifted off the deck at the time of the event, and no dropped object occurred. No personnel injuries were reported. The damaged valve assembly will be replaced.</t>
  </si>
  <si>
    <t>50-bbl Mobile Production Tank</t>
  </si>
  <si>
    <t>Main BRC Loses Grip on Drill Pipe Stand During ACD Sleeve Recovery                                          During the recovery of an Annular Control Device (ACD) sleeve on the Main side, the crew was racking back the stand of drill pipe used to pull the sleeve to the surface. The stand was gripped by the Main Bridge Racker Crane (BRC), and the Main Assistant Driller (AD) confirmed the grip was closed and secured. Upon receiving confirmation, the Main Driller opened and retracted the elevators while the Main BRC was traveling the stand toward the fingerboard. As the Main BRC slewed into position to move the Managed Pressure Drilling (MPD) ACD sleeve to the auxiliary setback area on the rig floor, the stand slipped.  The stand slid straight down approximately 36 inches and came to rest on a deck drain cover. The stand remained contained and controlled within the racker and did not fall away from the vertical position.</t>
  </si>
  <si>
    <t>Stand of drill pipe (also referred to in the report as the MPD ACD stand)</t>
  </si>
  <si>
    <t xml:space="preserve">Camp Spread Damage During Rig-Down Operations Due to Obstructed Movement Path
While rigging down the camp spread, construction personnel utilized two 10K air tuggers equipped with snatch blocks connected to lifting trunnions located on both ends of the buildings to move the structures across the deck. During the movement operation, a section of 3 x 3 square tubing became caught on a deck plate overlay. The obstruction was not immediately identified, and continued pulling force from the air tuggers resulted in the tubing bending and causing damage to the fiberglass bottom of the structure. No personnel injuries or dropped objects were reported. </t>
  </si>
  <si>
    <t>Camp-spread structures/buildings</t>
  </si>
  <si>
    <t>two 10K air tuggers, equipped with snatch blocks</t>
  </si>
  <si>
    <t xml:space="preserve">Cargo Container Contact Activates Generator CO₂ Fire Suppression System During Backloading                                                                                                                                                               During backloading operations, a 6 ft. x 6 ft. cargo container (TRS-668-201) weighing approximately 4,200 pounds was being lifted by the West 60T Seatrax crane for transfer to the M/V Odyssey Count. While positioning the container between an Aggreko temporary generator (XAXC026) and an MPT tank, the suspended container contacted the emergency pull station for the CO₂ fire suppression system located on the starboard side of the generator. The contact activated the fire suppression system.
Crane operations were immediately suspended, and the incident was reported to the appropriate personnel. The vessel was positioned with the stern toward the North Seas at approximately 1 ft-SSE. Weather conditions at the time included winds of approximately 5–6 knots from the southwest. Two tag lines were used to control the load. No personnel injuries occurred. The contact resulted in damage to the temporary generator, with reported property damage of approximately $3,500. </t>
  </si>
  <si>
    <t>6 ft. x 6 ft. cargo container</t>
  </si>
  <si>
    <t>Worker's Thumb Pinched During Casing Pull Preparation Due to Unintended Crane Movement
On July 19, 2026, during plug and abandonment (P&amp;A) operations, personnel were preparing to pull casing. An Authorized Individual (AI) was securing one side of a 3-inch pin bar inside the casing at the retaining bolt while the opposite side was being prepared for sling attachment.
According to the report, the crane operator was directed via radio and hand signals to boom down to allow the sling to be placed on the opposite side of the pin bar. During this evolution (still under investigation), the crane operator inadvertently boomed down while simultaneously hoisting the load line. The combined crane movements caused the pin bar to lift, allowing the sleeve to slide along the bar and briefly pinch the injured person's (IP's) left thumb between the sleeve plate and the retaining bolt.
The task was immediately stopped, and a safety stand-down was conducted with the crew. The IP, who was wearing impact-resistant gloves, was transported by helicopter to EI 346 for medical evaluation. Following evaluation, the medic recommended the IP be seen at an occupational medicine clinic as a precaution.</t>
  </si>
  <si>
    <t>3-inch pin bar</t>
  </si>
  <si>
    <t>Suspended DI Water Tote Contacted Adjacent Tote During Vessel Movement                                During offloading operations from a warehouse vessel to an offshore platform, a full DI water tote weighing approximately 5,000 pounds was being lifted by crane from the vessel deck to the platform. While the load was suspended, vessel movement caused by swell and drift resulted in the tote swinging and contacting an adjacent empty DI water tote weighing approximately 500 pounds. The contact caused the empty tote to be knocked onto its side.
No personnel were in the immediate area, and no injuries occurred. The crane operator maintained control of the suspended load and safely landed the DI water tote on the platform. The lifted tote was inspected and no damage was identified. The empty tote was subsequently returned to an upright position and inspected by the deck crew, with no damage identified.
Operations were paused and the incident was reported to the OIM. The vessel captain was contacted to verify crew safety and vessel status, with no issues reported. The lift was conducted with radio communication and was not a blind lift. Tag lines were not utilized. No equipment damage, injuries, or associated costs resulted from the incident.</t>
  </si>
  <si>
    <t xml:space="preserve">Tote Tank Contact with Gaitronics Speaker During Offloading Operations Resulting in Equipment Damage
On July 21, 2026, personnel were offloading a 5,000-lb tote tank from a vessel to the facility. During the lowering operation, the tote tank contacted a Gaitronics speaker located on the deck.
The lift was not a blind lift. The operator and lifting crew had visibility of the load and surrounding area during the operation. The contact resulted in damage to the Gaitronics speaker. No damage occurred to the crane, lifting equipment, rigging, or tote tank. No personnel injuries or dropped objects were reported.
The estimated replacement cost of the damaged Gaitronics speaker is approximately $500. </t>
  </si>
  <si>
    <t>Connex Contacts PA Speaker During Offloading Operation
During an offloading operation, an empty 8 ft. × 10 ft. steel shipping connex (approximately 3,000 lb.) was being transferred from the M/V Fast Mammoth to the platform using the HM East Seatrax Series 60 Model 6024 kingpost crane. As the crane operator held the load stationary approximately 8 feet above the main deck, riggers began using the pre-attached tag lines to rotate the connex so the doors would face south for unloading. While being rotated, the load slowly drifted due to wind conditions associated with Tropical Storm Bertha (16-knot winds) and contacted a nearby GAI-Tronics PA speaker. The impact damaged the speaker's electrical gland/conduit (wiring nipple). No dropped object occurred, no personnel were injured, and property damage was estimated at approximately $580.</t>
  </si>
  <si>
    <t>8 ft. × 10 ft. steel shipping connex (approximately 3,000 lb.)</t>
  </si>
  <si>
    <t>BOP Winch Hook Fails During Post-Trip Cleanup Activities
While cleaning the work area following pipe-tripping operations on the A029 well, a hook on one of the BOP winches failed and separated from the winch assembly. No personnel were injured, and no dropped object occurred as a result of the failure. The task was immediately stopped, and the ISS supervisor was notified. Platform leadership was made aware of the occurrence, visited the worksite, assessed the situation, and made the appropriate notifications.</t>
  </si>
  <si>
    <t>BOP winch / winch hook and associated equipment</t>
  </si>
  <si>
    <t>BOP Winch</t>
  </si>
  <si>
    <t>8 ft. × 8 ft. MPH Tool House</t>
  </si>
  <si>
    <t>Crane Boom Contacts Stair Tower During Extended-Reach Pick Preparation
While preparing to make an extended-reach pick, the crane operator was lowering the boom to position it over the equipment to be lifted. During the maneuver, the crane boom contacted the top corner of the stair tower leading to the PJU floor, resulting in a small scratch to the paint. No structural damage, personnel injuries, or dropped objects occurred, and no monetary damage was reported. The crane operator and rigger maintained communication by radio; however, the rigger was positioned in a location where the crane boom was not visible, creating a blind spot during the movement.</t>
  </si>
  <si>
    <t>Water pod</t>
  </si>
  <si>
    <t>Tong Contacts Pipe Deck Beam During Lift, Causing Minor Equipment Damage
During production tubing operations, Crane #1 was lifting tubing tongs from the pipe deck to the rig floor to support tubing make-up activities. During the lift, the suspended tong contacted a pipe deck beam, causing a fitting to break off the tong assembly. All personnel were positioned in the designated step-back areas, and no injuries or dropped objects occurred. A verbal Job by Design (JBD) was conducted before the lift, the lift was not classified as a blind lift, and VHF radios were used for communication. Taglines were not used during the operation. The estimated equipment damage was $25.</t>
  </si>
  <si>
    <t>Tubing tongs</t>
  </si>
  <si>
    <t>Crane Hydraulic Line Failure Resulting in Loss of Primary Containment During Basket Recovery Operations
On July 24, 2026, at approximately 12:45 PM, while conducting commissioning activities on the  facility in the field, the crane aboard the Vessel C-Constructor was recovering a three-tier basket to the deck when a hydraulic line failure occurred, resulting in a Loss of Primary Containment (LOPC) of hydraulic fluid.
An immediate All Stop was initiated, and crane operations were suspended. The released hydraulic fluid was fully contained on the deck, with no discharge to the marine environment. No personnel injuries occurred, and no damage to the facility, vessel, or equipment was reported.
Environmental conditions at the time of the incident included ESE winds at approximately 107 knots and seas of 3–5 feet.</t>
  </si>
  <si>
    <t>three-tier basket</t>
  </si>
  <si>
    <t>Hydraulic Hose Pinhole Leak on Crane Rental Power Unit During Lifting Operations
While conducting routine material handling operations on the platform deck using the crane, the hydraulic hose on the crane's rental hydraulic power unit developed a pinhole leak. Upon identifying the leak, personnel immediately initiated an Emergency Shutdown (ESD) of the power unit, and lifting operations were suspended.
The power unit's secondary containment system successfully captured all released hydraulic fluid, preventing any discharge to the environment. No personnel injuries occurred, and no damage to the crane or platform was reported beyond the failed hydraulic hose.</t>
  </si>
  <si>
    <t>Crane Boom Contacts Boom Rest, Damaging Boom Walkway During Previous Operations
During the pre-use inspection of the West Crane on July 25, 2026, personnel discovered damage to the crane boom walkway grating and its support structure. The damage indicated that the crane boom had likely contacted the vertical timber of the boom rest from above before being lowered onto the horizontal timber. No lifting operations were in progress when the damage was identified. The crane was immediately removed from service, and the Regulatory Affairs Duty Desk was notified. Initial estimates place the repair cost at approximately $30,000.</t>
  </si>
  <si>
    <t>6 ft. × 6 ft. cargo container</t>
  </si>
  <si>
    <t>Structural Damage Identified on 15-Ton SL Bullfrog Crane Following Lift Operation
Following completion of a 7,000-lb lift using the 15-ton SL Bullfrog crane, a post-use inspection identified structural damage to the crane. The W12 south beam supporting the king post leg was found bent, along with one 3/8-inch gusset plate. Additionally, the south plate was observed to have a crack at the top. No personnel injuries or dropped objects occurred as a result of this event. The crane was immediately removed from service pending further evaluation by crane engineering to determine the extent of damage and required repairs.</t>
  </si>
  <si>
    <t>The lifted load was 7,000 lb, but the narrative does not identify the specific equipment/item.</t>
  </si>
  <si>
    <t xml:space="preserve">Dropped Object – Low Torque Valve Handle Released During Top Drive Operations
A dropped object incident occurred on the auxiliary side of the drill floor while conducting drilling operations. The crew was in the process of breaking out the top drive from the cement stand when the dies on the top drive slipped, causing the drill pipe (DP) to vibrate.
During the operation, personnel heard an impact sound and stopped to investigate. The crew discovered that the handle from the low torque valve had fallen and landed on the drill floor.No injuries were reported. The dropped object was recovered, and the area was inspected. The operation was paused to assess the condition of the equipment and determine the cause of the component release. </t>
  </si>
  <si>
    <t>Dropped Object During Crane Lift Resulting in Near Miss Personnel Contact 
On July 29, 2026, at approximately 0855 hours, a dropped object incident occurred aboard the facility while conducting general lifting operations. The facility was conducting drilling operations in approximately 6,823 feet water depth, located 115 miles offshore. 
The lift involved the Port Forward No. 1 NOV Knuckle Boom Crane and a 3 ft x 6 ft crane block storage rack located on the Starboard Wireline Deck. During the lifting operation, a 1.25-inch outside diameter by 8-inch-long pipe became dislodged from the crane block storage rack and fell to the deck (static dropped object).
While assisting with the lift, a roustabout was grazed on the arm by the falling pipe before it came to rest on the deck between the ACO and the roustabout. The individual was evaluated by the onboard medic and returned to work with no treatment required.
No equipment, structural damage, environmental impact, or operational shutdown occurred. Lifting operations were immediately paused, and an additional dropped object survey was conducted before resuming activities.
Weather conditions at the time of the event were 10-knot northwest winds and 1–2 ft northwest seas.</t>
  </si>
  <si>
    <t>3 ft × 6 ft crane block storage rack</t>
  </si>
  <si>
    <t>cooler mounted on a stand</t>
  </si>
  <si>
    <t>Stand of 10.05-inch casing</t>
  </si>
  <si>
    <t>Load block</t>
  </si>
  <si>
    <t>Chain jack cylinder (approximately 8,000 lbs, ~12 feet by 24 inches)</t>
  </si>
  <si>
    <t>Chain falls (manual chain hoists)</t>
  </si>
  <si>
    <t>BHA (bottom hole assembly) lower section</t>
  </si>
  <si>
    <t>Main Side Top Drive</t>
  </si>
  <si>
    <t>March 2025 Highlights</t>
  </si>
  <si>
    <t>April 2025 Highlights</t>
  </si>
  <si>
    <t>May 2025 Highlights</t>
  </si>
  <si>
    <t>June 2025 Highlights</t>
  </si>
  <si>
    <t>July 2025 Highlights</t>
  </si>
  <si>
    <t>August 2025 Highlights</t>
  </si>
  <si>
    <t>September 2025 Lifting Incidents - Monthly Highlights</t>
  </si>
  <si>
    <t>October 2025 Lifting Incidents - Monthly Highlights</t>
  </si>
  <si>
    <t xml:space="preserve"> </t>
  </si>
  <si>
    <t>November 2025 Lifting Incidents - Monthly Highlights</t>
  </si>
  <si>
    <t>December 2025 Lifting Incidents - Monthly Highlights</t>
  </si>
  <si>
    <t>January 2026 Monthly Snapshot – Lifting &amp; Material Handling</t>
  </si>
  <si>
    <t>February 2026 Monthly Snapshot – Lifting &amp; Material Handling</t>
  </si>
  <si>
    <t>March 2026 Monthly Snapshot – Lifting &amp; Material Handling</t>
  </si>
  <si>
    <t>April 2026 Monthly Snapshot – Lifting &amp; Material Handling</t>
  </si>
  <si>
    <t>May 2026 Monthly Snapshot – Lifting &amp; Material Handling</t>
  </si>
  <si>
    <t>June 2026 Monthly Snapshot – Lifting &amp; Material Handling</t>
  </si>
  <si>
    <t xml:space="preserve">Floater </t>
  </si>
  <si>
    <t>Month/Year</t>
  </si>
  <si>
    <t>Crane</t>
  </si>
  <si>
    <t>Other Lifting Device</t>
  </si>
  <si>
    <t>Dropped Object</t>
  </si>
  <si>
    <t>Current Month</t>
  </si>
  <si>
    <t>Previous Months</t>
  </si>
  <si>
    <t>Injury</t>
  </si>
  <si>
    <t>Blind Lift</t>
  </si>
  <si>
    <t>Alaska Region</t>
  </si>
  <si>
    <t>Other- Uploading- work boat to lift boat</t>
  </si>
  <si>
    <t>Rig Equipment / Material Handling / Crane Component</t>
  </si>
  <si>
    <t>January 2025 - May 2026</t>
  </si>
  <si>
    <t>January 2025 - June 2026</t>
  </si>
  <si>
    <t>January 2025 - July 2026</t>
  </si>
  <si>
    <t>September 2026</t>
  </si>
  <si>
    <t>October 2026</t>
  </si>
  <si>
    <t>November 2026</t>
  </si>
  <si>
    <t>December 2026</t>
  </si>
  <si>
    <t>Offloading from M/V to platform</t>
  </si>
  <si>
    <t xml:space="preserve">Backloading from platform to M/V </t>
  </si>
  <si>
    <t>Uploading -lifted onto the OSV</t>
  </si>
  <si>
    <t>Offloading from Supply vessel to platform</t>
  </si>
  <si>
    <t>Offloading from Support vessel to platform</t>
  </si>
  <si>
    <t>Offloading from lift boat to platform</t>
  </si>
  <si>
    <t>Offloading — transfer from one vessel to another</t>
  </si>
  <si>
    <t>Offloading from work boat to platform</t>
  </si>
  <si>
    <t xml:space="preserve">Uploading- lifted onto work boat </t>
  </si>
  <si>
    <t>Overboarding</t>
  </si>
  <si>
    <t>Unloading — unit was lifted from the vessel to the platform</t>
  </si>
  <si>
    <t xml:space="preserve">Offloading and Backloading </t>
  </si>
  <si>
    <t>Uploading- work boat to lift boat</t>
  </si>
  <si>
    <t>Personnel Transfer M/V to platform</t>
  </si>
  <si>
    <t>Personnel Transfer platform to M/V</t>
  </si>
  <si>
    <t>Backloading from platform to M/V</t>
  </si>
  <si>
    <r>
      <rPr>
        <b/>
        <u/>
        <sz val="10"/>
        <rFont val="Arial"/>
        <family val="2"/>
      </rPr>
      <t>Damage to Tote Tank During Vessel-to-Platform Lifting Operation</t>
    </r>
    <r>
      <rPr>
        <sz val="10"/>
        <rFont val="Arial"/>
        <family val="2"/>
        <charset val="1"/>
      </rPr>
      <t xml:space="preserve">
On January 10, 2026, crane operations were being conducted to transfer a tote tank from a vessel to the platform. As the crane operator began lifting the tote, one of the slings became caught on a corner pad eye shackle of the tote.
Deckhands onboard the vessel immediately notified the crane operator via radio and instructed him to lower the load. While the operator was lowering the tote, vessel motion due to wave action caused the boat to rise, and the tote tank contacted the vessel deck. As a result, one of the tote’s support legs was bent.
No additional damage was identified, and no loss of primary containment (LOPC) occurred. The tote was subsequently lifted onto the platform, drained, and removed from service. It will be transported ashore for further evaluation and disposition when the vessel returns to dock.
No personnel injuries were reported.</t>
    </r>
  </si>
  <si>
    <r>
      <rPr>
        <b/>
        <u/>
        <sz val="10"/>
        <rFont val="Arial"/>
        <family val="2"/>
      </rPr>
      <t>Near Miss – Sling Failure During Rig Floor Hoisting Operations</t>
    </r>
    <r>
      <rPr>
        <sz val="10"/>
        <rFont val="Arial"/>
        <family val="2"/>
        <charset val="1"/>
      </rPr>
      <t xml:space="preserve">
On January 11, 2026, the rig floor crew was preparing to connect a set of four-part slings to the drill pipe hydraulic slips. During the preparation, the hoist operator began hoisting on the rig floor utility winch to prevent the slings from dragging on the deck. While hoisting, one of the T-bar connectors on the end of a sling inadvertently became wedged inside the pipe skate track. This unintended snag caused a single leg of the sling to part.
The operation was stopped immediately. No personnel injuries occurred, and no dropped objects were reported as a result of the incident.</t>
    </r>
  </si>
  <si>
    <r>
      <rPr>
        <b/>
        <u/>
        <sz val="10"/>
        <rFont val="Arial"/>
        <family val="2"/>
      </rPr>
      <t xml:space="preserve">Transit Sling Failure During Casing Offload    </t>
    </r>
    <r>
      <rPr>
        <sz val="10"/>
        <rFont val="Arial"/>
        <family val="2"/>
        <charset val="1"/>
      </rPr>
      <t xml:space="preserve">                                                                             On January 14, 2026, at approximately 0210 hours, the crane crew on the facility was engaged in offloading 9 5/8" casing doubles from a supply vessel. During the operation, the crane operator lifted two bundles consisting of four casing joints with a combined weight of approximately 11,052 pounds.
While attempting to swing the load inboard, two of the four transit slings parted. It is believed that the slings may have been damaged after contacting the crane boom rest while the operator was manipulating the load.
An immediate “All Stop” was initiated. The crew developed and communicated a revised plan, and the casing was safely lowered to the deck below. Safety barriers were in place, and no personnel were located in the Red Zone at the time of the incident. No materials were lost overboard, and no injuries were reported</t>
    </r>
  </si>
  <si>
    <r>
      <rPr>
        <b/>
        <u/>
        <sz val="10"/>
        <rFont val="Arial"/>
        <family val="2"/>
      </rPr>
      <t xml:space="preserve">Dropped 8-Foot Wireline Tool String During Operations </t>
    </r>
    <r>
      <rPr>
        <sz val="10"/>
        <rFont val="Arial"/>
        <family val="2"/>
        <charset val="1"/>
      </rPr>
      <t xml:space="preserve">
During operations, an 8-foot wireline tool string was inadvertently dropped from an estimated height of approximately 10 feet, landing on the deck below. The dropped object is believed to have resulted from a rope socket failure on the wireline unit following a split shot run.
No personnel were in the line of fire at the time of the incident. No injuries were reported, and no equipment damage occurred.</t>
    </r>
  </si>
  <si>
    <t>Near Miss</t>
  </si>
  <si>
    <r>
      <t>Drill Pipe Stand Dropped Object Due to Bridge Racker Grip Jaw Hydraulic Cylinder Failure During Tripping Operations                                                                                                                      W</t>
    </r>
    <r>
      <rPr>
        <sz val="10"/>
        <rFont val="Arial"/>
        <family val="2"/>
      </rPr>
      <t xml:space="preserve">hile tripping in the hole on the main side of the rig floor, approximately 10 feet from Main Well Center, the Main VPH (Vertical Pipe Handler) pipe racking system was being utilized to transfer stands of drill pipe from the fingerboard to the Main MDDM (Top Drive). During the operation, one stand of drill pipe slipped through the bridge racker grip jaw and contacted the drill floor. The drill pipe stand measured 133.18 feet in length, weighed 40.2 pounds per foot, with a total weight of 5,353 lbs. The stand slipped through the grip jaw from a height of approximately 24 inches.
Upon occurrence, drill floor operations were immediately secured. The stand was racked back and secured in the fingerboard. There were no injuries to personnel. Potential damage to a joint of drill pipe was noted.Investigation determined the root cause to be an internal hydraulic leak within the bridge racker grip jaw cylinder, resulting in loss of grip pressure. </t>
    </r>
  </si>
  <si>
    <r>
      <rPr>
        <b/>
        <u/>
        <sz val="10"/>
        <rFont val="Arial"/>
        <family val="2"/>
      </rPr>
      <t>Crane Contact with Supply Vessel Gangway During CCU Backload – No Injuries</t>
    </r>
    <r>
      <rPr>
        <sz val="10"/>
        <rFont val="Arial"/>
        <family val="2"/>
        <charset val="1"/>
      </rPr>
      <t xml:space="preserve">
While backloading an 8 ft x 24 ft cargo carrying unit (CCU) using the crane, the load made contact with a removable gangway on the supply vessel Fast Leopard. The contact resulted in damage to a handrail on the gangway. The Captain of the OSS and the OIM of the facility jointly assessed the damage and determined operations could continue safely. No personnel were injured. </t>
    </r>
  </si>
  <si>
    <r>
      <t xml:space="preserve">Aircraft Warning Light Damaged by Tote Tank During Crane Operations                                               </t>
    </r>
    <r>
      <rPr>
        <sz val="10"/>
        <rFont val="Arial"/>
        <family val="2"/>
      </rPr>
      <t>The north crane operator was moving a tote tank when the bottom of the tote clipped the aircraft warning light while passing over the south crane.The aircraft warning light was repaired using a part that was already onsite. Repair was completed by two personnel in under one hour. Total repair cost was approximately $175.00, including the $20.00 part and associated labor.No injuries to personnel were reported.</t>
    </r>
  </si>
  <si>
    <t xml:space="preserve"> Offloading — transfer from one vessel to another</t>
  </si>
  <si>
    <r>
      <rPr>
        <b/>
        <u/>
        <sz val="10"/>
        <rFont val="Arial"/>
        <family val="2"/>
      </rPr>
      <t>Cutting Box Contacted Toolbox During Blind Crane Lift in Congested Work Area</t>
    </r>
    <r>
      <rPr>
        <sz val="10"/>
        <rFont val="Arial"/>
        <family val="2"/>
      </rPr>
      <t xml:space="preserve">
During crane operations on the AFT 171-foot deck, a 15-bbl cutting box was being moved using the crane when the suspended load contacted a nearby toolbox. The lift was conducted as a blind lift in a tight and congested area, with taglines attached to the cutting box and radio communication used between personnel. When the cutting box was initially lifted from the deck, the load swung approximately 1 to 2 feet and contacted the toolbox. Damage occurred as the load was being lowered back to the deck. No damage was observed to the crane or cutting box, and no objects fell during the incident. The only damage identified was a bent lower hinge on the toolbox door. No additional risk or hazard was identified as a result of the damage. The toolbox was scheduled to be emptied and relocated to the Safe Welding Area for minor repairs. Estimated repair costs were approximately $200 for labor.</t>
    </r>
  </si>
  <si>
    <t>15-bbl cutting box.</t>
  </si>
  <si>
    <t>media blast hose</t>
  </si>
  <si>
    <t>Wire rope/hoist cable</t>
  </si>
  <si>
    <r>
      <rPr>
        <b/>
        <u/>
        <sz val="10"/>
        <rFont val="Arial"/>
        <family val="2"/>
      </rPr>
      <t>Broken Wire Rope Observed on Hoist During Southwest Column Confined Space Preparation</t>
    </r>
    <r>
      <rPr>
        <sz val="10"/>
        <rFont val="Arial"/>
        <family val="2"/>
        <charset val="1"/>
      </rPr>
      <t xml:space="preserve">
During Southwest Column confined space material and equipment preparation, the crew was lowering media blast hose into the confined space while ground personnel disconnected the hoses and communicated that the area was clear to retract the hoist cable. While retracting the cable, several broken wires were observed along the mid-length of the wire rope. Personnel immediately called an all stop at the hoist drum, and the Local Lifting Focal Point was notified to inspect the equipment. Following the evaluation, the winch and hoist drum were placed out of service pending further inspection and corrective action. No personnel injuries or property damage were reported. This incident report is being submitted late based on G-131 INC issued on August 12, 2026. An incident summary and photographs were presented to the district during a meeting.</t>
    </r>
  </si>
  <si>
    <t>Flowhead</t>
  </si>
  <si>
    <r>
      <rPr>
        <b/>
        <u/>
        <sz val="10"/>
        <rFont val="Arial"/>
        <family val="2"/>
      </rPr>
      <t>Crane Fast Line Failure Resulting in Loss of 33,000-Pound Suspended Load Overboard</t>
    </r>
    <r>
      <rPr>
        <sz val="10"/>
        <rFont val="Arial"/>
        <family val="2"/>
        <charset val="1"/>
      </rPr>
      <t xml:space="preserve">
During cargo offloading operations, the crane crew was transferring a Flowhead contained within an 8-foot by 40-foot cargo basket from a supply vessel to the drillship. The total suspended load weighed approximately 33,000 pounds. As the load approached the drillship, the crane fast line parted, resulting in the uncontrolled loss of the suspended load. Following the line failure, the basket and its contents struck the drillship pipe deck and storeroom deck before continuing overboard and coming to rest on the seabed. Damage to the pipe deck and storeroom deck, including handrails and deck structure, was observed; however, the full extent of the damage has not yet been determined. The supply vessel was not impacted. An ROV was deployed to locate and assess the dropped load on the seabed. No personnel were injured because a red zone had been established and the lifting area and potential drop zone had been cleared of personnel before the operation.
Estimated total damage is approximately $800,000, including approximately $650,000 for the Flowhead, $50,000 for the cargo basket, and $150,000 for drillship repairs. The final cost of drillship repairs and the condition of the recovered load remain subject to further assessment.</t>
    </r>
  </si>
  <si>
    <r>
      <rPr>
        <b/>
        <u/>
        <sz val="10"/>
        <rFont val="Arial"/>
        <family val="2"/>
      </rPr>
      <t>Sheared Main Top Drive Dolly Stop Bolt Resulting in Dropped Lock Washer</t>
    </r>
    <r>
      <rPr>
        <sz val="10"/>
        <rFont val="Arial"/>
        <family val="2"/>
        <charset val="1"/>
      </rPr>
      <t xml:space="preserve">
On August 10, 2026, onboard the Blackhawk, the Drill Crew was laying out the BHA lower section using the Main Side Top Drive when personnel observed an object on the Drill Floor and immediately called an all stop. A 1.25-inch lock washer was found on the Main Side Drill Floor Deck. An investigation of the Main Top Drive determined that a Main Top Drive Dolly Stop bolt had sheared. The 1.25-inch bolt head remained secured in place by attached tie wire; however, the lock washer separated and fell approximately 86 feet to the Drill Floor. The lock washer weighed approximately 73.2 grams (0.161 pounds). Operations were immediately stopped, and no personnel injuries occurred. The estimated property damage was $35.00. </t>
    </r>
  </si>
  <si>
    <r>
      <rPr>
        <b/>
        <u/>
        <sz val="10"/>
        <rFont val="Arial"/>
        <family val="2"/>
      </rPr>
      <t>Scaffold Beam Clamp Fell 18 Feet During Chain Jack Cylinder Lift</t>
    </r>
    <r>
      <rPr>
        <sz val="10"/>
        <rFont val="Arial"/>
        <family val="2"/>
        <charset val="1"/>
      </rPr>
      <t xml:space="preserve">
At approximately 3:30 p.m., a dropped object incident occurred on the cellar deck while the crew was using chain falls to raise and transfer an approximately 8,000-pound chain jack cylinder through a hatch. During the lift, the chain jack cylinder was being transferred from one chain fall to an adjacent chain fall when the load angle became excessive. The excessive angle caused a Model USC5 SUPERCLAMP main beam clamp to shift on the I-beam and contact one of the scaffold beam support clamps installed as a secondary restraint.
The contact caused the approximately 3.6-pound scaffold beam clamp to become dislodged and fall approximately 18 feet. No personnel were injured, and no property or equipment damage occurred. A crane was not involved in the operation. The chain jack cylinders, measuring approximately 12 feet by 24 inches and weighing approximately 8,000 pounds, were being handled on the cellar deck using chain falls.</t>
    </r>
  </si>
  <si>
    <t>50-bbl Marine Portable Tank (MPT)</t>
  </si>
  <si>
    <r>
      <rPr>
        <b/>
        <u/>
        <sz val="10"/>
        <rFont val="Arial"/>
        <family val="2"/>
      </rPr>
      <t>MPT Contacts Corroded Removable Handrail Resulting in Overboard Dropped Object</t>
    </r>
    <r>
      <rPr>
        <sz val="10"/>
        <rFont val="Arial"/>
        <family val="2"/>
        <charset val="1"/>
      </rPr>
      <t xml:space="preserve">
On August 7, 2026, personnel were lifting a 50-bbl Marine Portable Tank (MPT) from the northeast column top of the facility using the East pedestal crane. During the lift, the MPT made slight contact with a removable handrail. The contact caused the approximately 45-inch-wide by 36-inch-tall handrail, weighing approximately 65 lb, to detach from its secured position and fall overboard into the surrounding Gulf of America waters. A preliminary investigation determined that concealed corrosion inside the handrail post sockets had compromised the integrity and stability of the removable handrail. The incident was immediately reported, and a scaffold crew installed a hard barricade across the resulting leading-edge opening to eliminate the fall hazard created by the missing handrail. A closer inspection of other removable handrails identified similar corrosion inside the handrail posts. Hard barricades were subsequently installed in front of each removable handrail on all four column tops.  Plans are being developed to replace the removable handrails on the column tops with permanent welded handrails. Personnel also plan to use a portable ROV to search the top of the pontoons for the dropped handrail, subject to sea-state conditions. Following the event, Operations reported no abnormalities in incoming flowline or subsea pressures. There are no flowlines, umbilicals, or export piping located on the north face of the platform where the handrail entered the water.</t>
    </r>
  </si>
  <si>
    <r>
      <rPr>
        <b/>
        <u/>
        <sz val="10"/>
        <rFont val="Arial"/>
        <family val="2"/>
      </rPr>
      <t>Recoiling Sling Struck Worker During Barge Lifting Operation, Resulting in Fall Into Water</t>
    </r>
    <r>
      <rPr>
        <sz val="10"/>
        <rFont val="Arial"/>
        <family val="2"/>
        <charset val="1"/>
      </rPr>
      <t xml:space="preserve">
During a lifting operation involving the D/B Subsea Vision, IP1 was involved in handling a rigging assembly when the sling/cable unexpectedly recoiled. IP2 immediately attempted to assist IP1. During the rescue attempt, the recoiling cable struck IP2 on the back of his legs, causing him to lose his balance and flip over the handrail.
IP2 initially landed on his feet on the boat landing grating before subsequently falling into the water. The incident occurred in approximately 1–2 ft sea conditions. Although the B3 leg trunnion remained static, the construction barge experienced dynamic movement due to wave action.
The original rigging assembly remains on the seabed and could not be recovered for examination. The sling was reportedly in new condition prior to the incident. </t>
    </r>
  </si>
  <si>
    <r>
      <rPr>
        <b/>
        <u/>
        <sz val="10"/>
        <rFont val="Arial"/>
        <family val="2"/>
      </rPr>
      <t>Riser Swings Into Designated Signal Person During Crane Lift</t>
    </r>
    <r>
      <rPr>
        <sz val="10"/>
        <rFont val="Arial"/>
        <family val="2"/>
      </rPr>
      <t xml:space="preserve">
A roustabout crew was assisting the Well Services/Wireline crew with lifting a riser. After the riser was positioned upright, a 2-foot spool was required to be removed from the end of the assembly. The Designated Signal Person (DSP) directed the crane operator to lower the riser and set it on the deck. After the riser was landed, excessive slack developed in the crane cable, allowing the riser to lean slightly. The DSP, who was also the injured person (IP), was positioned approximately five feet from the riser and signaled the crane operator to take up the slack. As tension was applied to the cable, the riser lifted from the deck. Because the riser was leaning prior to being lifted, it swung toward the DSP/IP and contacted him in the upper leg/hip area. The impact caused the DSP/IP to fall backward over a lubricator and onto the deck, landing on his right hand. Nearby crew members assisted him to his feet. The IP continued working and did not initially recognize that he had sustained an injury. After completing the task, the IP observed swelling in his right hand and reported the injury to supervision. He was escorted to the Medic for evaluation and received first aid consisting of ice and over-the-counter medication. The IP was subsequently cleared to return to full work duties.
Taglines were attached to the bottom of the riser. The lift was conducted as a blind lift using radio communication and involved a crane operator, DSP, two trained riggers, and one Short Service Employee (SSE). No dropped objects or equipment damage occurred.</t>
    </r>
  </si>
  <si>
    <t>Riseer</t>
  </si>
  <si>
    <r>
      <rPr>
        <b/>
        <u/>
        <sz val="10"/>
        <rFont val="Arial"/>
        <family val="2"/>
      </rPr>
      <t>Crane Access Ladder Damaged After Contact with Come-Along Rigging</t>
    </r>
    <r>
      <rPr>
        <sz val="10"/>
        <rFont val="Arial"/>
        <family val="2"/>
        <charset val="1"/>
      </rPr>
      <t xml:space="preserve">
While repositioning the crane without a suspended load, the crane operator was swinging the boom when the crane's engine access ladder contacted rigging attached to a come-along. The come-along had been rigged between the lower crane pedestal and the casing jack work basket to provide additional support during maintenance activities. The contact damaged the crane's engine access ladder. No personnel were injured, and there was no dropped object. The estimated cost to repair the damaged ladder is approximately $2,000.</t>
    </r>
  </si>
  <si>
    <r>
      <rPr>
        <b/>
        <u/>
        <sz val="10"/>
        <rFont val="Arial"/>
        <family val="2"/>
      </rPr>
      <t>Crane Boom Heel Contacted Fixed Ladder During Maintenance</t>
    </r>
    <r>
      <rPr>
        <sz val="10"/>
        <rFont val="Arial"/>
        <family val="2"/>
        <charset val="1"/>
      </rPr>
      <t xml:space="preserve">
On August 2, 2026, a Phoenix Services crane mechanic, was performing maintenance on the EC-321-A platform crane. The crane boom was lowered to provide access to components near the boom tip adjacent to the living quarters stairs on the northeast corner of the platform. A signalman was assigned to communicate hazards near the boom tip; however, the clearance between the boom heel section and nearby deck obstructions was not recognized. As the boom was lowered, the right lower cord member of the boom heel section contacted the top of a fixed 1-1/2-inch ladder side rail, causing localized inward deformation of the cord member. The damage was discovered on August 3, 2026. The crane was immediately placed Out of Service pending an engineering review, and the appropriate notifications were made. No personnel injuries were reported.</t>
    </r>
  </si>
  <si>
    <r>
      <rPr>
        <b/>
        <u/>
        <sz val="10"/>
        <rFont val="Arial"/>
        <family val="2"/>
      </rPr>
      <t>Casing Elevator Failure Results in Dropped Objects During Casing Operations</t>
    </r>
    <r>
      <rPr>
        <sz val="10"/>
        <rFont val="Arial"/>
        <family val="2"/>
        <charset val="1"/>
      </rPr>
      <t xml:space="preserve">
While picking up a stand of 10.05-inch casing, the upper arm of the Hydrocracker guide head extended above the upward-traveling Expro horseshoe casing elevators. The guide head contacted the elevators, causing them to tilt backward and downward. The resulting contact sheared the front die blocks from the elevators, causing the casing stand to be released into the king-size rathole. The crane/elevator Anti-Collision System (ACS) was fully active at the time of the incident. The Red Zone was clear, and no personnel were in the immediate vicinity. No personnel injuries were reported.
The incident resulted in multiple dropped objects, including two elevator dies, die locks, and springs. The elevators were approximately 113 feet above the deck when the contact and subsequent dropped-object event occurred. Each die weighed approximately 1.23 kg (2.7 lb). Based on the applicable dropped-object assessment, the individual objects represented a potential fatality hazard due to the elevation from which they fell.
Prior to teardown and detailed inspection, Expro provided an estimated replacement cost of $53,434 for the clamp-type elevator.</t>
    </r>
  </si>
  <si>
    <r>
      <rPr>
        <b/>
        <u/>
        <sz val="10"/>
        <rFont val="Arial"/>
        <family val="2"/>
      </rPr>
      <t>Crane-Handled Basket Contacted IWOCS Standing Platform</t>
    </r>
    <r>
      <rPr>
        <sz val="10"/>
        <rFont val="Arial"/>
        <family val="2"/>
      </rPr>
      <t xml:space="preserve">
On August 13 at approximately 1800 hours, while using the starboard aft crane (#3) to reposition an open-top basket in the Riser Bay area, the basket contacted the corner of a standing platform used for IWOCS operations. The platform was positioned alongside an umbilical spool. The contact occurred during lowering operations and resulted in slight bending of the standing platform. No injuries or environmental impacts were reported.</t>
    </r>
  </si>
  <si>
    <t>Open-top basket</t>
  </si>
  <si>
    <t>firewater pump</t>
  </si>
  <si>
    <r>
      <rPr>
        <b/>
        <u/>
        <sz val="10"/>
        <rFont val="Arial"/>
        <family val="2"/>
      </rPr>
      <t>Fiberbond Pipe Parted During Crane Lift of Firewater Pump from Caisson</t>
    </r>
    <r>
      <rPr>
        <sz val="10"/>
        <rFont val="Arial"/>
        <family val="2"/>
      </rPr>
      <t xml:space="preserve">
Personnel were using a crane to lift a firewater pump from a caisson to facilitate replacement of the pump. During the lifting operation, the pump was initially reported to be lifting freely when personnel heard a popping sound and observed the Fiberbond pipe part. As a result of the pipe failure, the pump descended approximately 4 feet back into the caisson. An immediate all stop was initiated, the load was secured, and the area was barricaded to prevent personnel from entering the potential hazard area. No injuries were reported in association with the incident. Mr. Zachary Pisciotta was notified by phone, followed by an email, within the required six-hour reporting window. The construction team was consulted and will develop a plan to safely remove the pump from the caisson. A photograph of the parted piping is attached. The final plan for removal of the pump from the caisson will be provided once it is developed and available.</t>
    </r>
  </si>
  <si>
    <t>Production Master Panel — approximately 400 lb</t>
  </si>
  <si>
    <r>
      <rPr>
        <b/>
        <u/>
        <sz val="10"/>
        <rFont val="Arial"/>
        <family val="2"/>
      </rPr>
      <t>Steel Column Fell During Production Master Panel Skidding Operation, Striking Worker</t>
    </r>
    <r>
      <rPr>
        <sz val="10"/>
        <rFont val="Arial"/>
        <family val="2"/>
      </rPr>
      <t xml:space="preserve">
At approximately 0945 hours, an injury incident occurred during the relocation (skidding) of a Production Master Panel weighing approximately 400 pounds. The task was being performed by a six-person construction crew using an air tugger and associated rigging equipment. During the operation, a reboiler steel column being used as an anchor point for a snatch block unexpectedly fell downward toward the deck. The steel column hinged at its lower portion as it fell, causing the upper portion of the column to swing toward the work area and strike the injured person (IP). The IP sustained an injury requiring medical evacuation. The operation was stopped following the incident pending investigation and assessment of the work area and rigging arrangement.</t>
    </r>
  </si>
  <si>
    <t>50-bbl carbon vessel</t>
  </si>
  <si>
    <r>
      <rPr>
        <b/>
        <u/>
        <sz val="10"/>
        <rFont val="Arial"/>
        <family val="2"/>
      </rPr>
      <t xml:space="preserve">Crane Load Contact with Scaffold Hard Barricade During Blind Lift of 50 bbl Carbon Vessel          </t>
    </r>
    <r>
      <rPr>
        <sz val="10"/>
        <rFont val="Arial"/>
        <family val="2"/>
      </rPr>
      <t xml:space="preserve">                                                                                                                                                                                                                   During platform crane operations, an approximately 18,000-pound spent Produced Water Carbon Vessel was being removed from the NW Production Deck and transferred to the North-Central Main Deck using the HM West Crane as a blind lift. The load was an Envirotech 50 bbl carbon vessel measuring approximately 8 feet wide by 8 feet long by 10 feet high and containing saturated bulk carbon sorbent from produced water filtration operations. As the vessel was being lowered and was within approximately 10 feet of the Main Deck, two riggers retrieving taglines and the signalman were positioned on the south side of the load. The designated landing area was located near a scaffold frame being used as a hard barricade. During the lowering operation, the load contacted a scaffold pole on the north side of the vessel, causing damage to the approximately 7-foot scaffold pole. Both riggers observed the damage and immediately called an all stop. The load was then lifted, repositioned, and safely landed on the deck. No personnel were injured. Although only one scaffold pole was visibly damaged, the entire scaffold hard barricade was replaced due to concerns regarding its structural integrity after being struck by the 18,000-pound load. Estimated property damage was approximately $500.</t>
    </r>
  </si>
  <si>
    <t>Top drive and traveling block</t>
  </si>
  <si>
    <t>Drawworks</t>
  </si>
  <si>
    <r>
      <rPr>
        <b/>
        <u/>
        <sz val="10"/>
        <rFont val="Arial"/>
        <family val="2"/>
      </rPr>
      <t>Uncontrolled Descent of Top Drive and Traveling Block Resulting in Drill Line Unspooling</t>
    </r>
    <r>
      <rPr>
        <sz val="10"/>
        <rFont val="Arial"/>
        <family val="2"/>
      </rPr>
      <t xml:space="preserve">
On August 12, 2026, at approximately 1525 hours, the drill crew was in the process of laying down the Wellbore Integrity Solutions (WIS) cleanout assembly on the rig floor. During the operation, the top drive and traveling block descended toward the rig floor. The empty elevators and pipe-handler section of the top drive contacted the rig floor and stopped the downward movement of the top drive. As a result of the contact, the traveling block leaned toward the off-driller side of the derrick, and all of the drill line was spooled off the drawworks drum. The area was immediately secured, Stop Work was initiated, and personnel began assessing the equipment for damage.
No personnel were in the immediate vicinity of the top drive/traveling block at the time of the event. No personnel injuries or environmental impacts resulted from the incident.</t>
    </r>
  </si>
  <si>
    <t>8-ft × 10-ft cargo basket</t>
  </si>
  <si>
    <r>
      <rPr>
        <b/>
        <u/>
        <sz val="10"/>
        <rFont val="Arial"/>
        <family val="2"/>
      </rPr>
      <t>Vessel Deckhand Entangled in Tagline and Lifted During Cargo Basket Transfer</t>
    </r>
    <r>
      <rPr>
        <sz val="10"/>
        <rFont val="Arial"/>
        <family val="2"/>
      </rPr>
      <t xml:space="preserve">
On August 18, 2026, at approximately 1300 hours, personnel at the facility were conducting a material transfer operation using a crane to transfer an 8-foot by 10-foot cargo basket from the Adriatic Marine vessel M/V JAVA to the facility. Prior to the lift, the crane operator received confirmation from the vessel deck crew that the load was ready for hoisting.
During the lift, a vessel deckhand positioned near the wheelhouse became obscured from the crane operator's line of sight by the cargo basket. While handling the load and tagline, the deckhand's right leg became entangled in the tagline and he was lifted approximately four feet above the vessel deck.The vessel captain immediately recognized the situation and issued an all-stop over the radio. The crane operator promptly stopped the lift and lowered the cargo basket back onto the vessel deck, allowing the deckhand to be safely released. No injuries or property damage occurred.</t>
    </r>
  </si>
  <si>
    <t>Rigging Equipment</t>
  </si>
  <si>
    <t>53-lb chain fall</t>
  </si>
  <si>
    <t>Chain fall (manual hoist)</t>
  </si>
  <si>
    <r>
      <rPr>
        <b/>
        <u/>
        <sz val="10"/>
        <rFont val="Arial"/>
        <family val="2"/>
      </rPr>
      <t>53-Pound Chain Fall Detached from Rigging and Fell 13 Feet Into Barricaded Area</t>
    </r>
    <r>
      <rPr>
        <sz val="10"/>
        <rFont val="Arial"/>
        <family val="2"/>
      </rPr>
      <t xml:space="preserve">
During scaffold modification activities associated with the PWE ventilation setup, the crew observed a rigging strap fluttering in the wind near the northeast stair tower exclusion zone. Upon further investigation, it was determined that a 53-pound chain fall had detached from its rigging and fallen approximately 13 feet into a barricaded area below.
The barricaded area had been established to control access to the Quick and was raised to support construction of the Hot Box for hot work activities in the area. The chain fall had been secured in an effort to minimize excessive movement caused by weather conditions. However, the rigging strap came into contact with an adjacent cable tray. Continued movement caused the strap to rub against the cable tray, ultimately cutting the eye of the strap and allowing the chain fall to fall.
No personnel were working within the barricaded area at the time of the dropped object. The closest work group was approximately 20 feet away. Based on the object's weight and fall distance, the 53-pound chain fall falling approximately 13 feet was assessed using the Drops Calculator as having the potential to cause a fatality.
The failed rigging strap resulted in an estimated replacement cost of $200. No personnel injuries were reported.</t>
    </r>
  </si>
  <si>
    <t>Swing Rope</t>
  </si>
  <si>
    <t>Traveling Block</t>
  </si>
  <si>
    <t>Trip Tank</t>
  </si>
  <si>
    <r>
      <rPr>
        <b/>
        <u/>
        <sz val="10"/>
        <rFont val="Arial"/>
        <family val="2"/>
      </rPr>
      <t>Trip Tank Positioning Contacted Scaffolding Cross Brace During Load Transfer</t>
    </r>
    <r>
      <rPr>
        <sz val="10"/>
        <rFont val="Arial"/>
        <family val="2"/>
      </rPr>
      <t xml:space="preserve">
On August 18, 2026, a crew was positioning a trip tank onto the Pony Deck for installation. During the handoff of the trip tank from the crane to a sling attached to the traveling block, the traveling block assumed the load. As the load transferred, the air hoist cable being used as a secondary restraint to tail the tank into position came into contact with a scaffolding cross brace, resulting in the brace being bent.
No personnel were on the scaffolding at the time of the incident. All crew members were positioned clear of the line of fire and outside the immediate work area. No dropped objects resulted from the contact with the scaffold component.</t>
    </r>
  </si>
  <si>
    <r>
      <rPr>
        <b/>
        <u/>
        <sz val="10"/>
        <rFont val="Arial"/>
        <family val="2"/>
      </rPr>
      <t>Cargo Basket Contacted Skid-Mounted Pipe Threader During Marine Vessel Offloading</t>
    </r>
    <r>
      <rPr>
        <sz val="10"/>
        <rFont val="Arial"/>
        <family val="2"/>
      </rPr>
      <t xml:space="preserve">
On August 20, 2026, at approximately 16:30 hours, construction equipment was being transferred from a marine vessel to the platform during offloading operations. During the initial lift, a 4-foot by 24-foot cargo basket containing piping contacted a skid-mounted pipe threader located in the vicinity of the lift path. The contact resulted in damage to the pipe threader.Following the contact event, the cargo basket was hoisted and landed on the platform. The rigger subsequently assessed the damage to the pipe threader, which prompted reporting and investigation activities.
The event interrupted planned operations to allow personnel to conduct a cause investigation. The estimated repair cost was $300.00. No personnel injuries or environmental impacts occurred.</t>
    </r>
  </si>
  <si>
    <t>Human Error / Load Snag or Contact / Lift off Center</t>
  </si>
  <si>
    <t>4-ft × 24-ft cargo basket containing piping</t>
  </si>
  <si>
    <t>BOPs (Blowout Preventers)</t>
  </si>
  <si>
    <r>
      <rPr>
        <b/>
        <u/>
        <sz val="10"/>
        <rFont val="Arial"/>
        <family val="2"/>
      </rPr>
      <t>Employee Sustains Left Index Finger Laceration During BOP Landing Operation</t>
    </r>
    <r>
      <rPr>
        <sz val="10"/>
        <rFont val="Arial"/>
        <family val="2"/>
      </rPr>
      <t xml:space="preserve">
While stabbing the BOPs and attempting to align the bolt holes for connection to the gate valve, an employee was positioned within the BOP placement area. During landing of the BOPs, the load shifted unexpectedly, requiring the employee to reposition their hands to prevent the BOPs from contacting them. As the employee attempted to control the load, their left hand slipped while the BOPs continued to descend. The employee's left index finger was positioned on top of a bolt that was not aligned with the corresponding bolt hole. The bolt remained stationary as the BOP descended, creating a pinch point that resulted in a laceration to the employee's left index finger. The injured person was transported by field helicopter to an occupational medicine clinic for evaluation and treatment. The injury required five sutures. No other personnel were injured.</t>
    </r>
  </si>
  <si>
    <t>Casing elevators and Hydrocracker guide head</t>
  </si>
  <si>
    <t>23-ft box beam, approximately 2,250 lb.</t>
  </si>
  <si>
    <r>
      <rPr>
        <b/>
        <u/>
        <sz val="10"/>
        <rFont val="Arial"/>
        <family val="2"/>
      </rPr>
      <t>Dropped Box Beam During Liftboat Crane Rig-Down Operation</t>
    </r>
    <r>
      <rPr>
        <sz val="10"/>
        <rFont val="Arial"/>
        <family val="2"/>
      </rPr>
      <t xml:space="preserve">
During the permitted abandonment operation of Well No. B003, the liftboat crane was being used to rig down the cantilever beams. During the lifting operation, a box beam approximately 23 feet long, 6 inches wide, and 16 inches tall, weighing approximately 2,250 pounds, slipped from the sling arrangement and fell into the Gulf of America. The dropped object entered the water and was not recovered at the time of the initial notification.
No personnel injuries were reported as a result of the incident. The event resulted in the loss of the box beam and presented a significant dropped-object and suspended-load hazard.</t>
    </r>
  </si>
  <si>
    <t>Lifeboat davit / launch system</t>
  </si>
  <si>
    <t>Lifeboat A</t>
  </si>
  <si>
    <r>
      <rPr>
        <b/>
        <u/>
        <sz val="10"/>
        <rFont val="Arial"/>
        <family val="2"/>
      </rPr>
      <t>Lifeboat Launch Releasing Mechanism Damaged During Annual Lifeboat Launch</t>
    </r>
    <r>
      <rPr>
        <sz val="10"/>
        <rFont val="Arial"/>
        <family val="2"/>
      </rPr>
      <t xml:space="preserve">
During the annual lifeboat launch, the launch releasing mechanism for Lifeboat A became tangled around the rear tie-off bitt of the lifeboat. As the lifeboat was being launched, the entanglement caused the release mechanism to become loaded and subsequently pull apart/break. Operations were immediately stopped, and the lifeboat was placed out of service. All appropriate authorities were notified, and no personnel were injured as a result of the incident. The local USCG OCMI cleared the associated deficiency/835 after the damaged components were replaced and the lifeboat was returned to service. The total cost to replace the affected components was approximately $8,000.</t>
    </r>
  </si>
  <si>
    <t>Rope Access System</t>
  </si>
  <si>
    <r>
      <rPr>
        <b/>
        <u/>
        <sz val="10"/>
        <rFont val="Arial"/>
        <family val="2"/>
      </rPr>
      <t>Rope Access Main Line Severed During Handrail Socket Removal Resulting in Fall Arrest</t>
    </r>
    <r>
      <rPr>
        <sz val="10"/>
        <rFont val="Arial"/>
        <family val="2"/>
      </rPr>
      <t xml:space="preserve">
A worker was performing rope-access activities at height in preparation for an upcoming crane boom change-out. While removing handrail sockets using a reciprocating saw (Sawzall), the worker's main rope access line inadvertently entered the cutting path between the Sawzall and the structural beam and was severed.
The worker's backup fall-protection system immediately engaged, limiting the worker's descent to approximately 1.5 to 2 feet. The worker called for assistance and was able to self-rescue. A fellow worker responded to the location and assisted as needed. Supervision was notified, and the job was suspended.
The worker was taken to the medic for evaluation. No treatment was required, and the worker was released to return to work immediately with no restrictions. The worker followed up with the medic the following morning, with no further action required. The work group conducted a stand-down with the entire night crew following the incident. The event was also discussed during the morning pre-tour meeting with the remainder of the work group.
The estimated cost to replace the damaged main rope access line was $350. No additional injuries or property damage were reported.</t>
    </r>
  </si>
  <si>
    <t>Personnel basket with personnel inside.</t>
  </si>
  <si>
    <r>
      <rPr>
        <b/>
        <u/>
        <sz val="10"/>
        <rFont val="Arial"/>
        <family val="2"/>
      </rPr>
      <t>Personnel Basket Swings into Air-Volume Tank During Personnel Transfer</t>
    </r>
    <r>
      <rPr>
        <sz val="10"/>
        <rFont val="Arial"/>
        <family val="2"/>
      </rPr>
      <t xml:space="preserve">
On August 25, 2026, at approximately 2:40 p.m., personnel were being transferred from the M/V Captain Ron to EC-321-A using a personnel basket. During the transfer, the crane and personnel basket were not centered over the intended landing area. As a result, the basket swung laterally and contacted an air-volume tank located on the vessel.  During the contact, one employee struck his back against the air-volume tank and sustained minor bruising. The employee was evaluated at an occupational medical clinic and was released to full duty. The injury was classified as a First Aid Case.</t>
    </r>
  </si>
  <si>
    <t>Drawworks / Drilling Hoisting System</t>
  </si>
  <si>
    <t>Stand of pipe</t>
  </si>
  <si>
    <r>
      <rPr>
        <b/>
        <u/>
        <sz val="10"/>
        <rFont val="Arial"/>
        <family val="2"/>
      </rPr>
      <t>Worker Struck by Stand of Pipe During Tripping Operations</t>
    </r>
    <r>
      <rPr>
        <sz val="10"/>
        <rFont val="Arial"/>
        <family val="2"/>
      </rPr>
      <t xml:space="preserve">
On August 27, 2026, at approximately 2000 hours, the drill crew was tripping pipe into the hole. The Injured Person (IP) had positioned his tail rope on a stand of pipe and was waiting for the driller to pick up the stand. As the driller picked up a stand of pipe from over the IP's right shoulder, the stand traveled approximately 15 feet before striking the IP in the back, causing him to fall to the drill floor. The IP had missed the last stand in the row and inadvertently positioned his tail rope on the incorrect stand of pipe, placing him in the travel path of the stand being moved. The operation was immediately stopped, and a full safety stand-down was conducted with the crew. The IP quickly stood up and was escorted to the medic by the toolpusher for evaluation. Following evaluation, the IP was released to return to full duty on the rig floor. The investigation remains ongoing.</t>
    </r>
  </si>
  <si>
    <t>Weathertight door/vertical hatch</t>
  </si>
  <si>
    <r>
      <rPr>
        <b/>
        <u/>
        <sz val="10"/>
        <rFont val="Arial"/>
        <family val="2"/>
      </rPr>
      <t>Nylon Sling Eye Failure During Removal of Weathertight Door/Vertical Hatch</t>
    </r>
    <r>
      <rPr>
        <sz val="10"/>
        <rFont val="Arial"/>
        <family val="2"/>
      </rPr>
      <t xml:space="preserve">
The crane crew was attempting to remove a weathertight door/vertical hatch from the forward end of the process pump room using Crane No. 1. A 2-inch by 30-foot nylon sling was utilized in a straight-pull configuration with a rated capacity of 6,200 pounds for that configuration.
During the lift, the eye of the nylon sling that was shackled to the door/hatch failed while the crane was applying tension to the load. At the time of the failure, the crane's weight indicator was showing approximately 2.3 tons (4,600 pounds), which was below the sling's rated capacity for the configuration.The door/hatch did not fall because it was secured by secondary retention while the removal operation was being performed. The work area had been established as a temporary red zone, and no personnel were present within the affected area when the sling failed.
There were no personnel injuries and no property damage other than the failed nylon sling.</t>
    </r>
  </si>
  <si>
    <t>N//A</t>
  </si>
  <si>
    <t>No. 1 crane during main hoist-line change-out</t>
  </si>
  <si>
    <r>
      <rPr>
        <b/>
        <u/>
        <sz val="10"/>
        <rFont val="Arial"/>
        <family val="2"/>
      </rPr>
      <t>Uncommanded Crane Boom Movement Causes Hydraulic Quick Connects to Fall</t>
    </r>
    <r>
      <rPr>
        <sz val="10"/>
        <rFont val="Arial"/>
        <family val="2"/>
      </rPr>
      <t xml:space="preserve">
At approximately 1715 hours on the Noble Blackhawk, the crane crew was changing out the main hoist line cable on the No. 1 crane. The crane boom was lowered to facilitate the cable change-out. After sufficient cable had been spooled out, the crane operator shut down the crane and exited the cab to assist the crew with installing the snake on the line. While the crane was shut down and the operator was outside the cab, the boom began to slowly knuckle in without being intentionally operated. As the boom moved, a panel of hydraulic quick connects contacted the crane handrail, causing two quick connects to shear from the deck and fall. Each quick connect was reported to weigh approximately 1.8 barrels on the Drops Calculator and was classified as SLIGHT.
No personnel were injured. The closest worker was approximately 30 feet from the dropped objects. Damage was limited to the handrail, with an estimated property damage cost of $700.</t>
    </r>
  </si>
  <si>
    <r>
      <rPr>
        <b/>
        <u/>
        <sz val="10"/>
        <rFont val="Arial"/>
        <family val="2"/>
      </rPr>
      <t>Production Riser Flange Contacts Scaffolding During Blind Crane Lift</t>
    </r>
    <r>
      <rPr>
        <sz val="10"/>
        <rFont val="Arial"/>
        <family val="2"/>
      </rPr>
      <t xml:space="preserve">
At approximately 1710 hours on August 31, 2026, a blind lift was being performed on the Frontrunner Production Facility to raise a 36-foot production riser from the Top of Jacket (TOJ) through the production deck using the facility 1100 crane. The designated banksman and crane operator communicated by radio during the lift. As the production riser was being raised, the riser flange experienced slight lateral movement and contacted the top rail of a pre-erected scaffolding section located on the jacket structure. Before an all-stop command could be communicated to the crane operator, the flange became temporarily caught on an adjacent scaffold member, resulting in minor damage to the scaffolding.
One individual was working on a nearby scaffold section and was properly secured with fall protection. The individual was not struck by the load, and no injuries occurred. No damage occurred to the production riser, crane, or other facility equipment. Damage was limited to the affected scaffolding components and was estimated at approximately $1,000.</t>
    </r>
  </si>
  <si>
    <t>36-foot production riser.</t>
  </si>
  <si>
    <t>9/30/2026</t>
  </si>
  <si>
    <r>
      <rPr>
        <b/>
        <u/>
        <sz val="10"/>
        <rFont val="Arial"/>
        <family val="2"/>
      </rPr>
      <t>Cargo Basket Contacted Light Fixture During Lifting Operation</t>
    </r>
    <r>
      <rPr>
        <sz val="10"/>
        <rFont val="Arial"/>
        <family val="2"/>
      </rPr>
      <t xml:space="preserve">
While loading 5-gallon buckets into a cargo basket positioned between the SR Module and the living quarters, the crew completed loading the basket and the signalman directed the crane operator to begin the lift. Due to the limited clearance in the area, the cargo basket contacted a light fixture mounted on the exterior of the living quarters. The contact broke the light fixture at its base, causing the fixture to shift approximately one foot downward. The light remained secured by its safety retention cable and did not fall to the deck below. In accordance with the job plan, personnel were clear of the area during the lift, preventing potential exposure to a dropped-object hazard. No injuries were reported.</t>
    </r>
  </si>
  <si>
    <t>Cargo Basket</t>
  </si>
  <si>
    <t>January 2025 - August 2026</t>
  </si>
  <si>
    <r>
      <rPr>
        <b/>
        <u/>
        <sz val="10"/>
        <rFont val="Arial"/>
        <family val="2"/>
      </rPr>
      <t>Static Line Caught on Block Sheave Guard Results in Dropped Object</t>
    </r>
    <r>
      <rPr>
        <sz val="10"/>
        <rFont val="Arial"/>
        <family val="2"/>
      </rPr>
      <t xml:space="preserve">
At approximately 0420 hours,  the driller was lowering the traveling block while laying out a joint onto the riser skate. During the operation, a 3/8-inch static line cable became caught on the block sheave guard. The cable subsequently parted and fell approximately 30 feet to the drill floor. No personnel were located within the established red zone at the time of the incident. The closest individual was approximately 12 feet from the cable's landing location. No injuries occurred. An all-stop was immediately called, and an investigation was initiated. Initial findings indicate that the static line had been tied back in its normal stored position; however, excess slack may have remained in the line, allowing it to move into the path of the traveling block and become caught on the block sheave guard.
Property damage was estimated at $1,000.</t>
    </r>
  </si>
  <si>
    <t>Traveling block</t>
  </si>
  <si>
    <t>6-inch × 32-foot piping</t>
  </si>
  <si>
    <r>
      <rPr>
        <b/>
        <u/>
        <sz val="10"/>
        <rFont val="Arial"/>
        <family val="2"/>
      </rPr>
      <t>Minor Damage to Chemical Tote Lid During Lift Preparation from M/V Ship Island</t>
    </r>
    <r>
      <rPr>
        <sz val="10"/>
        <rFont val="Arial"/>
        <family val="2"/>
        <charset val="1"/>
      </rPr>
      <t xml:space="preserve">
On January 22, 2026, at approximately 0930 hours, personnel were preparing to lift a chemical tote from the M/V to the production facility. During rigging activities, the rigging cable became positioned beneath the tote lid, resulting in minor denting of the lid.
The tote was never lifted from the vessel deck, and no chemicals were released. The lift was immediately stopped, and the load was secured on the vessel. No personnel injuries occurred, and no dropped object event was identified.
The Marine Team Lead, Offshore Installation Manager (OIM), and HSE&amp;C Advisor were notified. The On-Call Onshore Regulatory Compliance Advisor was also informed. 
The vessel was positioned on the east side of the facility, which is the normal and preferred location for vessel operations. No additional equipment or structural damage was reported.</t>
    </r>
  </si>
  <si>
    <r>
      <rPr>
        <b/>
        <u/>
        <sz val="10"/>
        <rFont val="Arial"/>
        <family val="2"/>
      </rPr>
      <t xml:space="preserve">Damage to High-Pressure Water Blasting Unit Exhaust During Offloading Operations     </t>
    </r>
    <r>
      <rPr>
        <sz val="10"/>
        <rFont val="Arial"/>
        <family val="2"/>
        <charset val="1"/>
      </rPr>
      <t xml:space="preserve">                        During vessel offloading operations, a pre-slung high-pressure water blasting unit (HPU) skid package was selected for retrieval from the M/V. Under the direction of the vessel signalman, the crane operator began slowly hoisting the load to remove slack from the crane line.
As tension was applied, it was discovered that one leg of the four-part cable sling had been improperly positioned in contact with the unit’s exhaust piping. This improper routing was not identified by vessel personnel prior to lifting. When the load was raised, the misrouted sling leg pulled against the exhaust piping, causing it to bend and dislodge the exhaust flap before releasing.
After the load was landed on the facility deck, the crane operator observed damage to the exhaust flap and muffler and immediately notified the Offshore Installation Manager (OIM). No personnel injuries occurred.</t>
    </r>
  </si>
  <si>
    <t xml:space="preserve"> Offloading from M/V to platform</t>
  </si>
  <si>
    <r>
      <t xml:space="preserve">Signal Man Left Thumb Fracture Resulting from Line of Fire Exposure During Bundle Cradle Roller Assembly Lift                                                                                                                                   </t>
    </r>
    <r>
      <rPr>
        <sz val="10"/>
        <rFont val="Arial"/>
        <family val="2"/>
      </rPr>
      <t>On February 3, at approximately 14:00, a Burner Fire Rigger was working as signal man during the removal of a bundle cradle roller assembly. During the lift operation, the injured party (IP) was using his non-radio hand to guide the package rather than using a push pole or tag line, placing his hand in the line of fire. His left thumb became pinched between the assembly and a pad eye on the resting skid. The IP was wearing proper PPE including impact gloves at the time of the incident.
The IP reported the injury to the onsite medic, describing pain to his left thumb at a level of 8 out of 10. Medical evaluation revealed swelling and tenderness to the left thumb. Due to the severity of the injury, the IP was medivaced for further evaluation and treatment. The IP was subsequently diagnosed with a nondisplaced closed fracture of the proximal phalanx of the left thumb.</t>
    </r>
    <r>
      <rPr>
        <b/>
        <u/>
        <sz val="10"/>
        <rFont val="Arial"/>
        <family val="2"/>
        <charset val="1"/>
      </rPr>
      <t xml:space="preserve">
</t>
    </r>
  </si>
  <si>
    <r>
      <t xml:space="preserve">Crew Member Fell Overboard During Swing Rope Transfer from OSV to Platform                    
</t>
    </r>
    <r>
      <rPr>
        <sz val="10"/>
        <rFont val="Arial"/>
        <family val="2"/>
      </rPr>
      <t>During a swing rope transfer from an Offshore Supply Vessel (OSV) to the platform, a crew member (CI) lost his grip on the swing rope and fell into the water. The individual reported that his hand slipped below the knot while swinging toward the platform, resulting in the fall overboard.
The crew member was only in the water for a few seconds and immediately self-rescued using the platform boarding ladder. He then returned to the OSV, where he showered and changed into dry clothing before completing a successful transfer back to the platform and returning to work. No injuries were reported.</t>
    </r>
  </si>
  <si>
    <t>Short Description</t>
  </si>
  <si>
    <r>
      <rPr>
        <b/>
        <u/>
        <sz val="10"/>
        <rFont val="Arial"/>
        <family val="2"/>
      </rPr>
      <t>Stored Energy Release in 3-Inch Chiksan Line Pins Worker Against Lo-Torque Valve During Gravel Pack Rig-Up, Resulting in Fractures (Scapula and Ribs)</t>
    </r>
    <r>
      <rPr>
        <u/>
        <sz val="10"/>
        <rFont val="Arial"/>
        <family val="2"/>
      </rPr>
      <t>-</t>
    </r>
    <r>
      <rPr>
        <sz val="10"/>
        <rFont val="Arial"/>
        <family val="2"/>
      </rPr>
      <t>-------------                                                                                                                          On September 5, 2026, at approximately 20:00, the crew was rigging up gravel pack equipment on facility. The injured person (IP), working from a riding belt, installed a 3-inch chiksan connection onto the lo-torque valve on the drill-pipe stump and hammered the connection tight. The chiksan was made up in an upper-oriented loop and was held in that position by the air-hoist sling.
The next planned step was to remove the air-hoist sling to move to a lower position on the chiksan line. The air hoist was slacked off. As the IP moved to unshackle the sling, the energy stored in the chiksan line and lead-off connection swivel released, and the line rolled downward. The IP was pinned between the lo-torque valve and the chiksan loop.
Initial actions: The chiksan line was raised and moved away, and the IP was lowered to the rig floor. The medic applied a C-collar and Stokes basket and moved the IP to the medic office for treatment and shoreside transport. The IP was evacuated by USCG helicopter at approximately 00:20 on September 6, 2026, to UMC New Orleans. X-rays identified a fractured left scapula and fractures of ribs 1 to 3, front and back. The IP was released from the hospital on September 7, 2026.
There was no property damage and no environmental impact.</t>
    </r>
  </si>
  <si>
    <t>Air Hoist / Hoist Sling</t>
  </si>
  <si>
    <t>3-inch Chiksan line</t>
  </si>
  <si>
    <r>
      <rPr>
        <b/>
        <u/>
        <sz val="10"/>
        <rFont val="Arial"/>
        <family val="2"/>
      </rPr>
      <t>Electric Motor and Pump Skid Tips During Rigging</t>
    </r>
    <r>
      <rPr>
        <sz val="10"/>
        <rFont val="Arial"/>
        <family val="2"/>
      </rPr>
      <t xml:space="preserve">                                                                                               On September 6, 2026, personnel were rigging an electric motor and pump skid for transfer to the processing pit using the crane. As tension was applied to the rigging, the motor skid became unstable and tipped onto its end on the deck. The skid remained on the pallet and was never lifted or suspended by the crane. The incident resulted in additional damage to the motor fan and shroud, which had sustained damage previously. No personnel were in the immediate vicinity or line of fire when the skid tipped, and no injuries occurred.</t>
    </r>
  </si>
  <si>
    <t>Electric motor and pump skid</t>
  </si>
  <si>
    <r>
      <rPr>
        <b/>
        <u/>
        <sz val="10"/>
        <rFont val="Arial"/>
        <family val="2"/>
      </rPr>
      <t>East Crane Walkway Contact Results in Dropped Component</t>
    </r>
    <r>
      <rPr>
        <sz val="10"/>
        <rFont val="Arial"/>
        <family val="2"/>
      </rPr>
      <t xml:space="preserve">
On September 9, 2026, at approximately 0800 hours, personnel on the facility discovered a broken stud, with the associated nut and cotter pin still attached, on the deck beneath the east crane. The combined weight of the components was approximately 6.4 ounces.
An initial inspection indicated that the bottom portion of the east crane walkway may have contacted the top of a support pole associated with a fire-eye assembly. The contact apparently sheared the stud, causing the stud, nut, and cotter pin to fall approximately 60 feet to the deck below. No personnel were in the area at the time of discovery, and no injuries or additional property damage were identified.
The incident remained under investigation to determine when the contact and component failure occurred. The East Crane Smart operating system was reviewed; however, the system does not have individual operator log-in capabilities, so the operator and exact date/time of the event could not be determined. The east crane was subsequently evaluated by Seatrax and documented as fit for service.</t>
    </r>
  </si>
  <si>
    <r>
      <rPr>
        <b/>
        <u/>
        <sz val="10"/>
        <rFont val="Arial"/>
        <family val="2"/>
      </rPr>
      <t>Personnel Basket Contacts Vessel Bulwark During Transfer</t>
    </r>
    <r>
      <rPr>
        <sz val="10"/>
        <rFont val="Arial"/>
        <family val="2"/>
      </rPr>
      <t xml:space="preserve">
During a personnel transfer between the platform and the M/V, current movement caused the vessel to drift away from the platform, resulting in the personnel basket contacting the vessel's port-side bulwark. As the basket contacted the bulwark, one of the three passengers briefly lost his footing but maintained control by holding the basket netting with both hands. No personnel injuries or equipment damage occurred. The crane operator at the time of the incident was an Island Operating employee. Initial notification was made to Mr. Aaron Hoover on September 16, 2026, at 0957 hours, followed by an update email on September 17, 2026, at 0828 hours.</t>
    </r>
  </si>
  <si>
    <t>Load Snag or Contact / Environmental Factors / Poor Lift Path Clearance</t>
  </si>
  <si>
    <t>Personnel Basket — with three personnel onboard</t>
  </si>
  <si>
    <t xml:space="preserve">Other </t>
  </si>
  <si>
    <t>Crown Block / Traveling Block (Drawworks System)</t>
  </si>
  <si>
    <t>Wet Stand of Drill Pipe</t>
  </si>
  <si>
    <r>
      <rPr>
        <b/>
        <u/>
        <sz val="10"/>
        <rFont val="Arial"/>
        <family val="2"/>
      </rPr>
      <t>Unexpected Crown Block Descent During Tripping Operations</t>
    </r>
    <r>
      <rPr>
        <sz val="10"/>
        <rFont val="Arial"/>
        <family val="2"/>
      </rPr>
      <t xml:space="preserve">
At approximately 2101 hours, while tripping out of the hole with wet stands, the slips were set with the block at approximately 97.5 feet. After the stand was broken out and the mud bucket installed, the block was hoisted approximately 5 inches to allow the stand to drain and the park brake was engaged. While the stand was draining, the block unexpectedly descended approximately 10 feet over 15 seconds, resulting in approximately 25,000 lbs of set-down weight on the stand. Block movement was stopped using the manual brake. The park brake was subsequently disengaged, and the block was hoisted to restore normal block weight. The park brake was tested and was holding properly following the event. No personnel injuries occurred. No damage to the rig's traveling equipment was identified; however, four joints of drill pipe were bent, with estimated repair/replacement costs of $21,249.</t>
    </r>
  </si>
  <si>
    <t>Bulk Material / Cargo</t>
  </si>
  <si>
    <r>
      <rPr>
        <b/>
        <u/>
        <sz val="10"/>
        <rFont val="Arial"/>
        <family val="2"/>
      </rPr>
      <t xml:space="preserve">Toolbox Tips and Catches Deckhand's Foot </t>
    </r>
    <r>
      <rPr>
        <u/>
        <sz val="10"/>
        <rFont val="Arial"/>
        <family val="2"/>
      </rPr>
      <t xml:space="preserve">  </t>
    </r>
    <r>
      <rPr>
        <sz val="10"/>
        <rFont val="Arial"/>
        <family val="2"/>
      </rPr>
      <t xml:space="preserve">                                                                                           
At approximately 2305 hours on September 10, 2026, the Crane Operator was using the Port Aft Crane (#2 KBC) on the drillship to lift a 2 ft. x 19 ft., approximately 1,000-lb  toolbox from the MV Larry T. Rigdon.
During the lift, a sling attached to the toolbox caught on a bolt located on top of the box. While the toolbox was still contacting the deck, an AB Deckhand with Tidewater approached the load to free the sling. As he approached, the toolbox tipped onto its side, pinching his foot underneath the box. The toolbox was repositioned and the sling disconnected. The Deckhand initially evaluated his foot and continued working; however, increasing pain and swelling subsequently developed. He was evaluated by the rig medic and later evacuated for further medical evaluation. An MRI identified fracturing in the left foot and ligament sprains, and the employee was expected to be out of work for approximately 6–8 weeks.The toolbox and equipment inside were not damaged. Weather conditions were partly cloudy, with winds approximately 6 knots from the west and a 1-ft sea state.</t>
    </r>
  </si>
  <si>
    <t>drill pipe stand</t>
  </si>
  <si>
    <t>TDX Elevators / Top Drive elevator system</t>
  </si>
  <si>
    <r>
      <rPr>
        <b/>
        <u/>
        <sz val="10"/>
        <rFont val="Arial"/>
        <family val="2"/>
      </rPr>
      <t>Elevator Kick-Out Resulting in Camera Damage</t>
    </r>
    <r>
      <rPr>
        <sz val="10"/>
        <rFont val="Arial"/>
        <family val="2"/>
      </rPr>
      <t xml:space="preserve">
On September 16, 2026, at approximately 1400 hours, while making a drilling connection on Well SP106, the Junior Driller was latching the TDX elevators onto a stand held by the MW Hydra-Racker. After the initial latch attempt was unsuccessful, the link tilt was extended further and the elevators successfully latched onto the stand. While hoisting the elevators with the link tilt overextended, the elevators contacted the uppermost Hydra-Racker camera, damaging it. The Junior Driller stopped the operation after observing the camera hanging by its power cable and reported the incident. No personnel were injured, no dropped object occurred, and the red zone was clear as verified by CCTV.  </t>
    </r>
  </si>
  <si>
    <t>4 ft × 4 ft, 1,100-lb aluminum Omega Bin containing oily rags.</t>
  </si>
  <si>
    <r>
      <rPr>
        <b/>
        <u/>
        <sz val="10"/>
        <rFont val="Arial"/>
        <family val="2"/>
      </rPr>
      <t>Aluminum Omega Bin Pad Eye Failure After Snagging on Sack Room Hatch During Crane Lift</t>
    </r>
    <r>
      <rPr>
        <sz val="10"/>
        <rFont val="Arial"/>
        <family val="2"/>
      </rPr>
      <t xml:space="preserve">
The Noble Blackhawk was using Crane #2 (Port Aft KBC, NOV KBC 85T-OC3932 KCE) to retrieve an aluminum Omega Bin from the sack room for backloading to a vessel. The approximately 4 ft x 4 ft, 1,100-lb aluminum bin, containing oily rags, was being lifted using a set of four-way slings with a tagline attached to the bin.
During the lift, one of the bin's pad eyes caught on the hatch opening, resulting in the pad eye breaking away from the aluminum bin. The bin was subsequently lowered back onto the deck in the sack room. The broken pad eye was found resting on top of the Omega Bin. No dropped object occurred outside the sack room, and no personnel were inside the red zone at the time of the incident. No personnel injuries occurred. Property damage was estimated at approximately $2,000.
At the time of the incident, weather conditions were clear, with winds approximately 15 knots from 114° and a 4–5 ft sea state. The supply vessel was positioned port aft, parallel to the Noble Blackhawk and facing in the same direction.</t>
    </r>
  </si>
  <si>
    <t xml:space="preserve">Human Eror / Rigging / Load Snag or Contact / Poor Lift Planning </t>
  </si>
  <si>
    <r>
      <rPr>
        <b/>
        <u/>
        <sz val="10"/>
        <rFont val="Arial"/>
        <family val="2"/>
      </rPr>
      <t>Sandbag Contacts Scaffold Pole During Crane Lift</t>
    </r>
    <r>
      <rPr>
        <sz val="10"/>
        <rFont val="Arial"/>
        <family val="2"/>
      </rPr>
      <t xml:space="preserve">
While lifting a full sandbag weighing approximately 4,000 lbs. from the southwest staging area, the crane began booming down to place the load into a cage located on top of a hopper. During the lift, the suspended sandbag contacted a scaffold pole extending above the hopper elevation, puncturing the bag and releasing blast media. No injuries or property damage resulted.</t>
    </r>
  </si>
  <si>
    <t>A full sandbag containing blast media, approximately 4,000 lb.</t>
  </si>
  <si>
    <t>crane boom-tip protective device</t>
  </si>
  <si>
    <r>
      <rPr>
        <b/>
        <u/>
        <sz val="10"/>
        <rFont val="Arial"/>
        <family val="2"/>
      </rPr>
      <t>Crane Boom Tip Protective Device Detachment – Dropped Object</t>
    </r>
    <r>
      <rPr>
        <sz val="10"/>
        <rFont val="Arial"/>
        <family val="2"/>
      </rPr>
      <t xml:space="preserve">
At approximately 1120 hours on September 24, 2026, routine lifting operations were being conducted using the Aft Crane to move tote tanks between decks. The Crane Operator and personnel involved in the operation were communicating using handheld radios.
During the operation, the Crane Operator observed a protective device mounted at the crane boom tip become detached and fall approximately 197 feet to the Aft mezzanine deck. The protective device measured approximately 36¾ inches by 4 inches and weighed 12.2 pounds. The Crane Operator immediately stopped crane operations and notified the supervisor. At the time of the incident, barricades were not being used around the area during the routine movement of tote tanks between decks.
Based on Shell's DROPS Calculator, the dropped object had the potential to result in a fatality. No personnel injuries were reported. The estimated property damage was approximately $1,000, associated with damage to the crane boom bumper.</t>
    </r>
  </si>
  <si>
    <t>Conex Box</t>
  </si>
  <si>
    <r>
      <rPr>
        <b/>
        <u/>
        <sz val="10"/>
        <rFont val="Arial"/>
        <family val="2"/>
      </rPr>
      <t>Conex Box Contacts Light Fixture During Crane Operations</t>
    </r>
    <r>
      <rPr>
        <sz val="10"/>
        <rFont val="Arial"/>
        <family val="2"/>
      </rPr>
      <t xml:space="preserve">
During crane operations, a Conex box was being landed on the turbine mezzanine deck at the southwest corner of the platform. While positioning the load, the Conex box contacted a light fixture, causing the fixture to become damaged and remain suspended by its electrical wiring. No personnel were within the cone of exposure, and no injuries occurred.</t>
    </r>
  </si>
  <si>
    <r>
      <rPr>
        <b/>
        <u/>
        <sz val="10"/>
        <rFont val="Arial"/>
        <family val="2"/>
      </rPr>
      <t>Crane Knuckle Sheave Shim Dropped Object</t>
    </r>
    <r>
      <rPr>
        <sz val="10"/>
        <rFont val="Arial"/>
        <family val="2"/>
      </rPr>
      <t xml:space="preserve">
On September 21, 2026, a dropped object was discovered on the starboard outboard riser deck prior to crane backload operations. An investigation identified the object as a 5.5-ounce shim from the crane's knuckle sheave cluster. The shim had fallen approximately 87 feet to the deck. The DROPS Calculator classified the potential severity as a First Aid Case. No personnel injuries were reported.</t>
    </r>
  </si>
  <si>
    <r>
      <rPr>
        <b/>
        <u/>
        <sz val="10"/>
        <rFont val="Arial"/>
        <family val="2"/>
      </rPr>
      <t>Hard Landing of Personnel Basket on Vessel Deck During Crane Personnel Transfer</t>
    </r>
    <r>
      <rPr>
        <sz val="10"/>
        <rFont val="Arial"/>
        <family val="2"/>
      </rPr>
      <t xml:space="preserve">
On September 19, 2026, a BOSS Energy Solutions crane operator was transferring personnel from the SMI-69B platform to the M/V Briana Marie using a personnel basket. During the final descent to the vessel deck, the basket made hard contact with the deck. Affected-person statements indicated that the basket descended rapidly from approximately 6–8 feet above the deck before impact, and witnesses reported a hard landing.
The crane operator stated that he paused the basket while the vessel rolled with the waves and resumed lowering after the roll passed. The vessel subsequently moved upward with the swell, resulting in the basket landing hard and bouncing upon contact with the deck. Reported sea/swell conditions were approximately 2–3 feet.
Following the incident, crane and personnel-transfer operations were stopped, a safety meeting was conducted, and affected personnel were sent for medical evaluation. The crane operator was drug/alcohol screened and cleared. A post-event crane inspection and operational test identified no mechanical deficiencies.            </t>
    </r>
  </si>
  <si>
    <t>Supply box</t>
  </si>
  <si>
    <r>
      <rPr>
        <b/>
        <u/>
        <sz val="10"/>
        <rFont val="Arial"/>
        <family val="2"/>
      </rPr>
      <t>Supply Box Contacts Pressure Gauge During Crane Operations</t>
    </r>
    <r>
      <rPr>
        <sz val="10"/>
        <rFont val="Arial"/>
        <family val="2"/>
      </rPr>
      <t xml:space="preserve">
On September 19, 2026, at approximately 1530 hours, during vessel offloading/backloading operations at GC-18 (G04940), a supply box being moved along the west-side walkway near the gas compressor contacted a pressure gauge installed on compressor piping.
The rigger immediately directed the crane operator to move the load away from the gauge and set it down. The needle valve beneath the gauge was closed, and the damaged gauge was removed and replaced. No personnel injuries were reported.</t>
    </r>
  </si>
  <si>
    <t>Hose being lifted to be secured to the derrick</t>
  </si>
  <si>
    <r>
      <rPr>
        <b/>
        <u/>
        <sz val="10"/>
        <rFont val="Arial"/>
        <family val="2"/>
      </rPr>
      <t>Crane Boom Tip Contacts Wind Wall During Hose Lift</t>
    </r>
    <r>
      <rPr>
        <sz val="10"/>
        <rFont val="Arial"/>
        <family val="2"/>
      </rPr>
      <t xml:space="preserve">
At approximately 0740 hours, on the DS-16, the crane and drill crews were rigging up 200-bbl Oil States tanks. During the operation, the crane operator was lifting a hose to be secured to the derrick when the crane boom tip contacted the wind wall. An immediate all-stop was called, and the derrick and surrounding area were inspected for potential damage. The inspection determined that the wind wall sustained minor damage, and scuffing was observed on the crane boom. No personnel were in the line of fire at the time of the incident, and no dropped objects occurred. No personnel injuries were reported. The estimated property damage was $500.</t>
    </r>
  </si>
  <si>
    <r>
      <rPr>
        <b/>
        <u/>
        <sz val="10"/>
        <rFont val="Arial"/>
        <family val="2"/>
      </rPr>
      <t>Sling Contacts Paint Locker Vent Cap During Crane Relocation</t>
    </r>
    <r>
      <rPr>
        <sz val="10"/>
        <rFont val="Arial"/>
        <family val="2"/>
      </rPr>
      <t xml:space="preserve">
During relocation of an 8-ft. x 10-ft., approximately 9,500-lb paint locker from the Upper Drill Deck to the East Mezzanine Deck using the East Crane (Seatrax 8032), one corner of the locker initially landed on a partially washed-out lifting eye, causing the locker to sit unevenly. The signalman directed the crane operator to reposition the locker and land it flat. As the crane began taking slack from the four-part sling arrangement, one sling caught the 2-inch lower lip of the locker’s exhaust vent and pulled the vent cap loose. Because little to no tension had been applied to the sling at the time of contact, the vent cap remained on top of the locker and did not become a dropped object. The aluminum 4-inch pipe connecting the vent cap to the camlock fitting broke flush with the top of the camlock.
The crew safely removed the vent cap, completed the lift, and landed the locker flat on the deck. Crane operations were stopped after the locker was safely secured. The OIM, HSE, and Lifting Authority were notified, and an evaluation for design improvements was initiated. No personnel injuries or dropped objects occurred. Property damage was estimated at $1,000. Weather conditions were WSW winds at approximately 6–10 knots with northeast seas of 2–4 feet.</t>
    </r>
  </si>
  <si>
    <t>N/a</t>
  </si>
  <si>
    <t>8-ft. × 10-ft., approximately 9,500-lb paint locker.</t>
  </si>
  <si>
    <r>
      <rPr>
        <b/>
        <u/>
        <sz val="10"/>
        <rFont val="Arial"/>
        <family val="2"/>
      </rPr>
      <t xml:space="preserve">Tote Tank Contacts Power Unit During Crane Positioning
</t>
    </r>
    <r>
      <rPr>
        <sz val="10"/>
        <rFont val="Arial"/>
        <family val="2"/>
      </rPr>
      <t>On September 25, 2026, at approximately 1500 hours, the deck crew was repositioning equipment within the riser bay using the No. 3 KBC crane to create additional staging space for a tote tank. Due to the quantity and arrangement of third-party equipment in the area, the tote tank was being positioned within a confined area. While positioning the tote tank near the associated equipment, the suspended tote contacted a nearby power unit that was not in use, damaging the power unit's handle.
The tote tank was successfully repositioned, and the crew initiated an all-stop and notified the Deck Pusher. The power unit handle was fully repaired by September 30, 2026, with no loss in value. The estimated replacement cost of the handle was less than $1,000. No personnel injuries or dropped objects occurred.</t>
    </r>
  </si>
  <si>
    <t>Lifting Incidents Summary - 2025 and 2026</t>
  </si>
  <si>
    <t>2025 total</t>
  </si>
  <si>
    <t>2026 total (Jan-Sep)</t>
  </si>
  <si>
    <t>Grand total</t>
  </si>
  <si>
    <t>Report month</t>
  </si>
  <si>
    <t>Controls: choose the report month and district on the Summary tab.</t>
  </si>
  <si>
    <t>Type of lifting failure</t>
  </si>
  <si>
    <t>Category</t>
  </si>
  <si>
    <t>Prior months</t>
  </si>
  <si>
    <t>Human Error / Load Snag or Contact / Crane Boom Contact</t>
  </si>
  <si>
    <t>Human Error / Rigging / Load Shifted</t>
  </si>
  <si>
    <t>Human Error / Rigging Equipment Failure</t>
  </si>
  <si>
    <t>Maintenance Issue/Material Handling/Rigging Equipment Failure/ Environmental factors</t>
  </si>
  <si>
    <t>Rigging Equipment Failure / Dropped Object</t>
  </si>
  <si>
    <t>Rigging Equipment Failure / Environmental factors</t>
  </si>
  <si>
    <t>Human Eror / Rigging / Load Snag or Contact / Poor Lift Planning</t>
  </si>
  <si>
    <t>Total incidents</t>
  </si>
  <si>
    <t>Type of item lifted</t>
  </si>
  <si>
    <t>Type of operation</t>
  </si>
  <si>
    <t>Marine vessel and material handling</t>
  </si>
  <si>
    <t>Uploading- lifted onto work boat</t>
  </si>
  <si>
    <t>Offloading and Backloading</t>
  </si>
  <si>
    <t>Other - Uploading- lifted onto work boat</t>
  </si>
  <si>
    <t>Dropped object</t>
  </si>
  <si>
    <t>Blind lift</t>
  </si>
  <si>
    <t>Facility type</t>
  </si>
  <si>
    <t>Near miss</t>
  </si>
  <si>
    <r>
      <rPr>
        <b/>
        <u/>
        <sz val="10"/>
        <rFont val="Arial"/>
        <family val="2"/>
      </rPr>
      <t>East Crane Load Cable Derailed from Sheave After Load Block Became Hung on Grocery Box</t>
    </r>
    <r>
      <rPr>
        <sz val="10"/>
        <rFont val="Arial"/>
        <family val="2"/>
        <charset val="1"/>
      </rPr>
      <t xml:space="preserve">
On August 8, 2026, at approximately 1300 hours, personnel were conducting load block disengagement operations using the East Crane, Unit Model No. 150-H, Serial No. 79095, with a 50-foot boom. While the East crane load block was being lowered, the rigging shifted and the load block became hung on the corner of a grocery box.
As the load block remained hung while being lowered, uncontrolled slack developed in the load cable. The resulting slack allowed the cable to jump out of the sheave, causing damage to the East crane load cable.
Lifting operations were immediately suspended, and an investigation was conducted to determine the cause of the event. The East crane was removed from service to facilitate repairs. The damaged wire rope was replaced at a cost of $1,445.
There were no personnel injuries or environmental impacts associated with the incident.</t>
    </r>
  </si>
  <si>
    <r>
      <rPr>
        <b/>
        <sz val="10"/>
        <rFont val="Arial"/>
        <family val="2"/>
      </rPr>
      <t>Hand Injury During Cargo Basket Loading Operation Resulting from Load Movement and Rigger Exposure</t>
    </r>
    <r>
      <rPr>
        <sz val="10"/>
        <rFont val="Arial"/>
        <family val="2"/>
        <charset val="1"/>
      </rPr>
      <t xml:space="preserve">
During cargo handling operations, the crane crew was in the process of loading a cooler mounted on a stand into a cargo basket. After the cooler was initially placed in the basket, it was determined that the load was unstable and could not be safely secured for transport. 
The decision was made to re-lift the cooler and reposition it to the corner of the cargo basket to improve stability and allow the load to be secured with straps. The cooler was lowered into position, and the load weight was transferred off the slings.After the cooler was positioned, riggers entered the cargo basket to remove the sling shackles from the load. While removing the shackles, the cooler began to shift unexpectedly. The riggers attempted to move away from the moving load; however, the Injured Person’s (IP) glove became caught on the shackle cotter pin. As the cooler continued to move, the IP’s right hand became trapped between the shackle and the edge of the cargo basket, resulting in a laceration to the palm of the right hand. The IP was transported via a regularly scheduled flight and escorted to the Occupational Medical Facility (AIMS) in Houma, Louisiana, for evaluation and treatment.</t>
    </r>
  </si>
  <si>
    <r>
      <rPr>
        <b/>
        <u/>
        <sz val="10"/>
        <rFont val="Arial"/>
        <family val="2"/>
      </rPr>
      <t>Cargo Container Contacts Emergency Pull Station During Backload</t>
    </r>
    <r>
      <rPr>
        <sz val="10"/>
        <rFont val="Arial"/>
        <family val="2"/>
        <charset val="1"/>
      </rPr>
      <t xml:space="preserve">
During the backload of a 6 ft. × 6 ft. cargo container (TRS-668-201) from the facility to the M/V Odyssea Count, the West 60-ton Seatrax crane was used to position the load between an Aggreko temporary generator (XAXCO26) and an MPT tank. During positioning, the cargo container contacted the emergency pull station for the CO₂ fire-suppression system located on the starboard side of the Aggreko generator. The contact activated the fire-suppression system.
Crane operations were immediately suspended, and the incident was reported to the Team Lead and vessel Captain. No personnel injuries occurred. Two taglines were used to control the load. The cargo container weighed approximately 4,200 lb. and contained Trussco safety equipment, including SCBAs, PPE, and breathing equipment.
Property damage was limited to the Aggreko temporary generator/fire-suppression system area, with an estimated repair cost of approximately $3,500. The damage was less than $25,000. No structural damage or personnel injury was reported.</t>
    </r>
  </si>
  <si>
    <r>
      <rPr>
        <b/>
        <sz val="10"/>
        <rFont val="Arial"/>
        <family val="2"/>
      </rPr>
      <t>Minor Dropped Object During Transfer of Pre-Slung MPT Tank</t>
    </r>
    <r>
      <rPr>
        <sz val="10"/>
        <rFont val="Arial"/>
        <family val="2"/>
        <charset val="1"/>
      </rPr>
      <t xml:space="preserve">
On July 24, 2026, aboard the facility, a crane operator was transferring a pre-slung MPT tank (7 ft. × 7 ft., approximately 9.3 metric tons, containing spike fluid) from the M/V Larry T. Rigdon to the rig. During the lift, one of the pre-installed slings contacted the tank's hatch hinge, causing a portion of the hinge to detach and fall approximately 7 feet to the deck. The dropped object weighed approximately 0.2 pounds. A DROPS assessment classified the object as having a "Slight" consequence with a low potential for injury or no injury. Tag lines were used throughout the lift. No personnel were injured, and the only damage was to the hatch hinge, with an estimated repair cost of approximately $100.</t>
    </r>
  </si>
  <si>
    <r>
      <rPr>
        <b/>
        <sz val="10"/>
        <rFont val="Arial"/>
        <family val="2"/>
      </rPr>
      <t>Water Pod Contacts Vessel Handrail During Offshore Load Transfer</t>
    </r>
    <r>
      <rPr>
        <sz val="10"/>
        <rFont val="Arial"/>
        <family val="2"/>
        <charset val="1"/>
      </rPr>
      <t xml:space="preserve">
During the transfer of a full water pod weighing approximately 18,000 lb. from the vessel experienced lateral movement and drifted toward the suspended load. As the vessel moved toward the load, the water pod contacted the vessel's 3-inch handrail, damaging and separating approximately 10 feet of handrail from the vessel. The detached section was not recovered following the incident. No personnel injuries were reported.</t>
    </r>
  </si>
  <si>
    <r>
      <rPr>
        <b/>
        <sz val="10"/>
        <rFont val="Arial"/>
        <family val="2"/>
      </rPr>
      <t>Crane Swing Brake Failure Causes Uncontrolled Boom Movement</t>
    </r>
    <r>
      <rPr>
        <sz val="10"/>
        <rFont val="Arial"/>
        <family val="2"/>
        <charset val="1"/>
      </rPr>
      <t xml:space="preserve">
While transferring an 8 ft. × 8 ft. MPH Tool House fromthe platform to the M/V, the crane operator was swinging the load over the west side of the platform. During the maneuver, an audible "pop" was heard, followed immediately by a loss of crane swing and brake function. The operator notified the riggers by radio and instructed them to move clear of the area.
With the swing and brake function unavailable, a 13-knot west wind caught the crane boom and suspended load, causing them to swing back toward the east. The operator was unable to stop the movement, and the boom ultimately came to rest against the handrail of the window basket on the HWO unit. The handrail/ladder rail sustained minor damage valued at less than $500 and was repaired onsite. No personnel injuries were reported.</t>
    </r>
  </si>
  <si>
    <r>
      <rPr>
        <b/>
        <sz val="10"/>
        <rFont val="Arial"/>
        <family val="2"/>
      </rPr>
      <t>Grocery Box Contacts Vessel Handrail During Crane Offloading Operation Resulting in Minor Damage</t>
    </r>
    <r>
      <rPr>
        <sz val="11"/>
        <rFont val="Arial"/>
        <family val="2"/>
        <charset val="1"/>
      </rPr>
      <t xml:space="preserve">
</t>
    </r>
    <r>
      <rPr>
        <sz val="10"/>
        <rFont val="Arial"/>
        <family val="2"/>
      </rPr>
      <t>On 07/10/2026, the West Vela crane crew was conducting an offloading operation to transfer a grocery box from the deck of the M/V Ms. Nancy. During the lift, the forward-most container made slight contact with the vessel handrail located just aft of the wheelhouse. The contact resulted in minor damage to the handrail, including the failure of one weld.
Tag lines were being utilized by the vessel deck crew to control the load during the lift. No personnel injuries occurred, and there was no damage to the lifted cargo or crane equipment.</t>
    </r>
  </si>
  <si>
    <r>
      <rPr>
        <b/>
        <u/>
        <sz val="10"/>
        <rFont val="Arial"/>
        <family val="2"/>
      </rPr>
      <t>Blind Lift Resulting in Handrail Loss Overboard</t>
    </r>
    <r>
      <rPr>
        <sz val="10"/>
        <rFont val="Arial"/>
        <family val="2"/>
      </rPr>
      <t xml:space="preserve">
On September 27, 2026, at approximately 3:15 p.m., personnel on the offshore facility were conducting a blind lift of a cargo basket containing three small valves on the east side of the production deck. The signal person was controlling the basket with a tag line and communicating crane signals to the crane operator by radio. As the operator cabled up, the bottom of the basket became caught beneath the top rail of a removable handrail section. The signal person attempted to pull the basket clear while transmitting an “All Stop” command. However, the radio did not key up as intended, and the crane operator did not receive the stop command. Continued upward movement pulled the handrail from two sockets and broke a third connection, causing approximately 14 feet of handrail and an attached life ring to fall overboard. The M/V Briana Marie recovered the life ring and returned it to the platform.
Stop Work was initiated at approximately 3:20 p.m., and the resulting open deck edge was barricaded. The incident report states that work was authorized to resume at approximately 3:35 p.m. No personnel injuries were reported.</t>
    </r>
  </si>
  <si>
    <t>cargo basket containing three small valves.</t>
  </si>
  <si>
    <t xml:space="preserve">Fixed </t>
  </si>
  <si>
    <r>
      <rPr>
        <b/>
        <u/>
        <sz val="10"/>
        <rFont val="Arial"/>
        <family val="2"/>
      </rPr>
      <t xml:space="preserve">Flowback Hose Damaged by Load During Backloading Operations to M/V       </t>
    </r>
    <r>
      <rPr>
        <sz val="10"/>
        <rFont val="Arial"/>
        <family val="2"/>
      </rPr>
      <t xml:space="preserve">                                          </t>
    </r>
    <r>
      <rPr>
        <sz val="10"/>
        <rFont val="Arial"/>
        <family val="2"/>
      </rPr>
      <t>At approximately 1600 hours on September 30, 2026, on a drillship, during cargo backloading operations to the M/V  the vessel reported that a load had been set down on a flowback hose, resulting in damage to the hose. Property damage was estimated at $3,800. No personnel injuries or environmental impacts were reported.</t>
    </r>
  </si>
  <si>
    <t>4-drum rack</t>
  </si>
  <si>
    <r>
      <rPr>
        <b/>
        <u/>
        <sz val="10"/>
        <rFont val="Arial"/>
        <family val="2"/>
      </rPr>
      <t xml:space="preserve">Crane Load Snag Causes Biocide Tote to Tip, Resulting in Chemical Release and Equipment Damage  </t>
    </r>
    <r>
      <rPr>
        <sz val="10"/>
        <rFont val="Arial"/>
        <family val="2"/>
      </rPr>
      <t xml:space="preserve">                                                                                                                                             During crane operations to rearrange equipment on the main deck, the HM West Crane was relocating a 4-drum rack weighing approximately 1,500 pounds. Two riggers were using tag lines while a signalman directed the lift. During movement across the deck, the lower lip of the drum rack snagged on a shackle attached to a lifting eye on a 250-gallon Champion X biocide tote weighing approximately 2,000 pounds.
As the lift continued, the tote was unintentionally lifted and tilted onto its side, causing damage to the tote and slightly bending one of its legs. Approximately one quart of biocide (BIOC16110A) was released through the tote lid onto the solid deck. The tote was safely returned to an upright position using the crane, and the chemical release was contained. No personnel injuries occurred, and no material entered the environment. The estimated replacement cost of the damaged tote was approximately $5,600.</t>
    </r>
  </si>
  <si>
    <r>
      <rPr>
        <b/>
        <u/>
        <sz val="10"/>
        <rFont val="Arial"/>
        <family val="2"/>
      </rPr>
      <t>Wireline Lubricator Lift Causes Hatch Cover to Drop, Resulting in Hand Injury</t>
    </r>
    <r>
      <rPr>
        <sz val="10"/>
        <rFont val="Arial"/>
        <family val="2"/>
      </rPr>
      <t xml:space="preserve">
At approximately 0930 hours on September 26, 2026, the crew was rigging down a wireline lubricator and riser following an e-line operation to cut tubing at the facility. A crane was used to remove the assembly through an opening in the production deck hatch. During the lift, the Bowen collar contacted the hatch cover grating, raising one side of the cover approximately 5 to 6 inches.
 While guiding the assembly through the opening, the injured person (IP) placed a hand on the needle valve to assist with positioning. As the assembly continued moving, the Bowen collar cleared the grating, allowing the hatch cover to fall back into position and strike the top of the IP's left hand, causing a laceration. The IP was evacuated to shore for medical evaluation, received four sutures, and was released to full duty.</t>
    </r>
  </si>
  <si>
    <t>wireline lubricator and riser assembly</t>
  </si>
  <si>
    <r>
      <rPr>
        <b/>
        <u/>
        <sz val="10"/>
        <rFont val="Arial"/>
        <family val="2"/>
      </rPr>
      <t>Snagged Sling Releases During Chiksan Manifold Lift, Resulting in Foot Injury</t>
    </r>
    <r>
      <rPr>
        <sz val="10"/>
        <rFont val="Arial"/>
        <family val="2"/>
      </rPr>
      <t xml:space="preserve">
On September 12, 2026, at the platform, the crane crew was repositioning a Chiksan manifold to provide access for piping connections in preparation for upcoming well operations. The manifold was lifted approximately eight inches above the deck using a four-part sling assembly. During the initial repositioning, the manifold was placed onto a transfer hose on the skid beam. A second lift was initiated to make a further adjustment.
During the second lift, one leg of the sling assembly became caught on the manifold. Before the banksman, who was also the injured person (IP), could signal the crane operator to stop, the snagged sling released, causing the manifold to shift and descend onto the IP's right foot. The IP instructed the crane operator via radio to raise the manifold, allowing him to free his foot. He was escorted to the medic's office for evaluation and subsequently transported by production helicopter to shore for further medical assessment and treatment.
Follow-up medical evaluation determined that the IP sustained two displaced metatarsal fractures in the right foot, requiring surgery and pin placement. </t>
    </r>
  </si>
  <si>
    <t>Chiksan manifold, using a four-part sling assembly</t>
  </si>
  <si>
    <r>
      <rPr>
        <b/>
        <u/>
        <sz val="10"/>
        <rFont val="Arial"/>
        <family val="2"/>
      </rPr>
      <t>Crane Backloading Operation Results in Damage to Deck Deluge Pipe-Head</t>
    </r>
    <r>
      <rPr>
        <sz val="10"/>
        <rFont val="Arial"/>
        <family val="2"/>
      </rPr>
      <t xml:space="preserve">
During a backloading operation, the east crane was transferring a connex box from the facility to a field boat and attempting to position the box just inboard of the starboard headache rail near mid-deck. During positioning, the connex box contacted a deluge pipe-head protruding above and adjacent to the outer headache rail, breaking the pipe-head. No personnel were within the cone of exposure at the time of the incident. The estimated repair cost for the damaged deluge pipe-head was $475. Photos and a Quick Share were provided; no witness statements were documented because no investigation was conducted.</t>
    </r>
  </si>
  <si>
    <t>connex box</t>
  </si>
  <si>
    <r>
      <rPr>
        <b/>
        <u/>
        <sz val="10"/>
        <rFont val="Arial"/>
        <family val="2"/>
      </rPr>
      <t>Crane Unintentionally Swings During Operator Assessment, Contacting and Damaging Wireline Lubricator</t>
    </r>
    <r>
      <rPr>
        <sz val="10"/>
        <rFont val="Arial"/>
        <family val="2"/>
      </rPr>
      <t xml:space="preserve">
On September 10, 2026, at approximately 14:00 hours, a crane operator assessment was being completed with the operator performing several lifts under the direction of a crane assessor using hand signals. While booming out of the boom rest and increasing engine throttle, the crane unexpectedly swung to the left, causing the boom to contact a wireline lubricator and bend it toward the north. The operator lowered the control lever, swung the crane away from the lubricator, and returned the boom to the boom rest.
The subsequent investigation identified an issue with the swing control lever, which tended to stick in a raised, stowed position that left the swing control valve stroked to swing left. Testing indicated that the parking brake held while the engine was idling but the crane began swinging when the engine was throttled up with the swing lever still engaged. Inspection also identified a slight bend of less than 1/8 inch on the outer edge of the boom's bottom-left chord where it contacted the lubricator. The investigation concluded that the localized deformation would not affect structural stability and reported the crane as 100% in service. The estimated replacement cost was $5,253.</t>
    </r>
  </si>
  <si>
    <r>
      <rPr>
        <b/>
        <u/>
        <sz val="10"/>
        <rFont val="Arial"/>
        <family val="2"/>
      </rPr>
      <t>Palletized Sandblasting Garnet Contacts Handrail, Resulting in Dropped Load and Marine Debris</t>
    </r>
    <r>
      <rPr>
        <b/>
        <sz val="10"/>
        <rFont val="Arial"/>
        <family val="2"/>
      </rPr>
      <t xml:space="preserve">
</t>
    </r>
    <r>
      <rPr>
        <sz val="10"/>
        <rFont val="Arial"/>
        <family val="2"/>
      </rPr>
      <t>While moving a double-stacked pallet of sandblasting garnet from the west cellar to the spar deck landing area, the load contacted another pallet and the handrail, causing the pallet stack to tip. The top pallet, containing 36 sacks of garnet weighing 50 pounds each, fell into the Gulf of America. The approximate weight of the pallet and its contents was 1,600 pounds. Taglines were attached to the load, the lift was not blind, and radio communication was used during the operation.
No personnel injuries were reported. The estimated property loss was $1,095, including the materials and pallet. Following the incident, the job was stopped and a stand-down/debrief was conducted with the crews.</t>
    </r>
  </si>
  <si>
    <t>A double-stacked pallet of sandblasting garnet, approximately 1,600 pounds including the pallet.</t>
  </si>
  <si>
    <r>
      <rPr>
        <b/>
        <u/>
        <sz val="10"/>
        <rFont val="Arial"/>
        <family val="2"/>
      </rPr>
      <t>Crane Fast Line Block Contacts Out-of-Service Light Fixture, Causing Equipment Damage</t>
    </r>
    <r>
      <rPr>
        <sz val="10"/>
        <rFont val="Arial"/>
        <family val="2"/>
      </rPr>
      <t xml:space="preserve">
While moving equipment on the platform deck using the Great White lift boat's crane, the fast line block contacted an out-of-service, de-energized light fixture, resulting in damage to the fixture. Operations were halted until the damaged light fixture was manually removed and the area was determined to be safe. No personnel injuries or dropped objects were reported. Damage was limited to the out-of-service light fixture. </t>
    </r>
  </si>
  <si>
    <t>equipment was being lifted/moved on the platform deck</t>
  </si>
  <si>
    <t>July 2026 Monthly Snapshot – Lifting &amp; Material Handling</t>
  </si>
  <si>
    <r>
      <rPr>
        <b/>
        <u/>
        <sz val="10"/>
        <rFont val="Arial"/>
        <family val="2"/>
      </rPr>
      <t>Four-Part Sling Leg Failure During Cargo Basket Offloading—No Injury or Damage</t>
    </r>
    <r>
      <rPr>
        <sz val="10"/>
        <rFont val="Arial"/>
        <family val="2"/>
      </rPr>
      <t xml:space="preserve">
On August 11, 2026, at approximately 0700 hours, during cargo operations on platform, a crane operator was offloading a cargo basket from the M/V Odyssea Darwin. While the load was suspended approximately one foot above the vessel deck, one leg of the four-part rigging sling failed. The crane operator responded immediately by safely and controllably lowering the basket back onto the vessel deck. There were no personnel injuries, environmental impacts, or damage to the crane or vessel.</t>
    </r>
  </si>
  <si>
    <r>
      <rPr>
        <b/>
        <u/>
        <sz val="10"/>
        <rFont val="Arial"/>
        <family val="2"/>
      </rPr>
      <t>Swing Rope Failure During Personnel Transfer Resulting in Personnel Entry Into Gulf Waters</t>
    </r>
    <r>
      <rPr>
        <sz val="10"/>
        <rFont val="Arial"/>
        <family val="2"/>
      </rPr>
      <t xml:space="preserve">
On August 13, 2026, at approximately 0635 hours, a personnel transfer was being conducted at the facility when a swing rope failed during the transfer, resulting in one individual entering the Gulf of America waters. The individual  was the third person to conduct a swing-rope personnel transfer at the time of the incident.
Prior to the transfer, the swing rope was visually inspected and load-tested by applying several firm pulls. No deficiencies or concerns regarding the rope's apparent integrity were identified during the pre-use inspection and test. During the transfer, the swing rope failed at the upper end of the rope nearest the anchor point, causing the individual to enter the water.
The individual was quickly recovered from the water by the M/V Carla F. The only reported injury was minor abrasions to the palm of the individual's hand. No additional personnel injuries or environmental impacts were reported.
The facility is currently maintained under a quarterly maintenance and monitoring schedule. At the time of the incident, personnel onsite were performing make-safe repairs at the facility.
Root Cause:The root cause was failure of the swing-rope assembly at the upper termination point adjacent to the anchor point during personnel transfer. The failure resulted in loss of support for the transferring individual and subsequent entry into the Gulf waters.
</t>
    </r>
  </si>
  <si>
    <t>August 2026 Monthly Snapshot – Lifting &amp; Material Handling</t>
  </si>
  <si>
    <t>September 2026 Monthly Snapshot – Lifting &amp; Material Handling</t>
  </si>
  <si>
    <r>
      <rPr>
        <b/>
        <u/>
        <sz val="10"/>
        <rFont val="Arial"/>
        <family val="2"/>
      </rPr>
      <t>Dropped Object — Walkway Handrail Separation During Crane/Tugger Piping Operations</t>
    </r>
    <r>
      <rPr>
        <sz val="10"/>
        <rFont val="Arial"/>
        <family val="2"/>
      </rPr>
      <t xml:space="preserve">
On September 11, 2026, at approximately 0535 hours, during crane operations on the east platform. The crane was used to lower a 6-inch-diameter by 32-foot-long section of overboard water piping toward the southeast +10-foot deck, while an air tugger on the cellar deck simultaneously pulled the piping toward the walkway. During positioning, the piping contacted an approximately 4-foot section of walkway handrail at the +10-foot elevation, causing the handrail section to separate from its sockets and fall overboard. Crane operations were immediately suspended, the area was barricaded, and horizontal scaffold poles were installed as a temporary barrier over the exposed fall hazard pending permanent repair. No injuries or personnel exposures were reported.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</si>
</sst>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77">
    <font>
      <sz val="10"/>
      <name val="Arial"/>
      <charset val="1"/>
    </font>
    <font>
      <sz val="11"/>
      <color theme="1"/>
      <name val="Calibri"/>
      <family val="2"/>
      <scheme val="minor"/>
    </font>
    <font>
      <sz val="10"/>
      <name val="Arial"/>
      <family val="2"/>
    </font>
    <font>
      <sz val="11"/>
      <color theme="1"/>
      <name val="Calibri"/>
      <family val="2"/>
      <charset val="1"/>
    </font>
    <font>
      <b/>
      <i/>
      <sz val="20"/>
      <name val="Arial"/>
      <family val="2"/>
      <charset val="1"/>
    </font>
    <font>
      <sz val="20"/>
      <name val="Arial"/>
      <family val="2"/>
      <charset val="1"/>
    </font>
    <font>
      <sz val="12"/>
      <name val="Arial"/>
      <family val="2"/>
      <charset val="1"/>
    </font>
    <font>
      <b/>
      <sz val="14"/>
      <name val="Arial"/>
      <family val="2"/>
      <charset val="1"/>
    </font>
    <font>
      <b/>
      <sz val="12"/>
      <color rgb="FFFF0000"/>
      <name val="Arial"/>
      <family val="2"/>
      <charset val="1"/>
    </font>
    <font>
      <b/>
      <sz val="16"/>
      <name val="Arial"/>
      <family val="2"/>
      <charset val="1"/>
    </font>
    <font>
      <sz val="10"/>
      <name val="Arial"/>
      <family val="2"/>
      <charset val="1"/>
    </font>
    <font>
      <b/>
      <sz val="18"/>
      <name val="Arial"/>
      <family val="2"/>
      <charset val="1"/>
    </font>
    <font>
      <b/>
      <sz val="20"/>
      <name val="Arial"/>
      <family val="2"/>
      <charset val="1"/>
    </font>
    <font>
      <sz val="14"/>
      <name val="Arial"/>
      <family val="2"/>
      <charset val="1"/>
    </font>
    <font>
      <b/>
      <sz val="16"/>
      <color theme="0"/>
      <name val="Arial"/>
      <family val="2"/>
      <charset val="1"/>
    </font>
    <font>
      <sz val="20"/>
      <color theme="0"/>
      <name val="Arial"/>
      <family val="2"/>
      <charset val="1"/>
    </font>
    <font>
      <sz val="18"/>
      <name val="Arial"/>
      <family val="2"/>
      <charset val="1"/>
    </font>
    <font>
      <sz val="18"/>
      <color theme="0"/>
      <name val="Arial"/>
      <family val="2"/>
      <charset val="1"/>
    </font>
    <font>
      <sz val="14"/>
      <color theme="0"/>
      <name val="Arial"/>
      <family val="2"/>
      <charset val="1"/>
    </font>
    <font>
      <sz val="13"/>
      <color rgb="FF5B6472"/>
      <name val="Arial"/>
      <family val="2"/>
      <charset val="1"/>
    </font>
    <font>
      <b/>
      <sz val="10"/>
      <name val="Arial"/>
      <family val="2"/>
      <charset val="1"/>
    </font>
    <font>
      <sz val="8.5"/>
      <name val="Arial"/>
      <family val="2"/>
      <charset val="1"/>
    </font>
    <font>
      <sz val="9"/>
      <name val="MS Sans Serif"/>
      <family val="2"/>
      <charset val="1"/>
    </font>
    <font>
      <sz val="8.5"/>
      <name val="MS Sans Serif"/>
      <family val="2"/>
      <charset val="1"/>
    </font>
    <font>
      <sz val="10"/>
      <color rgb="FF27251E"/>
      <name val="Arial"/>
      <family val="2"/>
      <charset val="1"/>
    </font>
    <font>
      <sz val="10"/>
      <color rgb="FF000000"/>
      <name val="Arial"/>
      <family val="2"/>
      <charset val="1"/>
    </font>
    <font>
      <sz val="10"/>
      <color theme="1"/>
      <name val="Arial"/>
      <family val="2"/>
      <charset val="1"/>
    </font>
    <font>
      <sz val="10"/>
      <name val="Segoe UI"/>
      <family val="2"/>
      <charset val="1"/>
    </font>
    <font>
      <b/>
      <u/>
      <sz val="10"/>
      <name val="Arial"/>
      <family val="2"/>
      <charset val="1"/>
    </font>
    <font>
      <sz val="11"/>
      <name val="Segoe UI"/>
      <family val="2"/>
      <charset val="1"/>
    </font>
    <font>
      <sz val="12"/>
      <color rgb="FF27251E"/>
      <name val="Calibri"/>
      <family val="2"/>
      <charset val="1"/>
    </font>
    <font>
      <sz val="10"/>
      <color rgb="FF27251E"/>
      <name val="Calibri "/>
      <charset val="1"/>
    </font>
    <font>
      <sz val="11"/>
      <name val="Arial"/>
      <family val="2"/>
      <charset val="1"/>
    </font>
    <font>
      <b/>
      <u/>
      <sz val="18"/>
      <name val="Arial"/>
      <family val="2"/>
      <charset val="1"/>
    </font>
    <font>
      <sz val="14"/>
      <color rgb="FF000000"/>
      <name val="Calibri"/>
      <family val="2"/>
      <charset val="1"/>
    </font>
    <font>
      <b/>
      <u/>
      <sz val="20"/>
      <name val="Arial"/>
      <family val="2"/>
      <charset val="1"/>
    </font>
    <font>
      <b/>
      <u/>
      <sz val="20"/>
      <color rgb="FF000000"/>
      <name val="Calibri"/>
      <family val="2"/>
      <charset val="1"/>
    </font>
    <font>
      <sz val="12"/>
      <color theme="1"/>
      <name val="Arial"/>
      <family val="2"/>
      <charset val="1"/>
    </font>
    <font>
      <sz val="16"/>
      <color rgb="FF000000"/>
      <name val="Arial"/>
      <family val="2"/>
      <charset val="1"/>
    </font>
    <font>
      <b/>
      <sz val="8.5"/>
      <name val="MS Sans Serif"/>
    </font>
    <font>
      <b/>
      <u/>
      <sz val="10"/>
      <name val="Arial"/>
      <family val="2"/>
    </font>
    <font>
      <sz val="8"/>
      <name val="Arial"/>
      <family val="2"/>
    </font>
    <font>
      <b/>
      <sz val="10"/>
      <name val="Arial"/>
      <family val="2"/>
    </font>
    <font>
      <u/>
      <sz val="10"/>
      <name val="Arial"/>
      <family val="2"/>
    </font>
    <font>
      <sz val="10"/>
      <name val="Arial"/>
      <family val="2"/>
    </font>
    <font>
      <sz val="11"/>
      <color rgb="FF006100"/>
      <name val="Calibri"/>
      <family val="2"/>
      <scheme val="minor"/>
    </font>
    <font>
      <sz val="11"/>
      <color rgb="FF9C0006"/>
      <name val="Calibri"/>
      <family val="2"/>
      <scheme val="minor"/>
    </font>
    <font>
      <sz val="11"/>
      <color rgb="FF3F3F76"/>
      <name val="Calibri"/>
      <family val="2"/>
      <scheme val="minor"/>
    </font>
    <font>
      <b/>
      <sz val="11"/>
      <color theme="0"/>
      <name val="Calibri"/>
      <family val="2"/>
      <scheme val="minor"/>
    </font>
    <font>
      <sz val="20"/>
      <color rgb="FF006100"/>
      <name val="Calibri"/>
      <family val="2"/>
      <scheme val="minor"/>
    </font>
    <font>
      <sz val="20"/>
      <color theme="1"/>
      <name val="Arial"/>
      <family val="2"/>
    </font>
    <font>
      <b/>
      <sz val="20"/>
      <name val="Arial"/>
      <family val="2"/>
    </font>
    <font>
      <sz val="20"/>
      <name val="Arial"/>
      <family val="2"/>
    </font>
    <font>
      <sz val="20"/>
      <color theme="1"/>
      <name val="Calibri"/>
      <family val="2"/>
      <scheme val="minor"/>
    </font>
    <font>
      <b/>
      <sz val="20"/>
      <color theme="0"/>
      <name val="Arial"/>
      <family val="2"/>
    </font>
    <font>
      <sz val="20"/>
      <color rgb="FF006100"/>
      <name val="Arial"/>
      <family val="2"/>
    </font>
    <font>
      <b/>
      <sz val="24"/>
      <color theme="0"/>
      <name val="Calibri"/>
      <family val="2"/>
      <scheme val="minor"/>
    </font>
    <font>
      <b/>
      <sz val="18"/>
      <color theme="0"/>
      <name val="Arial"/>
      <family val="2"/>
      <charset val="1"/>
    </font>
    <font>
      <b/>
      <sz val="20"/>
      <color theme="0"/>
      <name val="Arial"/>
      <family val="2"/>
      <charset val="1"/>
    </font>
    <font>
      <b/>
      <sz val="10"/>
      <color theme="0"/>
      <name val="Arial"/>
      <family val="2"/>
    </font>
    <font>
      <sz val="22"/>
      <color rgb="FF3F3F76"/>
      <name val="Arial"/>
      <family val="2"/>
    </font>
    <font>
      <sz val="20"/>
      <color rgb="FF3F3F76"/>
      <name val="Arial"/>
      <family val="2"/>
    </font>
    <font>
      <b/>
      <sz val="18"/>
      <color theme="0"/>
      <name val="Arial"/>
      <family val="2"/>
    </font>
    <font>
      <sz val="18"/>
      <name val="Arial"/>
      <family val="2"/>
    </font>
    <font>
      <sz val="18"/>
      <color rgb="FF000000"/>
      <name val="Arial"/>
      <family val="2"/>
      <charset val="1"/>
    </font>
    <font>
      <b/>
      <sz val="20"/>
      <color rgb="FF006100"/>
      <name val="Arial"/>
      <family val="2"/>
    </font>
    <font>
      <b/>
      <sz val="20"/>
      <color theme="1"/>
      <name val="Arial"/>
      <family val="2"/>
    </font>
    <font>
      <b/>
      <sz val="20"/>
      <color rgb="FF9C0006"/>
      <name val="Arial"/>
      <family val="2"/>
    </font>
    <font>
      <sz val="20"/>
      <color rgb="FF9C0006"/>
      <name val="Calibri"/>
      <family val="2"/>
      <scheme val="minor"/>
    </font>
    <font>
      <sz val="20"/>
      <color rgb="FF000000"/>
      <name val="Arial"/>
      <family val="2"/>
      <charset val="1"/>
    </font>
    <font>
      <sz val="20"/>
      <color theme="1"/>
      <name val="Arial"/>
      <family val="2"/>
      <charset val="1"/>
    </font>
    <font>
      <b/>
      <sz val="18"/>
      <name val="Arial"/>
      <family val="2"/>
    </font>
    <font>
      <sz val="11"/>
      <name val="Arial"/>
      <family val="2"/>
    </font>
    <font>
      <b/>
      <sz val="20"/>
      <color rgb="FF006100"/>
      <name val="Calibri"/>
      <family val="2"/>
      <scheme val="minor"/>
    </font>
    <font>
      <b/>
      <sz val="20"/>
      <color rgb="FF9C0006"/>
      <name val="Calibri"/>
      <family val="2"/>
      <scheme val="minor"/>
    </font>
    <font>
      <b/>
      <sz val="20"/>
      <color theme="1"/>
      <name val="Calibri"/>
      <family val="2"/>
      <scheme val="minor"/>
    </font>
    <font>
      <b/>
      <sz val="24"/>
      <name val="Arial"/>
      <family val="2"/>
    </font>
  </fonts>
  <fills count="24">
    <fill>
      <patternFill patternType="none"/>
    </fill>
    <fill>
      <patternFill patternType="gray125"/>
    </fill>
    <fill>
      <patternFill patternType="solid">
        <fgColor rgb="FFF0C419"/>
        <bgColor rgb="FFFFC000"/>
      </patternFill>
    </fill>
    <fill>
      <patternFill patternType="solid">
        <fgColor rgb="FF5B9BD5"/>
        <bgColor rgb="FF4472C4"/>
      </patternFill>
    </fill>
    <fill>
      <patternFill patternType="solid">
        <fgColor rgb="FFE2F3F7"/>
        <bgColor rgb="FFEBEEF2"/>
      </patternFill>
    </fill>
    <fill>
      <patternFill patternType="solid">
        <fgColor theme="6" tint="0.79979857783745845"/>
        <bgColor rgb="FFEBEEF2"/>
      </patternFill>
    </fill>
    <fill>
      <patternFill patternType="solid">
        <fgColor theme="8" tint="0.79979857783745845"/>
        <bgColor rgb="FFE2F3F7"/>
      </patternFill>
    </fill>
    <fill>
      <patternFill patternType="solid">
        <fgColor theme="4" tint="-0.249977111117893"/>
        <bgColor rgb="FF1B5092"/>
      </patternFill>
    </fill>
    <fill>
      <patternFill patternType="solid">
        <fgColor theme="7"/>
        <bgColor rgb="FFF0C419"/>
      </patternFill>
    </fill>
    <fill>
      <patternFill patternType="solid">
        <fgColor theme="0"/>
        <bgColor rgb="FFF2F2F2"/>
      </patternFill>
    </fill>
    <fill>
      <patternFill patternType="solid">
        <fgColor theme="9" tint="0.79979857783745845"/>
        <bgColor rgb="FFE7E6E6"/>
      </patternFill>
    </fill>
    <fill>
      <patternFill patternType="solid">
        <fgColor theme="3" tint="0.89989928891872917"/>
        <bgColor rgb="FFEDEDED"/>
      </patternFill>
    </fill>
    <fill>
      <patternFill patternType="solid">
        <fgColor theme="0"/>
        <bgColor indexed="64"/>
      </patternFill>
    </fill>
    <fill>
      <patternFill patternType="solid">
        <fgColor rgb="FFFFFF00"/>
        <bgColor rgb="FFF2F2F2"/>
      </patternFill>
    </fill>
    <fill>
      <patternFill patternType="solid">
        <fgColor rgb="FFC6EFCE"/>
      </patternFill>
    </fill>
    <fill>
      <patternFill patternType="solid">
        <fgColor rgb="FFFFC7CE"/>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4" tint="-0.249977111117893"/>
        <bgColor indexed="64"/>
      </patternFill>
    </fill>
    <fill>
      <patternFill patternType="solid">
        <fgColor theme="4" tint="-0.249977111117893"/>
        <bgColor rgb="FFF2F2F2"/>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medium">
        <color auto="1"/>
      </bottom>
      <diagonal/>
    </border>
    <border>
      <left style="thin">
        <color auto="1"/>
      </left>
      <right/>
      <top style="thin">
        <color auto="1"/>
      </top>
      <bottom style="thin">
        <color auto="1"/>
      </bottom>
      <diagonal/>
    </border>
    <border>
      <left style="thin">
        <color auto="1"/>
      </left>
      <right/>
      <top style="thin">
        <color auto="1"/>
      </top>
      <bottom/>
      <diagonal/>
    </border>
    <border>
      <left style="medium">
        <color auto="1"/>
      </left>
      <right style="medium">
        <color auto="1"/>
      </right>
      <top style="medium">
        <color auto="1"/>
      </top>
      <bottom style="medium">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11">
    <xf numFmtId="0" fontId="0" fillId="0" borderId="0"/>
    <xf numFmtId="0" fontId="3" fillId="0" borderId="0"/>
    <xf numFmtId="0" fontId="3" fillId="0" borderId="0"/>
    <xf numFmtId="0" fontId="45" fillId="14" borderId="0" applyNumberFormat="0" applyBorder="0" applyAlignment="0" applyProtection="0"/>
    <xf numFmtId="0" fontId="46" fillId="15" borderId="0" applyNumberFormat="0" applyBorder="0" applyAlignment="0" applyProtection="0"/>
    <xf numFmtId="0" fontId="47" fillId="16" borderId="7" applyNumberFormat="0" applyAlignment="0" applyProtection="0"/>
    <xf numFmtId="0" fontId="48" fillId="17" borderId="8" applyNumberFormat="0" applyAlignment="0" applyProtection="0"/>
    <xf numFmtId="0" fontId="44" fillId="18" borderId="9" applyNumberFormat="0" applyFont="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cellStyleXfs>
  <cellXfs count="189">
    <xf numFmtId="0" fontId="0" fillId="0" borderId="0" xfId="0"/>
    <xf numFmtId="0" fontId="4" fillId="0" borderId="0" xfId="0" applyFont="1"/>
    <xf numFmtId="49" fontId="5" fillId="0" borderId="0" xfId="0" applyNumberFormat="1" applyFont="1" applyAlignment="1">
      <alignment horizontal="right"/>
    </xf>
    <xf numFmtId="0" fontId="7" fillId="0" borderId="0" xfId="0" applyFont="1" applyAlignment="1">
      <alignment wrapText="1"/>
    </xf>
    <xf numFmtId="0" fontId="8" fillId="0" borderId="0" xfId="0" applyFont="1" applyAlignment="1">
      <alignment wrapText="1"/>
    </xf>
    <xf numFmtId="0" fontId="6" fillId="0" borderId="0" xfId="0" applyFont="1" applyAlignment="1">
      <alignment wrapText="1"/>
    </xf>
    <xf numFmtId="0" fontId="6" fillId="0" borderId="0" xfId="0" applyFont="1" applyAlignment="1">
      <alignment horizontal="center" wrapText="1"/>
    </xf>
    <xf numFmtId="0" fontId="8" fillId="0" borderId="0" xfId="0" applyFont="1" applyAlignment="1">
      <alignment horizontal="center" wrapText="1"/>
    </xf>
    <xf numFmtId="0" fontId="10" fillId="0" borderId="0" xfId="0" applyFont="1" applyAlignment="1">
      <alignment vertical="top" wrapText="1"/>
    </xf>
    <xf numFmtId="0" fontId="11" fillId="0" borderId="0" xfId="0" applyFont="1"/>
    <xf numFmtId="0" fontId="0" fillId="0" borderId="0" xfId="0" applyAlignment="1">
      <alignment vertical="top"/>
    </xf>
    <xf numFmtId="0" fontId="12" fillId="0" borderId="0" xfId="0" applyFont="1"/>
    <xf numFmtId="14" fontId="12" fillId="0" borderId="0" xfId="0" applyNumberFormat="1" applyFont="1" applyAlignment="1">
      <alignment horizontal="left"/>
    </xf>
    <xf numFmtId="49" fontId="12" fillId="0" borderId="0" xfId="0" applyNumberFormat="1" applyFont="1"/>
    <xf numFmtId="0" fontId="13" fillId="0" borderId="0" xfId="0" applyFont="1"/>
    <xf numFmtId="0" fontId="5" fillId="0" borderId="0" xfId="0" applyFont="1"/>
    <xf numFmtId="0" fontId="9" fillId="0" borderId="1" xfId="0" applyFont="1" applyBorder="1" applyAlignment="1">
      <alignment horizontal="center"/>
    </xf>
    <xf numFmtId="0" fontId="9" fillId="6" borderId="1" xfId="0" applyFont="1" applyFill="1" applyBorder="1" applyAlignment="1">
      <alignment horizontal="center"/>
    </xf>
    <xf numFmtId="0" fontId="14" fillId="7" borderId="1" xfId="0" applyFont="1" applyFill="1" applyBorder="1" applyAlignment="1">
      <alignment horizontal="center" wrapText="1"/>
    </xf>
    <xf numFmtId="0" fontId="9" fillId="8" borderId="1" xfId="0" applyFont="1" applyFill="1" applyBorder="1" applyAlignment="1">
      <alignment horizontal="center"/>
    </xf>
    <xf numFmtId="17" fontId="5" fillId="0" borderId="1" xfId="0" applyNumberFormat="1" applyFont="1" applyBorder="1" applyAlignment="1">
      <alignment horizontal="center" vertical="center"/>
    </xf>
    <xf numFmtId="0" fontId="5" fillId="6" borderId="1" xfId="0" applyFont="1" applyFill="1" applyBorder="1" applyAlignment="1">
      <alignment horizontal="center"/>
    </xf>
    <xf numFmtId="0" fontId="15" fillId="7" borderId="1" xfId="0" applyFont="1" applyFill="1" applyBorder="1" applyAlignment="1">
      <alignment horizontal="center"/>
    </xf>
    <xf numFmtId="0" fontId="5" fillId="8" borderId="1" xfId="0" applyFont="1" applyFill="1" applyBorder="1" applyAlignment="1">
      <alignment horizontal="center"/>
    </xf>
    <xf numFmtId="0" fontId="10" fillId="0" borderId="0" xfId="0" applyFont="1"/>
    <xf numFmtId="0" fontId="5" fillId="0" borderId="1" xfId="0" applyFont="1" applyBorder="1" applyAlignment="1">
      <alignment horizontal="center" vertical="center"/>
    </xf>
    <xf numFmtId="49" fontId="5" fillId="0" borderId="1" xfId="0" applyNumberFormat="1" applyFont="1" applyBorder="1" applyAlignment="1">
      <alignment horizontal="center" vertical="center"/>
    </xf>
    <xf numFmtId="0" fontId="5" fillId="6" borderId="2" xfId="0" applyFont="1" applyFill="1" applyBorder="1" applyAlignment="1">
      <alignment horizontal="center"/>
    </xf>
    <xf numFmtId="0" fontId="5" fillId="8" borderId="2" xfId="0" applyFont="1" applyFill="1" applyBorder="1" applyAlignment="1">
      <alignment horizontal="center"/>
    </xf>
    <xf numFmtId="0" fontId="16" fillId="6" borderId="1" xfId="0" applyFont="1" applyFill="1" applyBorder="1" applyAlignment="1">
      <alignment horizontal="center"/>
    </xf>
    <xf numFmtId="0" fontId="17" fillId="7" borderId="1" xfId="0" applyFont="1" applyFill="1" applyBorder="1" applyAlignment="1">
      <alignment horizontal="center"/>
    </xf>
    <xf numFmtId="49" fontId="9" fillId="9" borderId="1" xfId="0" applyNumberFormat="1" applyFont="1" applyFill="1" applyBorder="1" applyAlignment="1">
      <alignment horizontal="left"/>
    </xf>
    <xf numFmtId="0" fontId="11" fillId="8" borderId="1" xfId="0" applyFont="1" applyFill="1" applyBorder="1" applyAlignment="1">
      <alignment horizontal="center"/>
    </xf>
    <xf numFmtId="49" fontId="7" fillId="9" borderId="0" xfId="0" applyNumberFormat="1" applyFont="1" applyFill="1" applyAlignment="1">
      <alignment horizontal="center"/>
    </xf>
    <xf numFmtId="0" fontId="18" fillId="9" borderId="0" xfId="0" applyFont="1" applyFill="1" applyAlignment="1">
      <alignment horizontal="center"/>
    </xf>
    <xf numFmtId="0" fontId="13" fillId="9" borderId="0" xfId="0" applyFont="1" applyFill="1" applyAlignment="1">
      <alignment horizontal="center"/>
    </xf>
    <xf numFmtId="0" fontId="9" fillId="0" borderId="0" xfId="0" applyFont="1"/>
    <xf numFmtId="0" fontId="19" fillId="0" borderId="0" xfId="0" applyFont="1" applyAlignment="1">
      <alignment horizontal="left" vertical="center" readingOrder="1"/>
    </xf>
    <xf numFmtId="0" fontId="20" fillId="0" borderId="0" xfId="0" applyFont="1"/>
    <xf numFmtId="0" fontId="10" fillId="0" borderId="0" xfId="0" applyFont="1" applyAlignment="1">
      <alignment horizontal="left" vertical="center"/>
    </xf>
    <xf numFmtId="0" fontId="10" fillId="0" borderId="0" xfId="0" applyFont="1" applyAlignment="1">
      <alignment horizontal="left" vertical="center" indent="1"/>
    </xf>
    <xf numFmtId="0" fontId="0" fillId="9" borderId="1" xfId="0" applyFill="1" applyBorder="1" applyAlignment="1">
      <alignment vertical="top" wrapText="1"/>
    </xf>
    <xf numFmtId="0" fontId="0" fillId="9" borderId="1" xfId="0" applyFill="1" applyBorder="1" applyAlignment="1">
      <alignment horizontal="left" vertical="top" wrapText="1"/>
    </xf>
    <xf numFmtId="0" fontId="0" fillId="9" borderId="1" xfId="0" applyFill="1" applyBorder="1" applyAlignment="1">
      <alignment horizontal="center" vertical="top" wrapText="1"/>
    </xf>
    <xf numFmtId="0" fontId="0" fillId="9" borderId="1" xfId="0" applyFill="1" applyBorder="1" applyAlignment="1">
      <alignment horizontal="center" vertical="center" wrapText="1"/>
    </xf>
    <xf numFmtId="0" fontId="21" fillId="9" borderId="1" xfId="0" applyFont="1" applyFill="1" applyBorder="1" applyAlignment="1">
      <alignment horizontal="center" vertical="center" wrapText="1"/>
    </xf>
    <xf numFmtId="0" fontId="21" fillId="9" borderId="3" xfId="0" applyFont="1" applyFill="1" applyBorder="1" applyAlignment="1">
      <alignment horizontal="center" vertical="center" wrapText="1"/>
    </xf>
    <xf numFmtId="0" fontId="22"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14" fontId="10" fillId="9" borderId="1" xfId="0" applyNumberFormat="1" applyFont="1" applyFill="1" applyBorder="1" applyAlignment="1">
      <alignment horizontal="center" vertical="center" wrapText="1"/>
    </xf>
    <xf numFmtId="17" fontId="10" fillId="9" borderId="1" xfId="0" applyNumberFormat="1" applyFont="1" applyFill="1" applyBorder="1" applyAlignment="1">
      <alignment horizontal="center" vertical="center" wrapText="1"/>
    </xf>
    <xf numFmtId="0" fontId="10" fillId="9" borderId="1" xfId="0" applyFont="1" applyFill="1" applyBorder="1" applyAlignment="1">
      <alignment horizontal="left" vertical="center" wrapText="1"/>
    </xf>
    <xf numFmtId="0" fontId="10" fillId="9" borderId="1" xfId="0" applyFont="1" applyFill="1" applyBorder="1" applyAlignment="1">
      <alignment horizontal="center" vertical="center" wrapText="1"/>
    </xf>
    <xf numFmtId="0" fontId="24" fillId="9" borderId="1" xfId="0" applyFont="1" applyFill="1" applyBorder="1" applyAlignment="1">
      <alignment horizontal="center" vertical="center" wrapText="1"/>
    </xf>
    <xf numFmtId="0" fontId="25" fillId="9" borderId="1" xfId="0" applyFont="1" applyFill="1" applyBorder="1" applyAlignment="1">
      <alignment horizontal="center" vertical="center" wrapText="1"/>
    </xf>
    <xf numFmtId="0" fontId="10" fillId="9" borderId="1" xfId="0" applyFont="1" applyFill="1" applyBorder="1" applyAlignment="1">
      <alignment vertical="top" wrapText="1"/>
    </xf>
    <xf numFmtId="0" fontId="10" fillId="9" borderId="1" xfId="0" applyFont="1" applyFill="1" applyBorder="1" applyAlignment="1">
      <alignment horizontal="left" vertical="top" wrapText="1"/>
    </xf>
    <xf numFmtId="0" fontId="25" fillId="9" borderId="1" xfId="0" applyFont="1" applyFill="1" applyBorder="1" applyAlignment="1">
      <alignment horizontal="left" vertical="center" wrapText="1"/>
    </xf>
    <xf numFmtId="0" fontId="0" fillId="0" borderId="0" xfId="0" applyAlignment="1">
      <alignment horizontal="right" vertical="center"/>
    </xf>
    <xf numFmtId="14" fontId="0" fillId="9" borderId="1" xfId="0" applyNumberFormat="1" applyFill="1" applyBorder="1" applyAlignment="1">
      <alignment horizontal="center" vertical="center" wrapText="1"/>
    </xf>
    <xf numFmtId="0" fontId="10" fillId="9" borderId="1" xfId="0" applyFont="1" applyFill="1" applyBorder="1" applyAlignment="1">
      <alignment horizontal="center" vertical="center"/>
    </xf>
    <xf numFmtId="164" fontId="26" fillId="9" borderId="1" xfId="0" applyNumberFormat="1" applyFont="1" applyFill="1" applyBorder="1" applyAlignment="1">
      <alignment horizontal="center" vertical="center" wrapText="1"/>
    </xf>
    <xf numFmtId="0" fontId="26" fillId="9" borderId="1" xfId="0" applyFont="1" applyFill="1" applyBorder="1" applyAlignment="1">
      <alignment horizontal="center" vertical="center" wrapText="1"/>
    </xf>
    <xf numFmtId="0" fontId="10" fillId="9" borderId="1" xfId="0" applyFont="1" applyFill="1" applyBorder="1" applyAlignment="1">
      <alignment vertical="center" wrapText="1"/>
    </xf>
    <xf numFmtId="0" fontId="0" fillId="9" borderId="1" xfId="0" applyFill="1" applyBorder="1" applyAlignment="1">
      <alignment horizontal="center" vertical="center"/>
    </xf>
    <xf numFmtId="0" fontId="10" fillId="9" borderId="1" xfId="0" applyFont="1" applyFill="1" applyBorder="1" applyAlignment="1">
      <alignment horizontal="right" vertical="center" wrapText="1"/>
    </xf>
    <xf numFmtId="0" fontId="27" fillId="9" borderId="1" xfId="0" applyFont="1" applyFill="1" applyBorder="1" applyAlignment="1">
      <alignment horizontal="center" vertical="center" wrapText="1"/>
    </xf>
    <xf numFmtId="0" fontId="28" fillId="9" borderId="1" xfId="0" applyFont="1" applyFill="1" applyBorder="1" applyAlignment="1">
      <alignment horizontal="left" vertical="top" wrapText="1"/>
    </xf>
    <xf numFmtId="0" fontId="29" fillId="9" borderId="1" xfId="0" applyFont="1" applyFill="1" applyBorder="1" applyAlignment="1">
      <alignment horizontal="center" vertical="center"/>
    </xf>
    <xf numFmtId="0" fontId="29" fillId="9" borderId="1" xfId="0" applyFont="1" applyFill="1" applyBorder="1" applyAlignment="1">
      <alignment horizontal="center" vertical="center" wrapText="1"/>
    </xf>
    <xf numFmtId="0" fontId="29" fillId="9" borderId="1" xfId="0" applyFont="1" applyFill="1" applyBorder="1" applyAlignment="1">
      <alignment vertical="center" wrapText="1"/>
    </xf>
    <xf numFmtId="14" fontId="26" fillId="9" borderId="1" xfId="0" applyNumberFormat="1" applyFont="1" applyFill="1" applyBorder="1" applyAlignment="1">
      <alignment horizontal="center" vertical="center" wrapText="1"/>
    </xf>
    <xf numFmtId="0" fontId="24" fillId="9" borderId="1" xfId="0" applyFont="1" applyFill="1" applyBorder="1" applyAlignment="1">
      <alignment horizontal="center" vertical="center"/>
    </xf>
    <xf numFmtId="0" fontId="24" fillId="9" borderId="1" xfId="0" applyFont="1" applyFill="1" applyBorder="1" applyAlignment="1">
      <alignment horizontal="left" vertical="center" wrapText="1" indent="1"/>
    </xf>
    <xf numFmtId="0" fontId="24" fillId="9" borderId="1" xfId="0" applyFont="1" applyFill="1" applyBorder="1" applyAlignment="1">
      <alignment horizontal="center" vertical="center" wrapText="1" indent="1"/>
    </xf>
    <xf numFmtId="0" fontId="10" fillId="9" borderId="0" xfId="0" applyFont="1" applyFill="1" applyAlignment="1">
      <alignment horizontal="center" vertical="center" wrapText="1"/>
    </xf>
    <xf numFmtId="0" fontId="10" fillId="9" borderId="4" xfId="0" applyFont="1" applyFill="1" applyBorder="1" applyAlignment="1">
      <alignment horizontal="center" vertical="center" wrapText="1"/>
    </xf>
    <xf numFmtId="0" fontId="30" fillId="9" borderId="1" xfId="0" applyFont="1" applyFill="1" applyBorder="1" applyAlignment="1">
      <alignment horizontal="center" vertical="center" wrapText="1"/>
    </xf>
    <xf numFmtId="0" fontId="31" fillId="9" borderId="1" xfId="0" applyFont="1" applyFill="1" applyBorder="1" applyAlignment="1">
      <alignment horizontal="left" vertical="center" wrapText="1" indent="1"/>
    </xf>
    <xf numFmtId="0" fontId="0" fillId="9" borderId="0" xfId="0" applyFill="1" applyAlignment="1">
      <alignment horizontal="center" vertical="center" wrapText="1"/>
    </xf>
    <xf numFmtId="14" fontId="10" fillId="9" borderId="2" xfId="0" applyNumberFormat="1" applyFont="1" applyFill="1" applyBorder="1" applyAlignment="1">
      <alignment horizontal="center" vertical="center" wrapText="1"/>
    </xf>
    <xf numFmtId="17" fontId="10" fillId="9" borderId="2" xfId="0" applyNumberFormat="1" applyFont="1" applyFill="1" applyBorder="1" applyAlignment="1">
      <alignment horizontal="center" vertical="center" wrapText="1"/>
    </xf>
    <xf numFmtId="0" fontId="10" fillId="9" borderId="2" xfId="0" applyFont="1" applyFill="1" applyBorder="1" applyAlignment="1">
      <alignment horizontal="left" vertical="top" wrapText="1"/>
    </xf>
    <xf numFmtId="0" fontId="10" fillId="9" borderId="2" xfId="0" applyFont="1" applyFill="1" applyBorder="1" applyAlignment="1">
      <alignment horizontal="center" vertical="center" wrapText="1"/>
    </xf>
    <xf numFmtId="0" fontId="10" fillId="9" borderId="5" xfId="0" applyFont="1" applyFill="1" applyBorder="1" applyAlignment="1">
      <alignment horizontal="center" vertical="center" wrapText="1"/>
    </xf>
    <xf numFmtId="0" fontId="32" fillId="9" borderId="1" xfId="0" applyFont="1" applyFill="1" applyBorder="1" applyAlignment="1">
      <alignment horizontal="left" vertical="top" wrapText="1"/>
    </xf>
    <xf numFmtId="0" fontId="0" fillId="9" borderId="1" xfId="0" applyFill="1" applyBorder="1" applyAlignment="1">
      <alignment vertical="center" wrapText="1"/>
    </xf>
    <xf numFmtId="49" fontId="10" fillId="9" borderId="1" xfId="0" applyNumberFormat="1" applyFont="1" applyFill="1" applyBorder="1" applyAlignment="1">
      <alignment horizontal="center" vertical="center" wrapText="1"/>
    </xf>
    <xf numFmtId="0" fontId="0" fillId="9" borderId="2" xfId="0" applyFill="1" applyBorder="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xf>
    <xf numFmtId="0" fontId="9" fillId="0" borderId="0" xfId="0" applyFont="1" applyAlignment="1">
      <alignment horizontal="left" vertical="top"/>
    </xf>
    <xf numFmtId="0" fontId="33" fillId="0" borderId="0" xfId="0" applyFont="1"/>
    <xf numFmtId="0" fontId="34" fillId="0" borderId="0" xfId="0" applyFont="1"/>
    <xf numFmtId="0" fontId="35" fillId="0" borderId="0" xfId="0" applyFont="1"/>
    <xf numFmtId="0" fontId="36" fillId="0" borderId="0" xfId="0" applyFont="1" applyAlignment="1">
      <alignment vertical="center" wrapText="1"/>
    </xf>
    <xf numFmtId="0" fontId="14" fillId="7" borderId="1" xfId="0" applyFont="1" applyFill="1" applyBorder="1" applyAlignment="1">
      <alignment horizontal="center"/>
    </xf>
    <xf numFmtId="0" fontId="38" fillId="10" borderId="6" xfId="0" applyFont="1" applyFill="1" applyBorder="1" applyAlignment="1">
      <alignment vertical="center"/>
    </xf>
    <xf numFmtId="0" fontId="20" fillId="0" borderId="0" xfId="0" applyFont="1" applyAlignment="1">
      <alignment wrapText="1"/>
    </xf>
    <xf numFmtId="0" fontId="0" fillId="0" borderId="0" xfId="0" applyAlignment="1">
      <alignment horizontal="left"/>
    </xf>
    <xf numFmtId="0" fontId="10" fillId="0" borderId="0" xfId="0" applyFont="1" applyAlignment="1">
      <alignment horizontal="left"/>
    </xf>
    <xf numFmtId="0" fontId="37" fillId="11" borderId="0" xfId="0" applyFont="1" applyFill="1" applyAlignment="1">
      <alignment horizontal="center"/>
    </xf>
    <xf numFmtId="0" fontId="10" fillId="0" borderId="0" xfId="0" applyFont="1" applyAlignment="1">
      <alignment wrapText="1"/>
    </xf>
    <xf numFmtId="0" fontId="37" fillId="11" borderId="0" xfId="0" applyFont="1" applyFill="1" applyAlignment="1">
      <alignment horizontal="center" wrapText="1"/>
    </xf>
    <xf numFmtId="0" fontId="0" fillId="11" borderId="0" xfId="0" applyFill="1"/>
    <xf numFmtId="17" fontId="10" fillId="0" borderId="0" xfId="0" applyNumberFormat="1" applyFont="1"/>
    <xf numFmtId="0" fontId="10" fillId="10" borderId="0" xfId="0" applyFont="1" applyFill="1"/>
    <xf numFmtId="0" fontId="10" fillId="10" borderId="1" xfId="0" applyFont="1" applyFill="1" applyBorder="1"/>
    <xf numFmtId="0" fontId="10" fillId="9" borderId="1" xfId="0" applyFont="1" applyFill="1" applyBorder="1"/>
    <xf numFmtId="49" fontId="10" fillId="0" borderId="0" xfId="0" applyNumberFormat="1" applyFont="1"/>
    <xf numFmtId="0" fontId="2" fillId="0" borderId="0" xfId="0" applyFont="1"/>
    <xf numFmtId="0" fontId="2" fillId="9" borderId="1" xfId="0" applyFont="1" applyFill="1" applyBorder="1" applyAlignment="1">
      <alignment vertical="top" wrapText="1"/>
    </xf>
    <xf numFmtId="0" fontId="39" fillId="9"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9" borderId="1" xfId="0" applyFont="1" applyFill="1" applyBorder="1" applyAlignment="1">
      <alignment horizontal="left" vertical="top" wrapText="1"/>
    </xf>
    <xf numFmtId="14" fontId="0" fillId="9" borderId="2" xfId="0" applyNumberFormat="1" applyFill="1" applyBorder="1" applyAlignment="1">
      <alignment horizontal="center" vertical="center" wrapText="1"/>
    </xf>
    <xf numFmtId="0" fontId="2" fillId="9" borderId="2" xfId="0" applyFont="1" applyFill="1" applyBorder="1" applyAlignment="1">
      <alignment horizontal="left" vertical="top" wrapText="1"/>
    </xf>
    <xf numFmtId="0" fontId="2" fillId="9" borderId="2" xfId="0" applyFont="1" applyFill="1" applyBorder="1" applyAlignment="1">
      <alignment horizontal="center" vertical="center" wrapText="1"/>
    </xf>
    <xf numFmtId="0" fontId="2" fillId="0" borderId="0" xfId="0" applyFont="1" applyAlignment="1">
      <alignment horizontal="center" vertical="center" wrapText="1"/>
    </xf>
    <xf numFmtId="0" fontId="2" fillId="9" borderId="2" xfId="0" applyFont="1" applyFill="1" applyBorder="1" applyAlignment="1">
      <alignment vertical="center" wrapText="1"/>
    </xf>
    <xf numFmtId="14" fontId="2" fillId="9" borderId="2" xfId="0" applyNumberFormat="1" applyFont="1" applyFill="1" applyBorder="1" applyAlignment="1">
      <alignment horizontal="center" vertical="center" wrapText="1"/>
    </xf>
    <xf numFmtId="0" fontId="2" fillId="12" borderId="0" xfId="0" applyFont="1" applyFill="1" applyAlignment="1">
      <alignment horizontal="center" vertical="center" wrapText="1"/>
    </xf>
    <xf numFmtId="0" fontId="42" fillId="0" borderId="0" xfId="0" applyFont="1"/>
    <xf numFmtId="14" fontId="10" fillId="13" borderId="1" xfId="0" applyNumberFormat="1" applyFont="1" applyFill="1" applyBorder="1" applyAlignment="1">
      <alignment horizontal="center" vertical="center" wrapText="1"/>
    </xf>
    <xf numFmtId="17" fontId="10" fillId="13" borderId="1" xfId="0" applyNumberFormat="1" applyFont="1" applyFill="1" applyBorder="1" applyAlignment="1">
      <alignment horizontal="center" vertical="center" wrapText="1"/>
    </xf>
    <xf numFmtId="0" fontId="10" fillId="13" borderId="1" xfId="0" applyFont="1" applyFill="1" applyBorder="1" applyAlignment="1">
      <alignment horizontal="left" vertical="center" wrapText="1"/>
    </xf>
    <xf numFmtId="0" fontId="10" fillId="13" borderId="1" xfId="0" applyFont="1" applyFill="1" applyBorder="1" applyAlignment="1">
      <alignment horizontal="center" vertical="center" wrapText="1"/>
    </xf>
    <xf numFmtId="0" fontId="0" fillId="13" borderId="1" xfId="0" applyFill="1" applyBorder="1" applyAlignment="1">
      <alignment horizontal="center" vertical="center" wrapText="1"/>
    </xf>
    <xf numFmtId="0" fontId="2" fillId="13" borderId="1" xfId="0" applyFont="1" applyFill="1" applyBorder="1" applyAlignment="1">
      <alignment horizontal="center" vertical="center" wrapText="1"/>
    </xf>
    <xf numFmtId="0" fontId="0" fillId="13" borderId="1" xfId="0" applyFill="1" applyBorder="1" applyAlignment="1">
      <alignment vertical="top" wrapText="1"/>
    </xf>
    <xf numFmtId="0" fontId="10" fillId="13" borderId="1" xfId="0" applyFont="1" applyFill="1" applyBorder="1" applyAlignment="1">
      <alignment horizontal="left" vertical="top" wrapText="1"/>
    </xf>
    <xf numFmtId="0" fontId="26" fillId="13" borderId="2" xfId="0" applyFont="1" applyFill="1" applyBorder="1" applyAlignment="1">
      <alignment horizontal="center" vertical="center" wrapText="1"/>
    </xf>
    <xf numFmtId="0" fontId="10" fillId="13" borderId="4" xfId="0" applyFont="1" applyFill="1" applyBorder="1" applyAlignment="1">
      <alignment horizontal="center" vertical="center" wrapText="1"/>
    </xf>
    <xf numFmtId="0" fontId="0" fillId="13" borderId="1" xfId="0" applyFill="1" applyBorder="1" applyAlignment="1">
      <alignment vertical="center" wrapText="1"/>
    </xf>
    <xf numFmtId="0" fontId="49" fillId="14" borderId="1" xfId="3" applyFont="1" applyBorder="1" applyAlignment="1">
      <alignment horizontal="center"/>
    </xf>
    <xf numFmtId="0" fontId="50" fillId="18" borderId="9" xfId="7" applyFont="1" applyAlignment="1">
      <alignment horizontal="center"/>
    </xf>
    <xf numFmtId="0" fontId="52" fillId="0" borderId="0" xfId="0" applyFont="1"/>
    <xf numFmtId="0" fontId="50" fillId="19" borderId="6" xfId="8" applyFont="1" applyBorder="1" applyAlignment="1">
      <alignment vertical="center"/>
    </xf>
    <xf numFmtId="0" fontId="54" fillId="7" borderId="1" xfId="0" applyFont="1" applyFill="1" applyBorder="1" applyAlignment="1">
      <alignment horizontal="center"/>
    </xf>
    <xf numFmtId="0" fontId="55" fillId="14" borderId="6" xfId="3" applyFont="1" applyBorder="1" applyAlignment="1">
      <alignment vertical="center"/>
    </xf>
    <xf numFmtId="0" fontId="55" fillId="14" borderId="1" xfId="3" applyFont="1" applyBorder="1" applyAlignment="1">
      <alignment horizontal="center"/>
    </xf>
    <xf numFmtId="0" fontId="56" fillId="17" borderId="8" xfId="6" applyFont="1"/>
    <xf numFmtId="0" fontId="56" fillId="22" borderId="8" xfId="6" applyFont="1" applyFill="1" applyAlignment="1">
      <alignment horizontal="center" vertical="center"/>
    </xf>
    <xf numFmtId="0" fontId="54" fillId="22" borderId="0" xfId="8" applyFont="1" applyFill="1" applyAlignment="1">
      <alignment horizontal="center" vertical="center"/>
    </xf>
    <xf numFmtId="0" fontId="54" fillId="23" borderId="0" xfId="0" applyFont="1" applyFill="1" applyAlignment="1">
      <alignment horizontal="center" vertical="center"/>
    </xf>
    <xf numFmtId="0" fontId="57" fillId="7" borderId="1" xfId="0" applyFont="1" applyFill="1" applyBorder="1" applyAlignment="1">
      <alignment horizontal="center"/>
    </xf>
    <xf numFmtId="0" fontId="58" fillId="7" borderId="1" xfId="0" applyFont="1" applyFill="1" applyBorder="1" applyAlignment="1">
      <alignment horizontal="center"/>
    </xf>
    <xf numFmtId="0" fontId="0" fillId="22" borderId="0" xfId="0" applyFill="1"/>
    <xf numFmtId="0" fontId="59" fillId="22" borderId="0" xfId="0" applyFont="1" applyFill="1"/>
    <xf numFmtId="0" fontId="54" fillId="22" borderId="1" xfId="8" applyFont="1" applyFill="1" applyBorder="1" applyAlignment="1">
      <alignment horizontal="center"/>
    </xf>
    <xf numFmtId="0" fontId="61" fillId="16" borderId="7" xfId="5" applyFont="1" applyAlignment="1">
      <alignment vertical="center"/>
    </xf>
    <xf numFmtId="0" fontId="61" fillId="16" borderId="7" xfId="5" applyFont="1" applyAlignment="1">
      <alignment horizontal="center"/>
    </xf>
    <xf numFmtId="0" fontId="62" fillId="7" borderId="1" xfId="0" applyFont="1" applyFill="1" applyBorder="1" applyAlignment="1">
      <alignment horizontal="center"/>
    </xf>
    <xf numFmtId="0" fontId="63" fillId="0" borderId="0" xfId="0" applyFont="1"/>
    <xf numFmtId="0" fontId="50" fillId="19" borderId="1" xfId="8" applyFont="1" applyBorder="1" applyAlignment="1">
      <alignment horizontal="center"/>
    </xf>
    <xf numFmtId="0" fontId="60" fillId="18" borderId="9" xfId="7" applyFont="1" applyAlignment="1">
      <alignment vertical="center"/>
    </xf>
    <xf numFmtId="0" fontId="64" fillId="10" borderId="6" xfId="0" applyFont="1" applyFill="1" applyBorder="1" applyAlignment="1">
      <alignment vertical="center"/>
    </xf>
    <xf numFmtId="49" fontId="65" fillId="14" borderId="1" xfId="3" applyNumberFormat="1" applyFont="1" applyBorder="1" applyAlignment="1">
      <alignment horizontal="center" vertical="center"/>
    </xf>
    <xf numFmtId="0" fontId="65" fillId="14" borderId="1" xfId="3" applyFont="1" applyBorder="1" applyAlignment="1">
      <alignment horizontal="center"/>
    </xf>
    <xf numFmtId="0" fontId="65" fillId="14" borderId="2" xfId="3" applyFont="1" applyBorder="1" applyAlignment="1">
      <alignment horizontal="center"/>
    </xf>
    <xf numFmtId="49" fontId="51" fillId="18" borderId="9" xfId="7" applyNumberFormat="1" applyFont="1" applyAlignment="1">
      <alignment horizontal="center" vertical="center"/>
    </xf>
    <xf numFmtId="0" fontId="51" fillId="18" borderId="9" xfId="7" applyFont="1" applyAlignment="1">
      <alignment horizontal="center"/>
    </xf>
    <xf numFmtId="0" fontId="66" fillId="18" borderId="9" xfId="7" applyFont="1" applyAlignment="1">
      <alignment horizontal="center"/>
    </xf>
    <xf numFmtId="49" fontId="67" fillId="15" borderId="1" xfId="4" applyNumberFormat="1" applyFont="1" applyBorder="1" applyAlignment="1">
      <alignment horizontal="center" vertical="center"/>
    </xf>
    <xf numFmtId="0" fontId="67" fillId="15" borderId="1" xfId="4" applyFont="1" applyBorder="1" applyAlignment="1">
      <alignment horizontal="center"/>
    </xf>
    <xf numFmtId="0" fontId="67" fillId="15" borderId="2" xfId="4" applyFont="1" applyBorder="1" applyAlignment="1">
      <alignment horizontal="center"/>
    </xf>
    <xf numFmtId="0" fontId="53" fillId="21" borderId="1" xfId="10" applyFont="1" applyBorder="1" applyAlignment="1">
      <alignment horizontal="center"/>
    </xf>
    <xf numFmtId="0" fontId="50" fillId="20" borderId="1" xfId="9" applyFont="1" applyBorder="1" applyAlignment="1">
      <alignment horizontal="center"/>
    </xf>
    <xf numFmtId="0" fontId="68" fillId="15" borderId="1" xfId="4" applyFont="1" applyBorder="1" applyAlignment="1">
      <alignment horizontal="center"/>
    </xf>
    <xf numFmtId="0" fontId="69" fillId="18" borderId="9" xfId="7" applyFont="1" applyAlignment="1">
      <alignment vertical="center"/>
    </xf>
    <xf numFmtId="0" fontId="70" fillId="18" borderId="9" xfId="7" applyFont="1" applyAlignment="1">
      <alignment horizontal="center"/>
    </xf>
    <xf numFmtId="0" fontId="71" fillId="0" borderId="0" xfId="0" applyFont="1"/>
    <xf numFmtId="0" fontId="72" fillId="9" borderId="1" xfId="0" applyFont="1" applyFill="1" applyBorder="1" applyAlignment="1">
      <alignment horizontal="left" vertical="top" wrapText="1"/>
    </xf>
    <xf numFmtId="14" fontId="6" fillId="9" borderId="1" xfId="0" applyNumberFormat="1" applyFont="1" applyFill="1" applyBorder="1" applyAlignment="1">
      <alignment horizontal="center" vertical="center" wrapText="1"/>
    </xf>
    <xf numFmtId="0" fontId="73" fillId="14" borderId="6" xfId="3" applyFont="1" applyBorder="1" applyAlignment="1">
      <alignment vertical="center"/>
    </xf>
    <xf numFmtId="0" fontId="74" fillId="15" borderId="6" xfId="4" applyFont="1" applyBorder="1" applyAlignment="1">
      <alignment vertical="center"/>
    </xf>
    <xf numFmtId="0" fontId="66" fillId="20" borderId="6" xfId="9" applyFont="1" applyBorder="1" applyAlignment="1">
      <alignment vertical="center"/>
    </xf>
    <xf numFmtId="0" fontId="75" fillId="21" borderId="6" xfId="10" applyFont="1" applyBorder="1" applyAlignment="1">
      <alignment vertical="center"/>
    </xf>
    <xf numFmtId="0" fontId="63" fillId="22" borderId="0" xfId="0" applyFont="1" applyFill="1"/>
    <xf numFmtId="0" fontId="51" fillId="0" borderId="0" xfId="0" applyFont="1"/>
    <xf numFmtId="0" fontId="76" fillId="0" borderId="0" xfId="0" applyFont="1"/>
    <xf numFmtId="0" fontId="9" fillId="4" borderId="1" xfId="0" applyFont="1" applyFill="1" applyBorder="1" applyAlignment="1">
      <alignment horizontal="left" wrapText="1"/>
    </xf>
    <xf numFmtId="0" fontId="6" fillId="0" borderId="1" xfId="0" applyFont="1" applyBorder="1" applyAlignment="1">
      <alignment horizontal="left" vertical="top" wrapText="1"/>
    </xf>
    <xf numFmtId="0" fontId="9" fillId="5" borderId="1" xfId="0" applyFont="1" applyFill="1" applyBorder="1" applyAlignment="1">
      <alignment horizontal="left" wrapText="1"/>
    </xf>
    <xf numFmtId="0" fontId="6" fillId="0" borderId="1" xfId="0" applyFont="1" applyBorder="1" applyAlignment="1">
      <alignment horizontal="left" vertical="center" wrapText="1"/>
    </xf>
    <xf numFmtId="0" fontId="9" fillId="2" borderId="1" xfId="0" applyFont="1" applyFill="1" applyBorder="1" applyAlignment="1">
      <alignment horizontal="left" wrapText="1"/>
    </xf>
    <xf numFmtId="0" fontId="9" fillId="3" borderId="1" xfId="0" applyFont="1" applyFill="1" applyBorder="1" applyAlignment="1">
      <alignment horizontal="left" wrapText="1"/>
    </xf>
    <xf numFmtId="0" fontId="12" fillId="0" borderId="0" xfId="0" applyFont="1" applyAlignment="1">
      <alignment horizontal="center"/>
    </xf>
    <xf numFmtId="0" fontId="11" fillId="0" borderId="0" xfId="0" applyFont="1" applyAlignment="1">
      <alignment horizontal="left"/>
    </xf>
  </cellXfs>
  <cellStyles count="11">
    <cellStyle name="20% - Accent1" xfId="8" builtinId="30"/>
    <cellStyle name="20% - Accent4" xfId="10" builtinId="42"/>
    <cellStyle name="40% - Accent3" xfId="9" builtinId="39"/>
    <cellStyle name="Bad" xfId="4" builtinId="27"/>
    <cellStyle name="Check Cell" xfId="6" builtinId="23"/>
    <cellStyle name="Good" xfId="3" builtinId="26"/>
    <cellStyle name="Input" xfId="5" builtinId="20"/>
    <cellStyle name="Normal" xfId="0" builtinId="0"/>
    <cellStyle name="Normal 2" xfId="1" xr:uid="{00000000-0005-0000-0000-000006000000}"/>
    <cellStyle name="Normal 3" xfId="2" xr:uid="{00000000-0005-0000-0000-000007000000}"/>
    <cellStyle name="Note" xfId="7" builtinId="10"/>
  </cellStyles>
  <dxfs count="10">
    <dxf>
      <font>
        <b/>
        <i val="0"/>
        <strike val="0"/>
        <condense val="0"/>
        <extend val="0"/>
        <outline val="0"/>
        <shadow val="0"/>
        <u val="none"/>
        <vertAlign val="baseline"/>
        <sz val="12"/>
        <color auto="1"/>
        <name val="Arial"/>
        <family val="2"/>
        <scheme val="none"/>
      </font>
      <fill>
        <patternFill patternType="solid">
          <fgColor rgb="FFF2F2F2"/>
          <bgColor theme="0"/>
        </patternFill>
      </fill>
      <alignment horizontal="center" vertical="center" textRotation="0" wrapText="0" indent="0" justifyLastLine="0" shrinkToFit="0" readingOrder="0"/>
    </dxf>
    <dxf>
      <font>
        <strike val="0"/>
        <outline val="0"/>
        <shadow val="0"/>
        <u val="none"/>
        <vertAlign val="baseline"/>
        <sz val="20"/>
        <name val="Arial"/>
        <scheme val="none"/>
      </font>
    </dxf>
    <dxf>
      <font>
        <b/>
        <i val="0"/>
        <strike val="0"/>
        <condense val="0"/>
        <extend val="0"/>
        <outline val="0"/>
        <shadow val="0"/>
        <u val="none"/>
        <vertAlign val="baseline"/>
        <sz val="12"/>
        <color auto="1"/>
        <name val="Arial"/>
        <family val="2"/>
        <scheme val="none"/>
      </font>
      <fill>
        <patternFill patternType="solid">
          <fgColor rgb="FFF2F2F2"/>
          <bgColor theme="0"/>
        </patternFill>
      </fill>
      <alignment horizontal="center" vertical="bottom" textRotation="0" wrapText="0" indent="0" justifyLastLine="0" shrinkToFit="0" readingOrder="0"/>
    </dxf>
    <dxf>
      <font>
        <strike val="0"/>
        <outline val="0"/>
        <shadow val="0"/>
        <u val="none"/>
        <vertAlign val="baseline"/>
        <sz val="20"/>
        <name val="Arial"/>
        <scheme val="none"/>
      </font>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dxf>
    <dxf>
      <font>
        <strike val="0"/>
        <outline val="0"/>
        <shadow val="0"/>
        <u val="none"/>
        <vertAlign val="baseline"/>
        <sz val="20"/>
        <name val="Arial"/>
        <scheme val="none"/>
      </font>
    </dxf>
    <dxf>
      <font>
        <strike val="0"/>
        <outline val="0"/>
        <shadow val="0"/>
        <u val="none"/>
        <vertAlign val="baseline"/>
        <name val="Arial"/>
        <family val="2"/>
        <scheme val="none"/>
      </font>
    </dxf>
    <dxf>
      <fill>
        <patternFill patternType="solid">
          <fgColor rgb="FFF2F2F2"/>
          <bgColor theme="0"/>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center" vertical="center" textRotation="0" wrapText="1" indent="0" justifyLastLine="0" shrinkToFit="0" readingOrder="0"/>
      <border outline="0">
        <right style="thin">
          <color auto="1"/>
        </right>
      </border>
    </dxf>
    <dxf>
      <border outline="0">
        <right style="thin">
          <color auto="1"/>
        </right>
      </border>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CC6600"/>
      <rgbColor rgb="FF800080"/>
      <rgbColor rgb="FF2E75B6"/>
      <rgbColor rgb="FFC9C9C9"/>
      <rgbColor rgb="FF7C7C7C"/>
      <rgbColor rgb="FF5B9BD5"/>
      <rgbColor rgb="FF993366"/>
      <rgbColor rgb="FFF2F2F2"/>
      <rgbColor rgb="FFE2F3F7"/>
      <rgbColor rgb="FF660066"/>
      <rgbColor rgb="FFDAE3F3"/>
      <rgbColor rgb="FF0070C0"/>
      <rgbColor rgb="FFD6DCE5"/>
      <rgbColor rgb="FF000080"/>
      <rgbColor rgb="FFFF00FF"/>
      <rgbColor rgb="FFE7E6E6"/>
      <rgbColor rgb="FF00FFFF"/>
      <rgbColor rgb="FF800080"/>
      <rgbColor rgb="FF800000"/>
      <rgbColor rgb="FF008080"/>
      <rgbColor rgb="FF0000FF"/>
      <rgbColor rgb="FF00CCFF"/>
      <rgbColor rgb="FFDEEBF7"/>
      <rgbColor rgb="FFE2F0D9"/>
      <rgbColor rgb="FFEDEDED"/>
      <rgbColor rgb="FF9DC3E6"/>
      <rgbColor rgb="FFDBDBDB"/>
      <rgbColor rgb="FFD9D9D9"/>
      <rgbColor rgb="FFFBE5D6"/>
      <rgbColor rgb="FF4472C4"/>
      <rgbColor rgb="FF33CCCC"/>
      <rgbColor rgb="FFEBEEF2"/>
      <rgbColor rgb="FFFFC000"/>
      <rgbColor rgb="FFF0C419"/>
      <rgbColor rgb="FFED7D31"/>
      <rgbColor rgb="FF5B6472"/>
      <rgbColor rgb="FF767171"/>
      <rgbColor rgb="FF2F5597"/>
      <rgbColor rgb="FF339966"/>
      <rgbColor rgb="FF111112"/>
      <rgbColor rgb="FF333300"/>
      <rgbColor rgb="FFC55A11"/>
      <rgbColor rgb="FF993366"/>
      <rgbColor rgb="FF1B5092"/>
      <rgbColor rgb="FF27251E"/>
      <rgbColor rgb="00003366"/>
      <rgbColor rgb="00339966"/>
      <rgbColor rgb="00003300"/>
      <rgbColor rgb="00333300"/>
      <rgbColor rgb="00993300"/>
      <rgbColor rgb="00993366"/>
      <rgbColor rgb="00333399"/>
      <rgbColor rgb="00333333"/>
    </indexedColors>
    <mruColors>
      <color rgb="FF000000"/>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manualLayout>
          <c:layoutTarget val="inner"/>
          <c:xMode val="edge"/>
          <c:yMode val="edge"/>
          <c:x val="0.29830795262267346"/>
          <c:y val="9.5376330627334596E-2"/>
          <c:w val="0.66"/>
          <c:h val="0.84"/>
        </c:manualLayout>
      </c:layout>
      <c:barChart>
        <c:barDir val="bar"/>
        <c:grouping val="stacked"/>
        <c:varyColors val="0"/>
        <c:ser>
          <c:idx val="0"/>
          <c:order val="0"/>
          <c:tx>
            <c:strRef>
              <c:f>Tables!$B$68</c:f>
              <c:strCache>
                <c:ptCount val="1"/>
                <c:pt idx="0">
                  <c:v>January 2025 - August 2026</c:v>
                </c:pt>
              </c:strCache>
            </c:strRef>
          </c:tx>
          <c:spPr>
            <a:solidFill>
              <a:srgbClr val="9FB3C8"/>
            </a:solidFill>
            <a:ln w="6350">
              <a:solidFill>
                <a:srgbClr val="FFFFFF"/>
              </a:solidFill>
            </a:ln>
          </c:spPr>
          <c:invertIfNegative val="0"/>
          <c:dLbls>
            <c:numFmt formatCode="0;;;" sourceLinked="0"/>
            <c:spPr>
              <a:noFill/>
              <a:ln>
                <a:noFill/>
              </a:ln>
            </c:spPr>
            <c:txPr>
              <a:bodyPr/>
              <a:lstStyle/>
              <a:p>
                <a:pPr>
                  <a:defRPr sz="1100" b="0">
                    <a:solidFill>
                      <a:srgbClr val="262626"/>
                    </a:solidFill>
                    <a:latin typeface="Arial"/>
                    <a:cs typeface="Aria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Tables!$A$69:$A$91</c:f>
              <c:strCache>
                <c:ptCount val="23"/>
                <c:pt idx="0">
                  <c:v>Piping/Casing</c:v>
                </c:pt>
                <c:pt idx="1">
                  <c:v>Supply Container</c:v>
                </c:pt>
                <c:pt idx="2">
                  <c:v>Heavy Equipment</c:v>
                </c:pt>
                <c:pt idx="3">
                  <c:v>Living Quarters/Skids</c:v>
                </c:pt>
                <c:pt idx="4">
                  <c:v>Personnel Basket</c:v>
                </c:pt>
                <c:pt idx="5">
                  <c:v>Tank</c:v>
                </c:pt>
                <c:pt idx="6">
                  <c:v>Other</c:v>
                </c:pt>
                <c:pt idx="7">
                  <c:v>No Load</c:v>
                </c:pt>
                <c:pt idx="8">
                  <c:v>Hose / Fluid Transfer Equipment</c:v>
                </c:pt>
                <c:pt idx="9">
                  <c:v>Bulk Material / Cargo</c:v>
                </c:pt>
                <c:pt idx="10">
                  <c:v>Subsea Equipment / Wellhead Equipment</c:v>
                </c:pt>
                <c:pt idx="11">
                  <c:v>Pipe / Tubulars</c:v>
                </c:pt>
                <c:pt idx="12">
                  <c:v>Well Tubing / Downhole Equipment</c:v>
                </c:pt>
                <c:pt idx="13">
                  <c:v>Equipment / Process Equipment</c:v>
                </c:pt>
                <c:pt idx="14">
                  <c:v>Material Handling / Cargo or Scaffold Basket</c:v>
                </c:pt>
                <c:pt idx="15">
                  <c:v>Structural / Access Equipment</c:v>
                </c:pt>
                <c:pt idx="16">
                  <c:v>Crane Component / Lifting Equipment</c:v>
                </c:pt>
                <c:pt idx="17">
                  <c:v>Specialized well‑service tools</c:v>
                </c:pt>
                <c:pt idx="18">
                  <c:v>Tubular / Drill String Component</c:v>
                </c:pt>
                <c:pt idx="19">
                  <c:v>Rig Equipment</c:v>
                </c:pt>
                <c:pt idx="20">
                  <c:v>Chemical / Bulk Liquid Container</c:v>
                </c:pt>
                <c:pt idx="21">
                  <c:v>Rigging Equipment</c:v>
                </c:pt>
                <c:pt idx="22">
                  <c:v>Personnel Transfer Via Rope</c:v>
                </c:pt>
              </c:strCache>
            </c:strRef>
          </c:cat>
          <c:val>
            <c:numRef>
              <c:f>Tables!$B$69:$B$91</c:f>
              <c:numCache>
                <c:formatCode>General</c:formatCode>
                <c:ptCount val="23"/>
                <c:pt idx="0">
                  <c:v>65</c:v>
                </c:pt>
                <c:pt idx="1">
                  <c:v>50</c:v>
                </c:pt>
                <c:pt idx="2">
                  <c:v>78</c:v>
                </c:pt>
                <c:pt idx="3">
                  <c:v>9</c:v>
                </c:pt>
                <c:pt idx="4">
                  <c:v>15</c:v>
                </c:pt>
                <c:pt idx="5">
                  <c:v>53</c:v>
                </c:pt>
                <c:pt idx="6">
                  <c:v>59</c:v>
                </c:pt>
                <c:pt idx="7">
                  <c:v>47</c:v>
                </c:pt>
                <c:pt idx="8">
                  <c:v>10</c:v>
                </c:pt>
                <c:pt idx="9">
                  <c:v>20</c:v>
                </c:pt>
                <c:pt idx="10">
                  <c:v>40</c:v>
                </c:pt>
                <c:pt idx="11">
                  <c:v>38</c:v>
                </c:pt>
                <c:pt idx="12">
                  <c:v>11</c:v>
                </c:pt>
                <c:pt idx="13">
                  <c:v>47</c:v>
                </c:pt>
                <c:pt idx="14">
                  <c:v>46</c:v>
                </c:pt>
                <c:pt idx="15">
                  <c:v>18</c:v>
                </c:pt>
                <c:pt idx="16">
                  <c:v>15</c:v>
                </c:pt>
                <c:pt idx="17">
                  <c:v>6</c:v>
                </c:pt>
                <c:pt idx="18">
                  <c:v>17</c:v>
                </c:pt>
                <c:pt idx="19">
                  <c:v>15</c:v>
                </c:pt>
                <c:pt idx="20">
                  <c:v>7</c:v>
                </c:pt>
                <c:pt idx="21">
                  <c:v>1</c:v>
                </c:pt>
                <c:pt idx="22">
                  <c:v>3</c:v>
                </c:pt>
              </c:numCache>
            </c:numRef>
          </c:val>
          <c:extLst>
            <c:ext xmlns:c16="http://schemas.microsoft.com/office/drawing/2014/chart" uri="{C3380CC4-5D6E-409C-BE32-E72D297353CC}">
              <c16:uniqueId val="{00000000-E4A2-4BCF-AF82-E65A991899BE}"/>
            </c:ext>
          </c:extLst>
        </c:ser>
        <c:ser>
          <c:idx val="1"/>
          <c:order val="1"/>
          <c:tx>
            <c:strRef>
              <c:f>Tables!$C$68</c:f>
              <c:strCache>
                <c:ptCount val="1"/>
                <c:pt idx="0">
                  <c:v>September 2026</c:v>
                </c:pt>
              </c:strCache>
            </c:strRef>
          </c:tx>
          <c:spPr>
            <a:solidFill>
              <a:srgbClr val="FFC000"/>
            </a:solidFill>
            <a:ln w="6350">
              <a:solidFill>
                <a:srgbClr val="FFFFFF"/>
              </a:solidFill>
            </a:ln>
          </c:spPr>
          <c:invertIfNegative val="0"/>
          <c:dLbls>
            <c:numFmt formatCode="0;;;" sourceLinked="0"/>
            <c:spPr>
              <a:noFill/>
              <a:ln>
                <a:noFill/>
              </a:ln>
            </c:spPr>
            <c:txPr>
              <a:bodyPr/>
              <a:lstStyle/>
              <a:p>
                <a:pPr>
                  <a:defRPr sz="1100" b="1">
                    <a:solidFill>
                      <a:srgbClr val="262626"/>
                    </a:solidFill>
                    <a:latin typeface="Arial"/>
                    <a:cs typeface="Aria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Tables!$A$69:$A$91</c:f>
              <c:strCache>
                <c:ptCount val="23"/>
                <c:pt idx="0">
                  <c:v>Piping/Casing</c:v>
                </c:pt>
                <c:pt idx="1">
                  <c:v>Supply Container</c:v>
                </c:pt>
                <c:pt idx="2">
                  <c:v>Heavy Equipment</c:v>
                </c:pt>
                <c:pt idx="3">
                  <c:v>Living Quarters/Skids</c:v>
                </c:pt>
                <c:pt idx="4">
                  <c:v>Personnel Basket</c:v>
                </c:pt>
                <c:pt idx="5">
                  <c:v>Tank</c:v>
                </c:pt>
                <c:pt idx="6">
                  <c:v>Other</c:v>
                </c:pt>
                <c:pt idx="7">
                  <c:v>No Load</c:v>
                </c:pt>
                <c:pt idx="8">
                  <c:v>Hose / Fluid Transfer Equipment</c:v>
                </c:pt>
                <c:pt idx="9">
                  <c:v>Bulk Material / Cargo</c:v>
                </c:pt>
                <c:pt idx="10">
                  <c:v>Subsea Equipment / Wellhead Equipment</c:v>
                </c:pt>
                <c:pt idx="11">
                  <c:v>Pipe / Tubulars</c:v>
                </c:pt>
                <c:pt idx="12">
                  <c:v>Well Tubing / Downhole Equipment</c:v>
                </c:pt>
                <c:pt idx="13">
                  <c:v>Equipment / Process Equipment</c:v>
                </c:pt>
                <c:pt idx="14">
                  <c:v>Material Handling / Cargo or Scaffold Basket</c:v>
                </c:pt>
                <c:pt idx="15">
                  <c:v>Structural / Access Equipment</c:v>
                </c:pt>
                <c:pt idx="16">
                  <c:v>Crane Component / Lifting Equipment</c:v>
                </c:pt>
                <c:pt idx="17">
                  <c:v>Specialized well‑service tools</c:v>
                </c:pt>
                <c:pt idx="18">
                  <c:v>Tubular / Drill String Component</c:v>
                </c:pt>
                <c:pt idx="19">
                  <c:v>Rig Equipment</c:v>
                </c:pt>
                <c:pt idx="20">
                  <c:v>Chemical / Bulk Liquid Container</c:v>
                </c:pt>
                <c:pt idx="21">
                  <c:v>Rigging Equipment</c:v>
                </c:pt>
                <c:pt idx="22">
                  <c:v>Personnel Transfer Via Rope</c:v>
                </c:pt>
              </c:strCache>
            </c:strRef>
          </c:cat>
          <c:val>
            <c:numRef>
              <c:f>Tables!$C$69:$C$91</c:f>
              <c:numCache>
                <c:formatCode>General</c:formatCode>
                <c:ptCount val="23"/>
                <c:pt idx="0">
                  <c:v>1</c:v>
                </c:pt>
                <c:pt idx="1">
                  <c:v>6</c:v>
                </c:pt>
                <c:pt idx="2">
                  <c:v>0</c:v>
                </c:pt>
                <c:pt idx="3">
                  <c:v>0</c:v>
                </c:pt>
                <c:pt idx="4">
                  <c:v>2</c:v>
                </c:pt>
                <c:pt idx="5">
                  <c:v>1</c:v>
                </c:pt>
                <c:pt idx="6">
                  <c:v>0</c:v>
                </c:pt>
                <c:pt idx="7">
                  <c:v>0</c:v>
                </c:pt>
                <c:pt idx="8">
                  <c:v>3</c:v>
                </c:pt>
                <c:pt idx="9">
                  <c:v>2</c:v>
                </c:pt>
                <c:pt idx="10">
                  <c:v>0</c:v>
                </c:pt>
                <c:pt idx="11">
                  <c:v>3</c:v>
                </c:pt>
                <c:pt idx="12">
                  <c:v>0</c:v>
                </c:pt>
                <c:pt idx="13">
                  <c:v>3</c:v>
                </c:pt>
                <c:pt idx="14">
                  <c:v>2</c:v>
                </c:pt>
                <c:pt idx="15">
                  <c:v>0</c:v>
                </c:pt>
                <c:pt idx="16">
                  <c:v>4</c:v>
                </c:pt>
                <c:pt idx="17">
                  <c:v>2</c:v>
                </c:pt>
                <c:pt idx="18">
                  <c:v>0</c:v>
                </c:pt>
                <c:pt idx="19">
                  <c:v>0</c:v>
                </c:pt>
                <c:pt idx="20">
                  <c:v>0</c:v>
                </c:pt>
                <c:pt idx="21">
                  <c:v>0</c:v>
                </c:pt>
                <c:pt idx="22">
                  <c:v>0</c:v>
                </c:pt>
              </c:numCache>
            </c:numRef>
          </c:val>
          <c:extLst>
            <c:ext xmlns:c16="http://schemas.microsoft.com/office/drawing/2014/chart" uri="{C3380CC4-5D6E-409C-BE32-E72D297353CC}">
              <c16:uniqueId val="{00000001-E4A2-4BCF-AF82-E65A991899BE}"/>
            </c:ext>
          </c:extLst>
        </c:ser>
        <c:dLbls>
          <c:showLegendKey val="0"/>
          <c:showVal val="0"/>
          <c:showCatName val="0"/>
          <c:showSerName val="0"/>
          <c:showPercent val="0"/>
          <c:showBubbleSize val="0"/>
        </c:dLbls>
        <c:gapWidth val="40"/>
        <c:overlap val="100"/>
        <c:axId val="86405315"/>
        <c:axId val="9426438"/>
      </c:barChart>
      <c:catAx>
        <c:axId val="86405315"/>
        <c:scaling>
          <c:orientation val="maxMin"/>
        </c:scaling>
        <c:delete val="0"/>
        <c:axPos val="l"/>
        <c:numFmt formatCode="General" sourceLinked="0"/>
        <c:majorTickMark val="none"/>
        <c:minorTickMark val="none"/>
        <c:tickLblPos val="nextTo"/>
        <c:spPr>
          <a:ln w="9525">
            <a:solidFill>
              <a:srgbClr val="BFBFBF"/>
            </a:solidFill>
          </a:ln>
        </c:spPr>
        <c:txPr>
          <a:bodyPr/>
          <a:lstStyle/>
          <a:p>
            <a:pPr>
              <a:defRPr sz="1100" b="0">
                <a:solidFill>
                  <a:srgbClr val="262626"/>
                </a:solidFill>
                <a:latin typeface="Arial"/>
                <a:cs typeface="Arial"/>
              </a:defRPr>
            </a:pPr>
            <a:endParaRPr lang="en-US"/>
          </a:p>
        </c:txPr>
        <c:crossAx val="9426438"/>
        <c:crosses val="autoZero"/>
        <c:auto val="1"/>
        <c:lblAlgn val="ctr"/>
        <c:lblOffset val="100"/>
        <c:tickLblSkip val="1"/>
        <c:noMultiLvlLbl val="0"/>
      </c:catAx>
      <c:valAx>
        <c:axId val="9426438"/>
        <c:scaling>
          <c:orientation val="minMax"/>
        </c:scaling>
        <c:delete val="0"/>
        <c:axPos val="b"/>
        <c:majorGridlines>
          <c:spPr>
            <a:ln w="6350">
              <a:solidFill>
                <a:srgbClr val="E3E3E3"/>
              </a:solidFill>
            </a:ln>
          </c:spPr>
        </c:majorGridlines>
        <c:numFmt formatCode="0" sourceLinked="0"/>
        <c:majorTickMark val="none"/>
        <c:minorTickMark val="none"/>
        <c:tickLblPos val="nextTo"/>
        <c:spPr>
          <a:ln>
            <a:noFill/>
          </a:ln>
        </c:spPr>
        <c:txPr>
          <a:bodyPr/>
          <a:lstStyle/>
          <a:p>
            <a:pPr>
              <a:defRPr sz="1050" b="0">
                <a:solidFill>
                  <a:srgbClr val="595959"/>
                </a:solidFill>
                <a:latin typeface="Arial"/>
                <a:cs typeface="Arial"/>
              </a:defRPr>
            </a:pPr>
            <a:endParaRPr lang="en-US"/>
          </a:p>
        </c:txPr>
        <c:crossAx val="86405315"/>
        <c:crosses val="max"/>
        <c:crossBetween val="between"/>
      </c:valAx>
      <c:spPr>
        <a:noFill/>
        <a:ln>
          <a:noFill/>
        </a:ln>
      </c:spPr>
    </c:plotArea>
    <c:legend>
      <c:legendPos val="t"/>
      <c:overlay val="0"/>
      <c:txPr>
        <a:bodyPr/>
        <a:lstStyle/>
        <a:p>
          <a:pPr>
            <a:defRPr sz="900" b="0">
              <a:solidFill>
                <a:srgbClr val="262626"/>
              </a:solidFill>
              <a:latin typeface="Arial"/>
              <a:cs typeface="Arial"/>
            </a:defRPr>
          </a:pPr>
          <a:endParaRPr lang="en-US"/>
        </a:p>
      </c:txPr>
    </c:legend>
    <c:plotVisOnly val="1"/>
    <c:dispBlanksAs val="gap"/>
    <c:showDLblsOverMax val="1"/>
  </c:chart>
  <c:spPr>
    <a:solidFill>
      <a:srgbClr val="FFFFFF"/>
    </a:solidFill>
    <a:ln w="9525">
      <a:solidFill>
        <a:srgbClr val="BFBFBF"/>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6000000000000005"/>
          <c:y val="0.05"/>
          <c:w val="0.41797598627787308"/>
          <c:h val="0.9"/>
        </c:manualLayout>
      </c:layout>
      <c:barChart>
        <c:barDir val="bar"/>
        <c:grouping val="stacked"/>
        <c:varyColors val="0"/>
        <c:ser>
          <c:idx val="0"/>
          <c:order val="0"/>
          <c:tx>
            <c:strRef>
              <c:f>Tables!$B$5</c:f>
              <c:strCache>
                <c:ptCount val="1"/>
                <c:pt idx="0">
                  <c:v>Prior months</c:v>
                </c:pt>
              </c:strCache>
            </c:strRef>
          </c:tx>
          <c:spPr>
            <a:gradFill>
              <a:gsLst>
                <a:gs pos="0">
                  <a:schemeClr val="accent1">
                    <a:lumMod val="102000"/>
                    <a:tint val="94000"/>
                  </a:schemeClr>
                </a:gs>
                <a:gs pos="50000">
                  <a:schemeClr val="accent1">
                    <a:lumMod val="100000"/>
                    <a:shade val="100000"/>
                  </a:schemeClr>
                </a:gs>
                <a:gs pos="100000">
                  <a:schemeClr val="accent1">
                    <a:lumMod val="99000"/>
                    <a:shade val="78000"/>
                  </a:schemeClr>
                </a:gs>
              </a:gsLst>
              <a:lin ang="5400000" scaled="0"/>
              <a:tileRect/>
            </a:gra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lt1">
                        <a:lumMod val="8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Tables!$A$6:$A$64</c:f>
              <c:strCache>
                <c:ptCount val="59"/>
                <c:pt idx="0">
                  <c:v>Crane Boom Contact or Failure</c:v>
                </c:pt>
                <c:pt idx="1">
                  <c:v>Crane Boom Contact or Failure / Crane Operator</c:v>
                </c:pt>
                <c:pt idx="2">
                  <c:v>Crane Component Failure</c:v>
                </c:pt>
                <c:pt idx="3">
                  <c:v>Dropped Object / Lifting Device Component Failure</c:v>
                </c:pt>
                <c:pt idx="4">
                  <c:v>Environmental Factors</c:v>
                </c:pt>
                <c:pt idx="5">
                  <c:v>Equipment Component Failure</c:v>
                </c:pt>
                <c:pt idx="6">
                  <c:v>Equipment Component Failure / Lifting Device Component</c:v>
                </c:pt>
                <c:pt idx="7">
                  <c:v>Equipment Component Failure / Lifting Device Component / Load Snag or Contact</c:v>
                </c:pt>
                <c:pt idx="8">
                  <c:v>Human Error</c:v>
                </c:pt>
                <c:pt idx="9">
                  <c:v>Human Error / Load Snag or Contact / Crane Boom Contact</c:v>
                </c:pt>
                <c:pt idx="10">
                  <c:v>Human Error / Crane Operator</c:v>
                </c:pt>
                <c:pt idx="11">
                  <c:v>Human Error / Crane Operator / Load Snag or Contact</c:v>
                </c:pt>
                <c:pt idx="12">
                  <c:v>Human Error / Dropped Object / Mechanical Failure</c:v>
                </c:pt>
                <c:pt idx="13">
                  <c:v>Human Error / Line‑of‑Fire / Pinch Point</c:v>
                </c:pt>
                <c:pt idx="14">
                  <c:v>Human Error / Load Shift</c:v>
                </c:pt>
                <c:pt idx="15">
                  <c:v>Human Error / Load Snag or Contact</c:v>
                </c:pt>
                <c:pt idx="16">
                  <c:v>Human Error / Load Snag or Contact / Dropped Object</c:v>
                </c:pt>
                <c:pt idx="17">
                  <c:v>Human Error / Load Snag or Contact / Environmental Factors</c:v>
                </c:pt>
                <c:pt idx="18">
                  <c:v>Human Error / Load Snag or Contact / Lift Off Center</c:v>
                </c:pt>
                <c:pt idx="19">
                  <c:v>Human Error / Load Snag or Contact / Load Shift</c:v>
                </c:pt>
                <c:pt idx="20">
                  <c:v>Human Error / Load Snag or Contact / Mechanical Failure</c:v>
                </c:pt>
                <c:pt idx="21">
                  <c:v>Human Error / Load Snag or Contact / Poor Lift Planning</c:v>
                </c:pt>
                <c:pt idx="22">
                  <c:v>Human Error / Mechanical Failure / Equipment Component Failure</c:v>
                </c:pt>
                <c:pt idx="23">
                  <c:v>Human Error / Rigging</c:v>
                </c:pt>
                <c:pt idx="24">
                  <c:v>Human Error / Rigging / Load Shifted</c:v>
                </c:pt>
                <c:pt idx="25">
                  <c:v>Human Error / Rigging Equipment Failure</c:v>
                </c:pt>
                <c:pt idx="26">
                  <c:v>Human Error / Rigging Equipment Failure / Poor Lift Planning</c:v>
                </c:pt>
                <c:pt idx="27">
                  <c:v>Human Error / Rigging Equipment Failure / Poor Lift Planning / Dropped Object</c:v>
                </c:pt>
                <c:pt idx="28">
                  <c:v>Human Error / Rigging Equipment Snag or Contact</c:v>
                </c:pt>
                <c:pt idx="29">
                  <c:v>Human Error/Dropped Object / Load Snag / Contact</c:v>
                </c:pt>
                <c:pt idx="30">
                  <c:v>Inadequate Load Clearance During Lift Path Movement</c:v>
                </c:pt>
                <c:pt idx="31">
                  <c:v>Lift off- center</c:v>
                </c:pt>
                <c:pt idx="32">
                  <c:v>Lifting Device Component</c:v>
                </c:pt>
                <c:pt idx="33">
                  <c:v>Load Shift</c:v>
                </c:pt>
                <c:pt idx="34">
                  <c:v>Load Shift / Load Snag/ Contact</c:v>
                </c:pt>
                <c:pt idx="35">
                  <c:v>Load Snag or Contact</c:v>
                </c:pt>
                <c:pt idx="36">
                  <c:v>Load Snag or Contact / Dropped Object</c:v>
                </c:pt>
                <c:pt idx="37">
                  <c:v>Load Snag or Contact / Environmental Factors</c:v>
                </c:pt>
                <c:pt idx="38">
                  <c:v>Load Snag or Contact / Environmental Factors / Poor Lift Planning</c:v>
                </c:pt>
                <c:pt idx="39">
                  <c:v>Load Snag or Contact / Line-of-Fire Near Miss</c:v>
                </c:pt>
                <c:pt idx="40">
                  <c:v>Load Snag or Contact / Rigging Equipment Failure</c:v>
                </c:pt>
                <c:pt idx="41">
                  <c:v>Load Snag or Contact / Rigging Equipment Failure / Environmental Factors</c:v>
                </c:pt>
                <c:pt idx="42">
                  <c:v>Load Snag/Contact/Poor Planning</c:v>
                </c:pt>
                <c:pt idx="43">
                  <c:v>Maintenance Issue</c:v>
                </c:pt>
                <c:pt idx="44">
                  <c:v>Maintenance Issue / Lifting Device Component</c:v>
                </c:pt>
                <c:pt idx="45">
                  <c:v>Maintenance Issue/Material Handling/Rigging Equipment Failure/ Environmental factors</c:v>
                </c:pt>
                <c:pt idx="46">
                  <c:v>Other</c:v>
                </c:pt>
                <c:pt idx="47">
                  <c:v>Personnel Contact / Caught Between</c:v>
                </c:pt>
                <c:pt idx="48">
                  <c:v>Personnel Contact / Struck By Moving Equipment</c:v>
                </c:pt>
                <c:pt idx="49">
                  <c:v>Rigging Equipment Failure</c:v>
                </c:pt>
                <c:pt idx="50">
                  <c:v>Rigging Equipment Failure / Dropped Object</c:v>
                </c:pt>
                <c:pt idx="51">
                  <c:v>Rigging Equipment Failure / Dropped Object / Equipment Component Failure</c:v>
                </c:pt>
                <c:pt idx="52">
                  <c:v>Rigging Equipment Failure / Dropped Object / Temporary Connection Failure</c:v>
                </c:pt>
                <c:pt idx="53">
                  <c:v>Rigging Equipment Failure / Environmental factors</c:v>
                </c:pt>
                <c:pt idx="54">
                  <c:v>Rigging Equipment Failure / Equipment Component Failure</c:v>
                </c:pt>
                <c:pt idx="55">
                  <c:v>Rigging Equipment Snag or Contact</c:v>
                </c:pt>
                <c:pt idx="56">
                  <c:v>Rigging Equipment Snag or Contact / Dropped Object / Poor Lift Planning</c:v>
                </c:pt>
                <c:pt idx="57">
                  <c:v>Load Snag or Contact / Environmental Factors / Poor Lift Path Clearance</c:v>
                </c:pt>
                <c:pt idx="58">
                  <c:v>Human Eror / Rigging / Load Snag or Contact / Poor Lift Planning</c:v>
                </c:pt>
              </c:strCache>
            </c:strRef>
          </c:cat>
          <c:val>
            <c:numRef>
              <c:f>Tables!$B$6:$B$64</c:f>
              <c:numCache>
                <c:formatCode>General</c:formatCode>
                <c:ptCount val="59"/>
                <c:pt idx="0">
                  <c:v>23</c:v>
                </c:pt>
                <c:pt idx="1">
                  <c:v>6</c:v>
                </c:pt>
                <c:pt idx="2">
                  <c:v>11</c:v>
                </c:pt>
                <c:pt idx="3">
                  <c:v>9</c:v>
                </c:pt>
                <c:pt idx="4">
                  <c:v>17</c:v>
                </c:pt>
                <c:pt idx="5">
                  <c:v>6</c:v>
                </c:pt>
                <c:pt idx="6">
                  <c:v>25</c:v>
                </c:pt>
                <c:pt idx="7">
                  <c:v>2</c:v>
                </c:pt>
                <c:pt idx="8">
                  <c:v>45</c:v>
                </c:pt>
                <c:pt idx="9">
                  <c:v>4</c:v>
                </c:pt>
                <c:pt idx="10">
                  <c:v>4</c:v>
                </c:pt>
                <c:pt idx="11">
                  <c:v>3</c:v>
                </c:pt>
                <c:pt idx="12">
                  <c:v>3</c:v>
                </c:pt>
                <c:pt idx="13">
                  <c:v>8</c:v>
                </c:pt>
                <c:pt idx="14">
                  <c:v>3</c:v>
                </c:pt>
                <c:pt idx="15">
                  <c:v>47</c:v>
                </c:pt>
                <c:pt idx="16">
                  <c:v>5</c:v>
                </c:pt>
                <c:pt idx="17">
                  <c:v>13</c:v>
                </c:pt>
                <c:pt idx="18">
                  <c:v>6</c:v>
                </c:pt>
                <c:pt idx="19">
                  <c:v>1</c:v>
                </c:pt>
                <c:pt idx="20">
                  <c:v>4</c:v>
                </c:pt>
                <c:pt idx="21">
                  <c:v>52</c:v>
                </c:pt>
                <c:pt idx="22">
                  <c:v>5</c:v>
                </c:pt>
                <c:pt idx="23">
                  <c:v>5</c:v>
                </c:pt>
                <c:pt idx="24">
                  <c:v>3</c:v>
                </c:pt>
                <c:pt idx="25">
                  <c:v>2</c:v>
                </c:pt>
                <c:pt idx="26">
                  <c:v>2</c:v>
                </c:pt>
                <c:pt idx="27">
                  <c:v>4</c:v>
                </c:pt>
                <c:pt idx="28">
                  <c:v>7</c:v>
                </c:pt>
                <c:pt idx="29">
                  <c:v>6</c:v>
                </c:pt>
                <c:pt idx="30">
                  <c:v>8</c:v>
                </c:pt>
                <c:pt idx="31">
                  <c:v>2</c:v>
                </c:pt>
                <c:pt idx="32">
                  <c:v>24</c:v>
                </c:pt>
                <c:pt idx="33">
                  <c:v>16</c:v>
                </c:pt>
                <c:pt idx="34">
                  <c:v>5</c:v>
                </c:pt>
                <c:pt idx="35">
                  <c:v>95</c:v>
                </c:pt>
                <c:pt idx="36">
                  <c:v>13</c:v>
                </c:pt>
                <c:pt idx="37">
                  <c:v>9</c:v>
                </c:pt>
                <c:pt idx="38">
                  <c:v>7</c:v>
                </c:pt>
                <c:pt idx="39">
                  <c:v>3</c:v>
                </c:pt>
                <c:pt idx="40">
                  <c:v>1</c:v>
                </c:pt>
                <c:pt idx="41">
                  <c:v>2</c:v>
                </c:pt>
                <c:pt idx="42">
                  <c:v>10</c:v>
                </c:pt>
                <c:pt idx="43">
                  <c:v>8</c:v>
                </c:pt>
                <c:pt idx="44">
                  <c:v>3</c:v>
                </c:pt>
                <c:pt idx="45">
                  <c:v>2</c:v>
                </c:pt>
                <c:pt idx="46">
                  <c:v>11</c:v>
                </c:pt>
                <c:pt idx="47">
                  <c:v>8</c:v>
                </c:pt>
                <c:pt idx="48">
                  <c:v>10</c:v>
                </c:pt>
                <c:pt idx="49">
                  <c:v>37</c:v>
                </c:pt>
                <c:pt idx="50">
                  <c:v>6</c:v>
                </c:pt>
                <c:pt idx="51">
                  <c:v>5</c:v>
                </c:pt>
                <c:pt idx="52">
                  <c:v>5</c:v>
                </c:pt>
                <c:pt idx="53">
                  <c:v>2</c:v>
                </c:pt>
                <c:pt idx="54">
                  <c:v>10</c:v>
                </c:pt>
                <c:pt idx="55">
                  <c:v>35</c:v>
                </c:pt>
                <c:pt idx="56">
                  <c:v>2</c:v>
                </c:pt>
                <c:pt idx="57">
                  <c:v>0</c:v>
                </c:pt>
                <c:pt idx="58">
                  <c:v>0</c:v>
                </c:pt>
              </c:numCache>
            </c:numRef>
          </c:val>
          <c:extLst>
            <c:ext xmlns:c16="http://schemas.microsoft.com/office/drawing/2014/chart" uri="{C3380CC4-5D6E-409C-BE32-E72D297353CC}">
              <c16:uniqueId val="{00000000-1ED8-422E-831C-404762DC6D8F}"/>
            </c:ext>
          </c:extLst>
        </c:ser>
        <c:ser>
          <c:idx val="1"/>
          <c:order val="1"/>
          <c:tx>
            <c:strRef>
              <c:f>Tables!$C$5</c:f>
              <c:strCache>
                <c:ptCount val="1"/>
                <c:pt idx="0">
                  <c:v>Report month</c:v>
                </c:pt>
              </c:strCache>
            </c:strRef>
          </c:tx>
          <c:spPr>
            <a:gradFill>
              <a:gsLst>
                <a:gs pos="0">
                  <a:schemeClr val="accent2">
                    <a:lumMod val="102000"/>
                    <a:tint val="94000"/>
                  </a:schemeClr>
                </a:gs>
                <a:gs pos="50000">
                  <a:schemeClr val="accent2">
                    <a:lumMod val="100000"/>
                    <a:shade val="100000"/>
                  </a:schemeClr>
                </a:gs>
                <a:gs pos="100000">
                  <a:schemeClr val="accent2">
                    <a:lumMod val="99000"/>
                    <a:shade val="78000"/>
                  </a:schemeClr>
                </a:gs>
              </a:gsLst>
              <a:lin ang="5400000" scaled="0"/>
              <a:tileRect/>
            </a:gradFill>
            <a:ln>
              <a:noFill/>
            </a:ln>
            <a:effectLst/>
          </c:spPr>
          <c:invertIfNegative val="0"/>
          <c:dLbls>
            <c:dLbl>
              <c:idx val="0"/>
              <c:layout>
                <c:manualLayout>
                  <c:x val="1.8867924528301886E-2"/>
                  <c:y val="1.1575112005453544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9E4-42E8-B675-158EF44F4415}"/>
                </c:ext>
              </c:extLst>
            </c:dLbl>
            <c:dLbl>
              <c:idx val="2"/>
              <c:layout>
                <c:manualLayout>
                  <c:x val="2.0583190394511151E-2"/>
                  <c:y val="1.0609561367590671E-17"/>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9E4-42E8-B675-158EF44F4415}"/>
                </c:ext>
              </c:extLst>
            </c:dLbl>
            <c:dLbl>
              <c:idx val="35"/>
              <c:layout>
                <c:manualLayout>
                  <c:x val="2.0583190394511022E-2"/>
                  <c:y val="-2.314840130214314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9E4-42E8-B675-158EF44F4415}"/>
                </c:ext>
              </c:extLst>
            </c:dLbl>
            <c:dLbl>
              <c:idx val="36"/>
              <c:layout>
                <c:manualLayout>
                  <c:x val="2.7444253859348199E-2"/>
                  <c:y val="-1.1574200651070722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9E4-42E8-B675-158EF44F4415}"/>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Tables!$A$6:$A$64</c:f>
              <c:strCache>
                <c:ptCount val="59"/>
                <c:pt idx="0">
                  <c:v>Crane Boom Contact or Failure</c:v>
                </c:pt>
                <c:pt idx="1">
                  <c:v>Crane Boom Contact or Failure / Crane Operator</c:v>
                </c:pt>
                <c:pt idx="2">
                  <c:v>Crane Component Failure</c:v>
                </c:pt>
                <c:pt idx="3">
                  <c:v>Dropped Object / Lifting Device Component Failure</c:v>
                </c:pt>
                <c:pt idx="4">
                  <c:v>Environmental Factors</c:v>
                </c:pt>
                <c:pt idx="5">
                  <c:v>Equipment Component Failure</c:v>
                </c:pt>
                <c:pt idx="6">
                  <c:v>Equipment Component Failure / Lifting Device Component</c:v>
                </c:pt>
                <c:pt idx="7">
                  <c:v>Equipment Component Failure / Lifting Device Component / Load Snag or Contact</c:v>
                </c:pt>
                <c:pt idx="8">
                  <c:v>Human Error</c:v>
                </c:pt>
                <c:pt idx="9">
                  <c:v>Human Error / Load Snag or Contact / Crane Boom Contact</c:v>
                </c:pt>
                <c:pt idx="10">
                  <c:v>Human Error / Crane Operator</c:v>
                </c:pt>
                <c:pt idx="11">
                  <c:v>Human Error / Crane Operator / Load Snag or Contact</c:v>
                </c:pt>
                <c:pt idx="12">
                  <c:v>Human Error / Dropped Object / Mechanical Failure</c:v>
                </c:pt>
                <c:pt idx="13">
                  <c:v>Human Error / Line‑of‑Fire / Pinch Point</c:v>
                </c:pt>
                <c:pt idx="14">
                  <c:v>Human Error / Load Shift</c:v>
                </c:pt>
                <c:pt idx="15">
                  <c:v>Human Error / Load Snag or Contact</c:v>
                </c:pt>
                <c:pt idx="16">
                  <c:v>Human Error / Load Snag or Contact / Dropped Object</c:v>
                </c:pt>
                <c:pt idx="17">
                  <c:v>Human Error / Load Snag or Contact / Environmental Factors</c:v>
                </c:pt>
                <c:pt idx="18">
                  <c:v>Human Error / Load Snag or Contact / Lift Off Center</c:v>
                </c:pt>
                <c:pt idx="19">
                  <c:v>Human Error / Load Snag or Contact / Load Shift</c:v>
                </c:pt>
                <c:pt idx="20">
                  <c:v>Human Error / Load Snag or Contact / Mechanical Failure</c:v>
                </c:pt>
                <c:pt idx="21">
                  <c:v>Human Error / Load Snag or Contact / Poor Lift Planning</c:v>
                </c:pt>
                <c:pt idx="22">
                  <c:v>Human Error / Mechanical Failure / Equipment Component Failure</c:v>
                </c:pt>
                <c:pt idx="23">
                  <c:v>Human Error / Rigging</c:v>
                </c:pt>
                <c:pt idx="24">
                  <c:v>Human Error / Rigging / Load Shifted</c:v>
                </c:pt>
                <c:pt idx="25">
                  <c:v>Human Error / Rigging Equipment Failure</c:v>
                </c:pt>
                <c:pt idx="26">
                  <c:v>Human Error / Rigging Equipment Failure / Poor Lift Planning</c:v>
                </c:pt>
                <c:pt idx="27">
                  <c:v>Human Error / Rigging Equipment Failure / Poor Lift Planning / Dropped Object</c:v>
                </c:pt>
                <c:pt idx="28">
                  <c:v>Human Error / Rigging Equipment Snag or Contact</c:v>
                </c:pt>
                <c:pt idx="29">
                  <c:v>Human Error/Dropped Object / Load Snag / Contact</c:v>
                </c:pt>
                <c:pt idx="30">
                  <c:v>Inadequate Load Clearance During Lift Path Movement</c:v>
                </c:pt>
                <c:pt idx="31">
                  <c:v>Lift off- center</c:v>
                </c:pt>
                <c:pt idx="32">
                  <c:v>Lifting Device Component</c:v>
                </c:pt>
                <c:pt idx="33">
                  <c:v>Load Shift</c:v>
                </c:pt>
                <c:pt idx="34">
                  <c:v>Load Shift / Load Snag/ Contact</c:v>
                </c:pt>
                <c:pt idx="35">
                  <c:v>Load Snag or Contact</c:v>
                </c:pt>
                <c:pt idx="36">
                  <c:v>Load Snag or Contact / Dropped Object</c:v>
                </c:pt>
                <c:pt idx="37">
                  <c:v>Load Snag or Contact / Environmental Factors</c:v>
                </c:pt>
                <c:pt idx="38">
                  <c:v>Load Snag or Contact / Environmental Factors / Poor Lift Planning</c:v>
                </c:pt>
                <c:pt idx="39">
                  <c:v>Load Snag or Contact / Line-of-Fire Near Miss</c:v>
                </c:pt>
                <c:pt idx="40">
                  <c:v>Load Snag or Contact / Rigging Equipment Failure</c:v>
                </c:pt>
                <c:pt idx="41">
                  <c:v>Load Snag or Contact / Rigging Equipment Failure / Environmental Factors</c:v>
                </c:pt>
                <c:pt idx="42">
                  <c:v>Load Snag/Contact/Poor Planning</c:v>
                </c:pt>
                <c:pt idx="43">
                  <c:v>Maintenance Issue</c:v>
                </c:pt>
                <c:pt idx="44">
                  <c:v>Maintenance Issue / Lifting Device Component</c:v>
                </c:pt>
                <c:pt idx="45">
                  <c:v>Maintenance Issue/Material Handling/Rigging Equipment Failure/ Environmental factors</c:v>
                </c:pt>
                <c:pt idx="46">
                  <c:v>Other</c:v>
                </c:pt>
                <c:pt idx="47">
                  <c:v>Personnel Contact / Caught Between</c:v>
                </c:pt>
                <c:pt idx="48">
                  <c:v>Personnel Contact / Struck By Moving Equipment</c:v>
                </c:pt>
                <c:pt idx="49">
                  <c:v>Rigging Equipment Failure</c:v>
                </c:pt>
                <c:pt idx="50">
                  <c:v>Rigging Equipment Failure / Dropped Object</c:v>
                </c:pt>
                <c:pt idx="51">
                  <c:v>Rigging Equipment Failure / Dropped Object / Equipment Component Failure</c:v>
                </c:pt>
                <c:pt idx="52">
                  <c:v>Rigging Equipment Failure / Dropped Object / Temporary Connection Failure</c:v>
                </c:pt>
                <c:pt idx="53">
                  <c:v>Rigging Equipment Failure / Environmental factors</c:v>
                </c:pt>
                <c:pt idx="54">
                  <c:v>Rigging Equipment Failure / Equipment Component Failure</c:v>
                </c:pt>
                <c:pt idx="55">
                  <c:v>Rigging Equipment Snag or Contact</c:v>
                </c:pt>
                <c:pt idx="56">
                  <c:v>Rigging Equipment Snag or Contact / Dropped Object / Poor Lift Planning</c:v>
                </c:pt>
                <c:pt idx="57">
                  <c:v>Load Snag or Contact / Environmental Factors / Poor Lift Path Clearance</c:v>
                </c:pt>
                <c:pt idx="58">
                  <c:v>Human Eror / Rigging / Load Snag or Contact / Poor Lift Planning</c:v>
                </c:pt>
              </c:strCache>
            </c:strRef>
          </c:cat>
          <c:val>
            <c:numRef>
              <c:f>Tables!$C$6:$C$64</c:f>
              <c:numCache>
                <c:formatCode>General</c:formatCode>
                <c:ptCount val="59"/>
                <c:pt idx="0">
                  <c:v>2</c:v>
                </c:pt>
                <c:pt idx="1">
                  <c:v>1</c:v>
                </c:pt>
                <c:pt idx="2">
                  <c:v>3</c:v>
                </c:pt>
                <c:pt idx="3">
                  <c:v>1</c:v>
                </c:pt>
                <c:pt idx="4">
                  <c:v>0</c:v>
                </c:pt>
                <c:pt idx="5">
                  <c:v>0</c:v>
                </c:pt>
                <c:pt idx="6">
                  <c:v>0</c:v>
                </c:pt>
                <c:pt idx="7">
                  <c:v>0</c:v>
                </c:pt>
                <c:pt idx="8">
                  <c:v>0</c:v>
                </c:pt>
                <c:pt idx="9">
                  <c:v>0</c:v>
                </c:pt>
                <c:pt idx="10">
                  <c:v>0</c:v>
                </c:pt>
                <c:pt idx="11">
                  <c:v>0</c:v>
                </c:pt>
                <c:pt idx="12">
                  <c:v>0</c:v>
                </c:pt>
                <c:pt idx="13">
                  <c:v>1</c:v>
                </c:pt>
                <c:pt idx="14">
                  <c:v>0</c:v>
                </c:pt>
                <c:pt idx="15">
                  <c:v>1</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1</c:v>
                </c:pt>
                <c:pt idx="34">
                  <c:v>0</c:v>
                </c:pt>
                <c:pt idx="35">
                  <c:v>6</c:v>
                </c:pt>
                <c:pt idx="36">
                  <c:v>3</c:v>
                </c:pt>
                <c:pt idx="37">
                  <c:v>1</c:v>
                </c:pt>
                <c:pt idx="38">
                  <c:v>0</c:v>
                </c:pt>
                <c:pt idx="39">
                  <c:v>1</c:v>
                </c:pt>
                <c:pt idx="40">
                  <c:v>1</c:v>
                </c:pt>
                <c:pt idx="41">
                  <c:v>0</c:v>
                </c:pt>
                <c:pt idx="42">
                  <c:v>2</c:v>
                </c:pt>
                <c:pt idx="43">
                  <c:v>0</c:v>
                </c:pt>
                <c:pt idx="44">
                  <c:v>0</c:v>
                </c:pt>
                <c:pt idx="45">
                  <c:v>0</c:v>
                </c:pt>
                <c:pt idx="46">
                  <c:v>0</c:v>
                </c:pt>
                <c:pt idx="47">
                  <c:v>1</c:v>
                </c:pt>
                <c:pt idx="48">
                  <c:v>0</c:v>
                </c:pt>
                <c:pt idx="49">
                  <c:v>0</c:v>
                </c:pt>
                <c:pt idx="50">
                  <c:v>0</c:v>
                </c:pt>
                <c:pt idx="51">
                  <c:v>0</c:v>
                </c:pt>
                <c:pt idx="52">
                  <c:v>0</c:v>
                </c:pt>
                <c:pt idx="53">
                  <c:v>0</c:v>
                </c:pt>
                <c:pt idx="54">
                  <c:v>0</c:v>
                </c:pt>
                <c:pt idx="55">
                  <c:v>2</c:v>
                </c:pt>
                <c:pt idx="56">
                  <c:v>0</c:v>
                </c:pt>
                <c:pt idx="57">
                  <c:v>1</c:v>
                </c:pt>
                <c:pt idx="58">
                  <c:v>1</c:v>
                </c:pt>
              </c:numCache>
            </c:numRef>
          </c:val>
          <c:extLst>
            <c:ext xmlns:c16="http://schemas.microsoft.com/office/drawing/2014/chart" uri="{C3380CC4-5D6E-409C-BE32-E72D297353CC}">
              <c16:uniqueId val="{00000001-1ED8-422E-831C-404762DC6D8F}"/>
            </c:ext>
          </c:extLst>
        </c:ser>
        <c:dLbls>
          <c:showLegendKey val="0"/>
          <c:showVal val="0"/>
          <c:showCatName val="0"/>
          <c:showSerName val="0"/>
          <c:showPercent val="0"/>
          <c:showBubbleSize val="0"/>
        </c:dLbls>
        <c:gapWidth val="150"/>
        <c:overlap val="100"/>
        <c:axId val="10104207"/>
        <c:axId val="81053637"/>
      </c:barChart>
      <c:catAx>
        <c:axId val="10104207"/>
        <c:scaling>
          <c:orientation val="maxMin"/>
        </c:scaling>
        <c:delete val="0"/>
        <c:axPos val="l"/>
        <c:numFmt formatCode="General" sourceLinked="0"/>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1200" b="0" i="0" u="none" strike="noStrike" kern="1200" baseline="0">
                <a:solidFill>
                  <a:schemeClr val="lt1">
                    <a:lumMod val="85000"/>
                  </a:schemeClr>
                </a:solidFill>
                <a:latin typeface="+mn-lt"/>
                <a:ea typeface="+mn-ea"/>
                <a:cs typeface="+mn-cs"/>
              </a:defRPr>
            </a:pPr>
            <a:endParaRPr lang="en-US"/>
          </a:p>
        </c:txPr>
        <c:crossAx val="81053637"/>
        <c:crosses val="autoZero"/>
        <c:auto val="1"/>
        <c:lblAlgn val="ctr"/>
        <c:lblOffset val="100"/>
        <c:tickLblSkip val="1"/>
        <c:noMultiLvlLbl val="0"/>
      </c:catAx>
      <c:valAx>
        <c:axId val="81053637"/>
        <c:scaling>
          <c:orientation val="minMax"/>
        </c:scaling>
        <c:delete val="0"/>
        <c:axPos val="b"/>
        <c:majorGridlines>
          <c:spPr>
            <a:ln w="9525" cap="flat" cmpd="sng" algn="ctr">
              <a:solidFill>
                <a:schemeClr val="lt1">
                  <a:lumMod val="95000"/>
                  <a:alpha val="10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0104207"/>
        <c:crosses val="max"/>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1"/>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manualLayout>
          <c:layoutTarget val="inner"/>
          <c:xMode val="edge"/>
          <c:yMode val="edge"/>
          <c:x val="0.26"/>
          <c:y val="0.14000000000000001"/>
          <c:w val="0.69"/>
          <c:h val="0.68"/>
        </c:manualLayout>
      </c:layout>
      <c:barChart>
        <c:barDir val="bar"/>
        <c:grouping val="stacked"/>
        <c:varyColors val="0"/>
        <c:ser>
          <c:idx val="0"/>
          <c:order val="0"/>
          <c:tx>
            <c:strRef>
              <c:f>Tables!$B$95</c:f>
              <c:strCache>
                <c:ptCount val="1"/>
                <c:pt idx="0">
                  <c:v>January 2025 - August 2026</c:v>
                </c:pt>
              </c:strCache>
            </c:strRef>
          </c:tx>
          <c:spPr>
            <a:solidFill>
              <a:srgbClr val="9FB3C8"/>
            </a:solidFill>
            <a:ln w="6350">
              <a:solidFill>
                <a:srgbClr val="FFFFFF"/>
              </a:solidFill>
            </a:ln>
          </c:spPr>
          <c:invertIfNegative val="0"/>
          <c:dLbls>
            <c:dLbl>
              <c:idx val="3"/>
              <c:layout>
                <c:manualLayout>
                  <c:x val="-1.7267899652078373E-3"/>
                  <c:y val="-5.1632102971488512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1AD-49F3-9A10-2DAAC78C40FD}"/>
                </c:ext>
              </c:extLst>
            </c:dLbl>
            <c:numFmt formatCode="0;;;" sourceLinked="0"/>
            <c:spPr>
              <a:noFill/>
              <a:ln>
                <a:noFill/>
              </a:ln>
            </c:spPr>
            <c:txPr>
              <a:bodyPr/>
              <a:lstStyle/>
              <a:p>
                <a:pPr>
                  <a:defRPr sz="1200" b="1">
                    <a:solidFill>
                      <a:srgbClr val="262626"/>
                    </a:solidFill>
                    <a:latin typeface="Arial"/>
                    <a:cs typeface="Aria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Tables!$A$96:$A$101</c:f>
              <c:strCache>
                <c:ptCount val="6"/>
                <c:pt idx="0">
                  <c:v>Production</c:v>
                </c:pt>
                <c:pt idx="1">
                  <c:v>Drilling</c:v>
                </c:pt>
                <c:pt idx="2">
                  <c:v>Workover</c:v>
                </c:pt>
                <c:pt idx="3">
                  <c:v>Completion</c:v>
                </c:pt>
                <c:pt idx="4">
                  <c:v>Decommissioning</c:v>
                </c:pt>
                <c:pt idx="5">
                  <c:v>Other</c:v>
                </c:pt>
              </c:strCache>
            </c:strRef>
          </c:cat>
          <c:val>
            <c:numRef>
              <c:f>Tables!$B$96:$B$101</c:f>
              <c:numCache>
                <c:formatCode>General</c:formatCode>
                <c:ptCount val="6"/>
                <c:pt idx="0">
                  <c:v>319</c:v>
                </c:pt>
                <c:pt idx="1">
                  <c:v>183</c:v>
                </c:pt>
                <c:pt idx="2">
                  <c:v>33</c:v>
                </c:pt>
                <c:pt idx="3">
                  <c:v>22</c:v>
                </c:pt>
                <c:pt idx="4">
                  <c:v>68</c:v>
                </c:pt>
                <c:pt idx="5">
                  <c:v>45</c:v>
                </c:pt>
              </c:numCache>
            </c:numRef>
          </c:val>
          <c:extLst>
            <c:ext xmlns:c16="http://schemas.microsoft.com/office/drawing/2014/chart" uri="{C3380CC4-5D6E-409C-BE32-E72D297353CC}">
              <c16:uniqueId val="{00000000-A786-4C54-835A-57C3D9F86CC7}"/>
            </c:ext>
          </c:extLst>
        </c:ser>
        <c:ser>
          <c:idx val="1"/>
          <c:order val="1"/>
          <c:tx>
            <c:strRef>
              <c:f>Tables!$C$95</c:f>
              <c:strCache>
                <c:ptCount val="1"/>
                <c:pt idx="0">
                  <c:v>September 2026</c:v>
                </c:pt>
              </c:strCache>
            </c:strRef>
          </c:tx>
          <c:spPr>
            <a:solidFill>
              <a:srgbClr val="FFC000"/>
            </a:solidFill>
            <a:ln w="6350">
              <a:solidFill>
                <a:srgbClr val="FFFFFF"/>
              </a:solidFill>
            </a:ln>
          </c:spPr>
          <c:invertIfNegative val="0"/>
          <c:dLbls>
            <c:dLbl>
              <c:idx val="3"/>
              <c:layout>
                <c:manualLayout>
                  <c:x val="3.6175710594315201E-2"/>
                  <c:y val="-5.1632102971487558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378-4B5A-BDAD-270B3BD2FE70}"/>
                </c:ext>
              </c:extLst>
            </c:dLbl>
            <c:dLbl>
              <c:idx val="5"/>
              <c:layout>
                <c:manualLayout>
                  <c:x val="2.067183462532295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378-4B5A-BDAD-270B3BD2FE70}"/>
                </c:ext>
              </c:extLst>
            </c:dLbl>
            <c:numFmt formatCode="0;;;" sourceLinked="0"/>
            <c:spPr>
              <a:noFill/>
              <a:ln>
                <a:noFill/>
              </a:ln>
            </c:spPr>
            <c:txPr>
              <a:bodyPr/>
              <a:lstStyle/>
              <a:p>
                <a:pPr>
                  <a:defRPr sz="1050" b="1">
                    <a:solidFill>
                      <a:srgbClr val="262626"/>
                    </a:solidFill>
                    <a:latin typeface="Arial"/>
                    <a:cs typeface="Aria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Tables!$A$96:$A$101</c:f>
              <c:strCache>
                <c:ptCount val="6"/>
                <c:pt idx="0">
                  <c:v>Production</c:v>
                </c:pt>
                <c:pt idx="1">
                  <c:v>Drilling</c:v>
                </c:pt>
                <c:pt idx="2">
                  <c:v>Workover</c:v>
                </c:pt>
                <c:pt idx="3">
                  <c:v>Completion</c:v>
                </c:pt>
                <c:pt idx="4">
                  <c:v>Decommissioning</c:v>
                </c:pt>
                <c:pt idx="5">
                  <c:v>Other</c:v>
                </c:pt>
              </c:strCache>
            </c:strRef>
          </c:cat>
          <c:val>
            <c:numRef>
              <c:f>Tables!$C$96:$C$101</c:f>
              <c:numCache>
                <c:formatCode>General</c:formatCode>
                <c:ptCount val="6"/>
                <c:pt idx="0">
                  <c:v>18</c:v>
                </c:pt>
                <c:pt idx="1">
                  <c:v>6</c:v>
                </c:pt>
                <c:pt idx="2">
                  <c:v>0</c:v>
                </c:pt>
                <c:pt idx="3">
                  <c:v>1</c:v>
                </c:pt>
                <c:pt idx="4">
                  <c:v>0</c:v>
                </c:pt>
                <c:pt idx="5">
                  <c:v>4</c:v>
                </c:pt>
              </c:numCache>
            </c:numRef>
          </c:val>
          <c:extLst>
            <c:ext xmlns:c16="http://schemas.microsoft.com/office/drawing/2014/chart" uri="{C3380CC4-5D6E-409C-BE32-E72D297353CC}">
              <c16:uniqueId val="{00000001-A786-4C54-835A-57C3D9F86CC7}"/>
            </c:ext>
          </c:extLst>
        </c:ser>
        <c:dLbls>
          <c:showLegendKey val="0"/>
          <c:showVal val="0"/>
          <c:showCatName val="0"/>
          <c:showSerName val="0"/>
          <c:showPercent val="0"/>
          <c:showBubbleSize val="0"/>
        </c:dLbls>
        <c:gapWidth val="80"/>
        <c:overlap val="100"/>
        <c:axId val="5385522"/>
        <c:axId val="16566796"/>
      </c:barChart>
      <c:catAx>
        <c:axId val="5385522"/>
        <c:scaling>
          <c:orientation val="maxMin"/>
        </c:scaling>
        <c:delete val="0"/>
        <c:axPos val="l"/>
        <c:numFmt formatCode="General" sourceLinked="0"/>
        <c:majorTickMark val="none"/>
        <c:minorTickMark val="none"/>
        <c:tickLblPos val="nextTo"/>
        <c:spPr>
          <a:ln w="9525">
            <a:solidFill>
              <a:srgbClr val="BFBFBF"/>
            </a:solidFill>
          </a:ln>
        </c:spPr>
        <c:txPr>
          <a:bodyPr/>
          <a:lstStyle/>
          <a:p>
            <a:pPr>
              <a:defRPr sz="1100" b="0">
                <a:solidFill>
                  <a:srgbClr val="262626"/>
                </a:solidFill>
                <a:latin typeface="Arial"/>
                <a:cs typeface="Arial"/>
              </a:defRPr>
            </a:pPr>
            <a:endParaRPr lang="en-US"/>
          </a:p>
        </c:txPr>
        <c:crossAx val="16566796"/>
        <c:crosses val="autoZero"/>
        <c:auto val="1"/>
        <c:lblAlgn val="ctr"/>
        <c:lblOffset val="100"/>
        <c:tickLblSkip val="1"/>
        <c:noMultiLvlLbl val="0"/>
      </c:catAx>
      <c:valAx>
        <c:axId val="16566796"/>
        <c:scaling>
          <c:orientation val="minMax"/>
        </c:scaling>
        <c:delete val="0"/>
        <c:axPos val="b"/>
        <c:majorGridlines>
          <c:spPr>
            <a:ln w="6350">
              <a:solidFill>
                <a:srgbClr val="E3E3E3"/>
              </a:solidFill>
            </a:ln>
          </c:spPr>
        </c:majorGridlines>
        <c:numFmt formatCode="0" sourceLinked="0"/>
        <c:majorTickMark val="none"/>
        <c:minorTickMark val="none"/>
        <c:tickLblPos val="nextTo"/>
        <c:spPr>
          <a:ln>
            <a:noFill/>
          </a:ln>
        </c:spPr>
        <c:txPr>
          <a:bodyPr/>
          <a:lstStyle/>
          <a:p>
            <a:pPr>
              <a:defRPr sz="1050" b="0">
                <a:solidFill>
                  <a:srgbClr val="595959"/>
                </a:solidFill>
                <a:latin typeface="Arial"/>
                <a:cs typeface="Arial"/>
              </a:defRPr>
            </a:pPr>
            <a:endParaRPr lang="en-US"/>
          </a:p>
        </c:txPr>
        <c:crossAx val="5385522"/>
        <c:crosses val="max"/>
        <c:crossBetween val="between"/>
      </c:valAx>
      <c:spPr>
        <a:noFill/>
        <a:ln>
          <a:noFill/>
        </a:ln>
      </c:spPr>
    </c:plotArea>
    <c:legend>
      <c:legendPos val="t"/>
      <c:overlay val="0"/>
      <c:txPr>
        <a:bodyPr/>
        <a:lstStyle/>
        <a:p>
          <a:pPr>
            <a:defRPr sz="900" b="0">
              <a:solidFill>
                <a:srgbClr val="262626"/>
              </a:solidFill>
              <a:latin typeface="Arial"/>
              <a:cs typeface="Arial"/>
            </a:defRPr>
          </a:pPr>
          <a:endParaRPr lang="en-US"/>
        </a:p>
      </c:txPr>
    </c:legend>
    <c:plotVisOnly val="1"/>
    <c:dispBlanksAs val="gap"/>
    <c:showDLblsOverMax val="1"/>
  </c:chart>
  <c:spPr>
    <a:solidFill>
      <a:srgbClr val="FFFFFF"/>
    </a:solidFill>
    <a:ln w="9525">
      <a:solidFill>
        <a:srgbClr val="BFBFBF"/>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manualLayout>
          <c:layoutTarget val="inner"/>
          <c:xMode val="edge"/>
          <c:yMode val="edge"/>
          <c:x val="0.14000000000000001"/>
          <c:y val="0.14000000000000001"/>
          <c:w val="0.8"/>
          <c:h val="0.68"/>
        </c:manualLayout>
      </c:layout>
      <c:barChart>
        <c:barDir val="bar"/>
        <c:grouping val="stacked"/>
        <c:varyColors val="0"/>
        <c:ser>
          <c:idx val="0"/>
          <c:order val="0"/>
          <c:tx>
            <c:strRef>
              <c:f>Tables!$B$126</c:f>
              <c:strCache>
                <c:ptCount val="1"/>
                <c:pt idx="0">
                  <c:v>January 2025 - August 2026</c:v>
                </c:pt>
              </c:strCache>
            </c:strRef>
          </c:tx>
          <c:spPr>
            <a:solidFill>
              <a:srgbClr val="9FB3C8"/>
            </a:solidFill>
            <a:ln w="6350">
              <a:solidFill>
                <a:srgbClr val="FFFFFF"/>
              </a:solidFill>
            </a:ln>
          </c:spPr>
          <c:invertIfNegative val="0"/>
          <c:dLbls>
            <c:numFmt formatCode="0;;;" sourceLinked="0"/>
            <c:spPr>
              <a:noFill/>
              <a:ln>
                <a:noFill/>
              </a:ln>
            </c:spPr>
            <c:txPr>
              <a:bodyPr/>
              <a:lstStyle/>
              <a:p>
                <a:pPr>
                  <a:defRPr sz="1100" b="0">
                    <a:solidFill>
                      <a:srgbClr val="262626"/>
                    </a:solidFill>
                    <a:latin typeface="Arial"/>
                    <a:cs typeface="Aria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Tables!$A$127:$A$128</c:f>
              <c:strCache>
                <c:ptCount val="2"/>
                <c:pt idx="0">
                  <c:v>Yes</c:v>
                </c:pt>
                <c:pt idx="1">
                  <c:v>No</c:v>
                </c:pt>
              </c:strCache>
            </c:strRef>
          </c:cat>
          <c:val>
            <c:numRef>
              <c:f>Tables!$B$127:$B$128</c:f>
              <c:numCache>
                <c:formatCode>General</c:formatCode>
                <c:ptCount val="2"/>
                <c:pt idx="0">
                  <c:v>185</c:v>
                </c:pt>
                <c:pt idx="1">
                  <c:v>485</c:v>
                </c:pt>
              </c:numCache>
            </c:numRef>
          </c:val>
          <c:extLst>
            <c:ext xmlns:c16="http://schemas.microsoft.com/office/drawing/2014/chart" uri="{C3380CC4-5D6E-409C-BE32-E72D297353CC}">
              <c16:uniqueId val="{00000000-4DC9-430C-B450-882CFDF0E2DB}"/>
            </c:ext>
          </c:extLst>
        </c:ser>
        <c:ser>
          <c:idx val="1"/>
          <c:order val="1"/>
          <c:tx>
            <c:strRef>
              <c:f>Tables!$C$126</c:f>
              <c:strCache>
                <c:ptCount val="1"/>
                <c:pt idx="0">
                  <c:v>September 2026</c:v>
                </c:pt>
              </c:strCache>
            </c:strRef>
          </c:tx>
          <c:spPr>
            <a:solidFill>
              <a:srgbClr val="FFC000"/>
            </a:solidFill>
            <a:ln w="6350">
              <a:solidFill>
                <a:srgbClr val="FFFFFF"/>
              </a:solidFill>
            </a:ln>
          </c:spPr>
          <c:invertIfNegative val="0"/>
          <c:dLbls>
            <c:numFmt formatCode="0;;;" sourceLinked="0"/>
            <c:spPr>
              <a:noFill/>
              <a:ln>
                <a:noFill/>
              </a:ln>
            </c:spPr>
            <c:txPr>
              <a:bodyPr/>
              <a:lstStyle/>
              <a:p>
                <a:pPr>
                  <a:defRPr sz="1100" b="1">
                    <a:solidFill>
                      <a:srgbClr val="262626"/>
                    </a:solidFill>
                    <a:latin typeface="Arial"/>
                    <a:cs typeface="Aria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Tables!$A$127:$A$128</c:f>
              <c:strCache>
                <c:ptCount val="2"/>
                <c:pt idx="0">
                  <c:v>Yes</c:v>
                </c:pt>
                <c:pt idx="1">
                  <c:v>No</c:v>
                </c:pt>
              </c:strCache>
            </c:strRef>
          </c:cat>
          <c:val>
            <c:numRef>
              <c:f>Tables!$C$127:$C$128</c:f>
              <c:numCache>
                <c:formatCode>General</c:formatCode>
                <c:ptCount val="2"/>
                <c:pt idx="0">
                  <c:v>7</c:v>
                </c:pt>
                <c:pt idx="1">
                  <c:v>22</c:v>
                </c:pt>
              </c:numCache>
            </c:numRef>
          </c:val>
          <c:extLst>
            <c:ext xmlns:c16="http://schemas.microsoft.com/office/drawing/2014/chart" uri="{C3380CC4-5D6E-409C-BE32-E72D297353CC}">
              <c16:uniqueId val="{00000001-4DC9-430C-B450-882CFDF0E2DB}"/>
            </c:ext>
          </c:extLst>
        </c:ser>
        <c:dLbls>
          <c:showLegendKey val="0"/>
          <c:showVal val="0"/>
          <c:showCatName val="0"/>
          <c:showSerName val="0"/>
          <c:showPercent val="0"/>
          <c:showBubbleSize val="0"/>
        </c:dLbls>
        <c:gapWidth val="140"/>
        <c:overlap val="100"/>
        <c:axId val="74643774"/>
        <c:axId val="82252313"/>
      </c:barChart>
      <c:catAx>
        <c:axId val="74643774"/>
        <c:scaling>
          <c:orientation val="maxMin"/>
        </c:scaling>
        <c:delete val="0"/>
        <c:axPos val="l"/>
        <c:numFmt formatCode="General" sourceLinked="0"/>
        <c:majorTickMark val="none"/>
        <c:minorTickMark val="none"/>
        <c:tickLblPos val="nextTo"/>
        <c:spPr>
          <a:ln w="9525">
            <a:solidFill>
              <a:srgbClr val="BFBFBF"/>
            </a:solidFill>
          </a:ln>
        </c:spPr>
        <c:txPr>
          <a:bodyPr/>
          <a:lstStyle/>
          <a:p>
            <a:pPr>
              <a:defRPr sz="1000" b="0">
                <a:solidFill>
                  <a:srgbClr val="262626"/>
                </a:solidFill>
                <a:latin typeface="Arial"/>
                <a:cs typeface="Arial"/>
              </a:defRPr>
            </a:pPr>
            <a:endParaRPr lang="en-US"/>
          </a:p>
        </c:txPr>
        <c:crossAx val="82252313"/>
        <c:crosses val="autoZero"/>
        <c:auto val="1"/>
        <c:lblAlgn val="ctr"/>
        <c:lblOffset val="100"/>
        <c:tickLblSkip val="1"/>
        <c:noMultiLvlLbl val="0"/>
      </c:catAx>
      <c:valAx>
        <c:axId val="82252313"/>
        <c:scaling>
          <c:orientation val="minMax"/>
        </c:scaling>
        <c:delete val="0"/>
        <c:axPos val="b"/>
        <c:majorGridlines>
          <c:spPr>
            <a:ln w="6350">
              <a:solidFill>
                <a:srgbClr val="E3E3E3"/>
              </a:solidFill>
            </a:ln>
          </c:spPr>
        </c:majorGridlines>
        <c:numFmt formatCode="0" sourceLinked="0"/>
        <c:majorTickMark val="none"/>
        <c:minorTickMark val="none"/>
        <c:tickLblPos val="nextTo"/>
        <c:spPr>
          <a:ln>
            <a:noFill/>
          </a:ln>
        </c:spPr>
        <c:txPr>
          <a:bodyPr/>
          <a:lstStyle/>
          <a:p>
            <a:pPr>
              <a:defRPr sz="1100" b="0">
                <a:solidFill>
                  <a:srgbClr val="595959"/>
                </a:solidFill>
                <a:latin typeface="Arial"/>
                <a:cs typeface="Arial"/>
              </a:defRPr>
            </a:pPr>
            <a:endParaRPr lang="en-US"/>
          </a:p>
        </c:txPr>
        <c:crossAx val="74643774"/>
        <c:crosses val="max"/>
        <c:crossBetween val="between"/>
      </c:valAx>
      <c:spPr>
        <a:noFill/>
        <a:ln>
          <a:noFill/>
        </a:ln>
      </c:spPr>
    </c:plotArea>
    <c:legend>
      <c:legendPos val="t"/>
      <c:overlay val="0"/>
      <c:txPr>
        <a:bodyPr/>
        <a:lstStyle/>
        <a:p>
          <a:pPr>
            <a:defRPr sz="900" b="0">
              <a:solidFill>
                <a:srgbClr val="262626"/>
              </a:solidFill>
              <a:latin typeface="Arial"/>
              <a:cs typeface="Arial"/>
            </a:defRPr>
          </a:pPr>
          <a:endParaRPr lang="en-US"/>
        </a:p>
      </c:txPr>
    </c:legend>
    <c:plotVisOnly val="1"/>
    <c:dispBlanksAs val="gap"/>
    <c:showDLblsOverMax val="1"/>
  </c:chart>
  <c:spPr>
    <a:solidFill>
      <a:srgbClr val="FFFFFF"/>
    </a:solidFill>
    <a:ln w="9525">
      <a:solidFill>
        <a:srgbClr val="BFBFBF"/>
      </a:solidFill>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04">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image" Target="../media/image4.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svg"/><Relationship Id="rId5" Type="http://schemas.openxmlformats.org/officeDocument/2006/relationships/image" Target="../media/image2.pn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59400</xdr:colOff>
      <xdr:row>3</xdr:row>
      <xdr:rowOff>197280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2657160" cy="10450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254000</xdr:colOff>
      <xdr:row>33</xdr:row>
      <xdr:rowOff>76200</xdr:rowOff>
    </xdr:from>
    <xdr:to>
      <xdr:col>16</xdr:col>
      <xdr:colOff>177800</xdr:colOff>
      <xdr:row>64</xdr:row>
      <xdr:rowOff>12701</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38100</xdr:colOff>
      <xdr:row>33</xdr:row>
      <xdr:rowOff>101720</xdr:rowOff>
    </xdr:from>
    <xdr:to>
      <xdr:col>4</xdr:col>
      <xdr:colOff>38100</xdr:colOff>
      <xdr:row>80</xdr:row>
      <xdr:rowOff>127000</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16</xdr:col>
      <xdr:colOff>304800</xdr:colOff>
      <xdr:row>34</xdr:row>
      <xdr:rowOff>220080</xdr:rowOff>
    </xdr:from>
    <xdr:to>
      <xdr:col>23</xdr:col>
      <xdr:colOff>368300</xdr:colOff>
      <xdr:row>56</xdr:row>
      <xdr:rowOff>46800</xdr:rowOff>
    </xdr:to>
    <xdr:graphicFrame macro="">
      <xdr:nvGraphicFramePr>
        <xdr:cNvPr id="4" name="Chart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23</xdr:col>
      <xdr:colOff>540660</xdr:colOff>
      <xdr:row>33</xdr:row>
      <xdr:rowOff>169280</xdr:rowOff>
    </xdr:from>
    <xdr:to>
      <xdr:col>31</xdr:col>
      <xdr:colOff>25400</xdr:colOff>
      <xdr:row>55</xdr:row>
      <xdr:rowOff>4280</xdr:rowOff>
    </xdr:to>
    <xdr:graphicFrame macro="">
      <xdr:nvGraphicFramePr>
        <xdr:cNvPr id="5" name="Chart 4">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4</xdr:col>
      <xdr:colOff>50800</xdr:colOff>
      <xdr:row>2</xdr:row>
      <xdr:rowOff>165100</xdr:rowOff>
    </xdr:from>
    <xdr:to>
      <xdr:col>28</xdr:col>
      <xdr:colOff>63500</xdr:colOff>
      <xdr:row>28</xdr:row>
      <xdr:rowOff>177800</xdr:rowOff>
    </xdr:to>
    <xdr:pic>
      <xdr:nvPicPr>
        <xdr:cNvPr id="8" name="Graphic 7">
          <a:extLst>
            <a:ext uri="{FF2B5EF4-FFF2-40B4-BE49-F238E27FC236}">
              <a16:creationId xmlns:a16="http://schemas.microsoft.com/office/drawing/2014/main" id="{CDA88FFC-55EF-5F72-AC8C-A3045AB982CB}"/>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7454900" y="800100"/>
          <a:ext cx="15303500" cy="8509000"/>
        </a:xfrm>
        <a:prstGeom prst="rect">
          <a:avLst/>
        </a:prstGeom>
      </xdr:spPr>
    </xdr:pic>
    <xdr:clientData/>
  </xdr:twoCellAnchor>
  <xdr:twoCellAnchor editAs="oneCell">
    <xdr:from>
      <xdr:col>23</xdr:col>
      <xdr:colOff>0</xdr:colOff>
      <xdr:row>0</xdr:row>
      <xdr:rowOff>0</xdr:rowOff>
    </xdr:from>
    <xdr:to>
      <xdr:col>30</xdr:col>
      <xdr:colOff>12700</xdr:colOff>
      <xdr:row>10</xdr:row>
      <xdr:rowOff>177800</xdr:rowOff>
    </xdr:to>
    <xdr:pic>
      <xdr:nvPicPr>
        <xdr:cNvPr id="9" name="image_0">
          <a:extLst>
            <a:ext uri="{FF2B5EF4-FFF2-40B4-BE49-F238E27FC236}">
              <a16:creationId xmlns:a16="http://schemas.microsoft.com/office/drawing/2014/main" id="{B6F7EE89-4A57-4FD5-91E2-706E35A856AB}"/>
            </a:ext>
          </a:extLst>
        </xdr:cNvPr>
        <xdr:cNvPicPr/>
      </xdr:nvPicPr>
      <xdr:blipFill>
        <a:blip xmlns:r="http://schemas.openxmlformats.org/officeDocument/2006/relationships" r:embed="rId7"/>
        <a:srcRect t="15118" r="58633" b="14600"/>
        <a:stretch/>
      </xdr:blipFill>
      <xdr:spPr>
        <a:xfrm>
          <a:off x="19837400" y="0"/>
          <a:ext cx="4013200" cy="3644900"/>
        </a:xfrm>
        <a:prstGeom prst="rect">
          <a:avLst/>
        </a:prstGeom>
        <a:ln w="0">
          <a:noFill/>
        </a:ln>
      </xdr:spPr>
    </xdr:pic>
    <xdr:clientData/>
  </xdr:twoCellAnchor>
  <xdr:twoCellAnchor editAs="oneCell">
    <xdr:from>
      <xdr:col>18</xdr:col>
      <xdr:colOff>0</xdr:colOff>
      <xdr:row>70</xdr:row>
      <xdr:rowOff>0</xdr:rowOff>
    </xdr:from>
    <xdr:to>
      <xdr:col>18</xdr:col>
      <xdr:colOff>304800</xdr:colOff>
      <xdr:row>72</xdr:row>
      <xdr:rowOff>0</xdr:rowOff>
    </xdr:to>
    <xdr:sp macro="" textlink="">
      <xdr:nvSpPr>
        <xdr:cNvPr id="1025" name="AutoShape 1" descr="Generated image 1">
          <a:extLst>
            <a:ext uri="{FF2B5EF4-FFF2-40B4-BE49-F238E27FC236}">
              <a16:creationId xmlns:a16="http://schemas.microsoft.com/office/drawing/2014/main" id="{9E2BC1F0-C24E-6ECA-9958-809957A83AB6}"/>
            </a:ext>
          </a:extLst>
        </xdr:cNvPr>
        <xdr:cNvSpPr>
          <a:spLocks noChangeAspect="1" noChangeArrowheads="1"/>
        </xdr:cNvSpPr>
      </xdr:nvSpPr>
      <xdr:spPr bwMode="auto">
        <a:xfrm>
          <a:off x="16116300" y="16363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18</xdr:col>
      <xdr:colOff>304800</xdr:colOff>
      <xdr:row>66</xdr:row>
      <xdr:rowOff>0</xdr:rowOff>
    </xdr:from>
    <xdr:to>
      <xdr:col>19</xdr:col>
      <xdr:colOff>457200</xdr:colOff>
      <xdr:row>74</xdr:row>
      <xdr:rowOff>139700</xdr:rowOff>
    </xdr:to>
    <xdr:sp macro="" textlink="">
      <xdr:nvSpPr>
        <xdr:cNvPr id="1026" name="AutoShape 2" descr="Generated image 1">
          <a:extLst>
            <a:ext uri="{FF2B5EF4-FFF2-40B4-BE49-F238E27FC236}">
              <a16:creationId xmlns:a16="http://schemas.microsoft.com/office/drawing/2014/main" id="{CDC58682-3347-A729-F63D-769557E85D18}"/>
            </a:ext>
          </a:extLst>
        </xdr:cNvPr>
        <xdr:cNvSpPr>
          <a:spLocks noChangeAspect="1" noChangeArrowheads="1"/>
        </xdr:cNvSpPr>
      </xdr:nvSpPr>
      <xdr:spPr bwMode="auto">
        <a:xfrm flipH="1" flipV="1">
          <a:off x="16433800" y="15900400"/>
          <a:ext cx="1358900" cy="13589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23</xdr:col>
      <xdr:colOff>0</xdr:colOff>
      <xdr:row>67</xdr:row>
      <xdr:rowOff>0</xdr:rowOff>
    </xdr:from>
    <xdr:to>
      <xdr:col>23</xdr:col>
      <xdr:colOff>304800</xdr:colOff>
      <xdr:row>69</xdr:row>
      <xdr:rowOff>0</xdr:rowOff>
    </xdr:to>
    <xdr:sp macro="" textlink="">
      <xdr:nvSpPr>
        <xdr:cNvPr id="1027" name="AutoShape 3" descr="Generated image 1">
          <a:extLst>
            <a:ext uri="{FF2B5EF4-FFF2-40B4-BE49-F238E27FC236}">
              <a16:creationId xmlns:a16="http://schemas.microsoft.com/office/drawing/2014/main" id="{7F0FE1E8-7ADF-5573-209E-723D62980980}"/>
            </a:ext>
          </a:extLst>
        </xdr:cNvPr>
        <xdr:cNvSpPr>
          <a:spLocks noChangeAspect="1" noChangeArrowheads="1"/>
        </xdr:cNvSpPr>
      </xdr:nvSpPr>
      <xdr:spPr bwMode="auto">
        <a:xfrm>
          <a:off x="19821525" y="15906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19</xdr:col>
      <xdr:colOff>0</xdr:colOff>
      <xdr:row>69</xdr:row>
      <xdr:rowOff>0</xdr:rowOff>
    </xdr:from>
    <xdr:to>
      <xdr:col>19</xdr:col>
      <xdr:colOff>304800</xdr:colOff>
      <xdr:row>71</xdr:row>
      <xdr:rowOff>0</xdr:rowOff>
    </xdr:to>
    <xdr:sp macro="" textlink="">
      <xdr:nvSpPr>
        <xdr:cNvPr id="1029" name="AutoShape 5" descr="Generated image 1">
          <a:extLst>
            <a:ext uri="{FF2B5EF4-FFF2-40B4-BE49-F238E27FC236}">
              <a16:creationId xmlns:a16="http://schemas.microsoft.com/office/drawing/2014/main" id="{B9F6B5EF-B5DE-54F2-C20B-12BF6E73C292}"/>
            </a:ext>
          </a:extLst>
        </xdr:cNvPr>
        <xdr:cNvSpPr>
          <a:spLocks noChangeAspect="1" noChangeArrowheads="1"/>
        </xdr:cNvSpPr>
      </xdr:nvSpPr>
      <xdr:spPr bwMode="auto">
        <a:xfrm>
          <a:off x="17316450" y="16211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0</xdr:rowOff>
    </xdr:from>
    <xdr:to>
      <xdr:col>16</xdr:col>
      <xdr:colOff>339723</xdr:colOff>
      <xdr:row>14</xdr:row>
      <xdr:rowOff>89959</xdr:rowOff>
    </xdr:to>
    <xdr:sp macro="" textlink="">
      <xdr:nvSpPr>
        <xdr:cNvPr id="2" name="TextBox 1">
          <a:extLst>
            <a:ext uri="{FF2B5EF4-FFF2-40B4-BE49-F238E27FC236}">
              <a16:creationId xmlns:a16="http://schemas.microsoft.com/office/drawing/2014/main" id="{D45148B0-9FDD-4211-8367-B0A07C1C7C92}"/>
            </a:ext>
          </a:extLst>
        </xdr:cNvPr>
        <xdr:cNvSpPr txBox="1"/>
      </xdr:nvSpPr>
      <xdr:spPr>
        <a:xfrm>
          <a:off x="0" y="482600"/>
          <a:ext cx="10677523" cy="2071159"/>
        </a:xfrm>
        <a:prstGeom prst="rect">
          <a:avLst/>
        </a:prstGeom>
        <a:solidFill>
          <a:sysClr val="window" lastClr="FFFFFF"/>
        </a:solid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While ~24% of lifting incidents in February were linked to sea swells or wind conditions, a common failure in March involved the load getting caught on or striking nearby objects (&gt;29% of March incidents).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March had more incidents involving components of the crane boom than January and February combined (4 in March in comparison to 3 total for January and February).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Several incidents in March were attributed to a lack of effective communication or coordination, making it harder for personnel to stay aware of lift movements and changes in real-time. </a:t>
          </a:r>
          <a:endParaRPr kumimoji="0" lang="en-US" sz="16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18</xdr:row>
      <xdr:rowOff>0</xdr:rowOff>
    </xdr:from>
    <xdr:to>
      <xdr:col>16</xdr:col>
      <xdr:colOff>454024</xdr:colOff>
      <xdr:row>31</xdr:row>
      <xdr:rowOff>25400</xdr:rowOff>
    </xdr:to>
    <xdr:sp macro="" textlink="">
      <xdr:nvSpPr>
        <xdr:cNvPr id="3" name="TextBox 2">
          <a:extLst>
            <a:ext uri="{FF2B5EF4-FFF2-40B4-BE49-F238E27FC236}">
              <a16:creationId xmlns:a16="http://schemas.microsoft.com/office/drawing/2014/main" id="{5211DA8C-7FD3-4B24-B7D8-48CBA6BA4204}"/>
            </a:ext>
          </a:extLst>
        </xdr:cNvPr>
        <xdr:cNvSpPr txBox="1"/>
      </xdr:nvSpPr>
      <xdr:spPr>
        <a:xfrm>
          <a:off x="0" y="3276600"/>
          <a:ext cx="10791824" cy="2171700"/>
        </a:xfrm>
        <a:prstGeom prst="rect">
          <a:avLst/>
        </a:prstGeom>
        <a:solidFill>
          <a:srgbClr val="FFFFFF"/>
        </a:solid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 Multiple lifting incidents in April indicated lapes in awareness as contributing factors to equipment damage and near misses, emphasizing the importance of reinforcing situational awareness during every lift.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 </a:t>
          </a:r>
          <a:endParaRPr kumimoji="0" lang="en-US" sz="1600" b="0" i="0" u="none" strike="noStrike" kern="0" cap="none" spc="0" normalizeH="0" baseline="0" noProof="0">
            <a:ln>
              <a:noFill/>
            </a:ln>
            <a:solidFill>
              <a:srgbClr val="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a:t>
          </a:r>
          <a:r>
            <a:rPr kumimoji="0" lang="en-US" sz="1100" b="0" i="0" u="none" strike="noStrike" kern="0" cap="none" spc="0" normalizeH="0" baseline="0" noProof="0">
              <a:ln>
                <a:noFill/>
              </a:ln>
              <a:solidFill>
                <a:srgbClr val="000000"/>
              </a:solidFill>
              <a:effectLst/>
              <a:uLnTx/>
              <a:uFillTx/>
              <a:latin typeface="Calibri" panose="020F0502020204030204"/>
              <a:ea typeface="+mn-ea"/>
              <a:cs typeface="+mn-cs"/>
            </a:rPr>
            <a:t> </a:t>
          </a:r>
          <a:r>
            <a:rPr kumimoji="0" lang="en-US" sz="16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At least 13 incidents in April reported minor to substantial damage to equipment, including cranes, tugs, slings, and miscellaneous components.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 The most common lifting failures (36%) in April involved the load snagging or contacting something during the lift and human error-related events.                         </a:t>
          </a:r>
        </a:p>
      </xdr:txBody>
    </xdr:sp>
    <xdr:clientData/>
  </xdr:twoCellAnchor>
  <xdr:twoCellAnchor>
    <xdr:from>
      <xdr:col>0</xdr:col>
      <xdr:colOff>0</xdr:colOff>
      <xdr:row>35</xdr:row>
      <xdr:rowOff>0</xdr:rowOff>
    </xdr:from>
    <xdr:to>
      <xdr:col>16</xdr:col>
      <xdr:colOff>454024</xdr:colOff>
      <xdr:row>49</xdr:row>
      <xdr:rowOff>28576</xdr:rowOff>
    </xdr:to>
    <xdr:sp macro="" textlink="">
      <xdr:nvSpPr>
        <xdr:cNvPr id="4" name="TextBox 3">
          <a:extLst>
            <a:ext uri="{FF2B5EF4-FFF2-40B4-BE49-F238E27FC236}">
              <a16:creationId xmlns:a16="http://schemas.microsoft.com/office/drawing/2014/main" id="{5C79CC2E-AE7A-4F10-A18A-C477F7709D76}"/>
            </a:ext>
          </a:extLst>
        </xdr:cNvPr>
        <xdr:cNvSpPr txBox="1"/>
      </xdr:nvSpPr>
      <xdr:spPr>
        <a:xfrm>
          <a:off x="0" y="6235700"/>
          <a:ext cx="10791824" cy="2339976"/>
        </a:xfrm>
        <a:prstGeom prst="rect">
          <a:avLst/>
        </a:prstGeom>
        <a:solidFill>
          <a:sysClr val="window" lastClr="FFFFFF"/>
        </a:solid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Multiple lifting incidents in April indicated lapes in awareness as contributing factors to equipment damage and near misses, emphasizing the importance of reinforcing situational awareness during every lift.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a:t>
          </a:r>
          <a:r>
            <a:rPr kumimoji="0" lang="en-US" sz="11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At least 13 incidents in April reported minor to substantial damage to equipment, including cranes, tugs, slings, and miscellaneous components.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The most common lifting failures (36%) in April involved the load snagging or contacting something during the lift and human error-related events.                         </a:t>
          </a:r>
        </a:p>
      </xdr:txBody>
    </xdr:sp>
    <xdr:clientData/>
  </xdr:twoCellAnchor>
  <xdr:twoCellAnchor>
    <xdr:from>
      <xdr:col>0</xdr:col>
      <xdr:colOff>0</xdr:colOff>
      <xdr:row>55</xdr:row>
      <xdr:rowOff>0</xdr:rowOff>
    </xdr:from>
    <xdr:to>
      <xdr:col>16</xdr:col>
      <xdr:colOff>454024</xdr:colOff>
      <xdr:row>67</xdr:row>
      <xdr:rowOff>102658</xdr:rowOff>
    </xdr:to>
    <xdr:sp macro="" textlink="">
      <xdr:nvSpPr>
        <xdr:cNvPr id="5" name="TextBox 4">
          <a:extLst>
            <a:ext uri="{FF2B5EF4-FFF2-40B4-BE49-F238E27FC236}">
              <a16:creationId xmlns:a16="http://schemas.microsoft.com/office/drawing/2014/main" id="{19A85610-F7CB-4427-ADA8-D3631BCDF0A3}"/>
            </a:ext>
          </a:extLst>
        </xdr:cNvPr>
        <xdr:cNvSpPr txBox="1"/>
      </xdr:nvSpPr>
      <xdr:spPr>
        <a:xfrm>
          <a:off x="0" y="9690100"/>
          <a:ext cx="10791824" cy="2083858"/>
        </a:xfrm>
        <a:prstGeom prst="rect">
          <a:avLst/>
        </a:prstGeom>
        <a:solidFill>
          <a:sysClr val="window" lastClr="FFFFFF"/>
        </a:solid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Equipment failures accounted for nearly 30% of the incidents, with issues related to slings, hydraulic components, and crane mechanisms noted.  </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Incidents involving environmental factors (e.g., unexpected swells affecting load movements) highlight a trend where many unexpected changes during the lift were directly influenced by maritime conditions.</a:t>
          </a:r>
          <a:r>
            <a:rPr kumimoji="0" lang="en-US" sz="1600" b="0" i="0" u="none" strike="noStrike" kern="0" cap="none" spc="0" normalizeH="0" baseline="0" noProof="0">
              <a:ln>
                <a:noFill/>
              </a:ln>
              <a:solidFill>
                <a:sysClr val="window" lastClr="FFFFFF"/>
              </a:solidFill>
              <a:effectLst/>
              <a:uLnTx/>
              <a:uFillTx/>
              <a:latin typeface="Arial" panose="020B0604020202020204" pitchFamily="34" charset="0"/>
              <a:ea typeface="+mn-ea"/>
              <a:cs typeface="Arial" panose="020B0604020202020204" pitchFamily="34" charset="0"/>
            </a:rPr>
            <a:t>x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Approximately 24% of decommissioning lifting incidents for 2025 occurred this month.</a:t>
          </a:r>
        </a:p>
      </xdr:txBody>
    </xdr:sp>
    <xdr:clientData/>
  </xdr:twoCellAnchor>
  <xdr:twoCellAnchor>
    <xdr:from>
      <xdr:col>0</xdr:col>
      <xdr:colOff>0</xdr:colOff>
      <xdr:row>70</xdr:row>
      <xdr:rowOff>0</xdr:rowOff>
    </xdr:from>
    <xdr:to>
      <xdr:col>16</xdr:col>
      <xdr:colOff>454024</xdr:colOff>
      <xdr:row>95</xdr:row>
      <xdr:rowOff>25400</xdr:rowOff>
    </xdr:to>
    <xdr:sp macro="" textlink="">
      <xdr:nvSpPr>
        <xdr:cNvPr id="7" name="TextBox 6">
          <a:extLst>
            <a:ext uri="{FF2B5EF4-FFF2-40B4-BE49-F238E27FC236}">
              <a16:creationId xmlns:a16="http://schemas.microsoft.com/office/drawing/2014/main" id="{55FFABD0-8E52-4E72-9334-83DF2B1A0C62}"/>
            </a:ext>
          </a:extLst>
        </xdr:cNvPr>
        <xdr:cNvSpPr txBox="1"/>
      </xdr:nvSpPr>
      <xdr:spPr>
        <a:xfrm>
          <a:off x="0" y="12319000"/>
          <a:ext cx="12392024" cy="4152900"/>
        </a:xfrm>
        <a:prstGeom prst="rect">
          <a:avLst/>
        </a:prstGeom>
        <a:solidFill>
          <a:sysClr val="window" lastClr="FFFFFF"/>
        </a:solid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r>
            <a:rPr kumimoji="0" lang="en-US" sz="1600" b="1"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Equipment Contact Remains Predominant:</a:t>
          </a:r>
          <a:b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b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Multiple incidents involved crane loads contacting handrails, gangways, or nearby structures, leading to minor property damage (mostly under $5,000). These events highlight the ongoing need for thorough lift path planning and improved load control measures.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r>
            <a:rPr kumimoji="0" lang="en-US" sz="1600" b="1"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Rigging &amp; Hardware Issues:</a:t>
          </a:r>
          <a:br>
            <a:rPr kumimoji="0" lang="en-US" sz="16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b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Sling damage, sling detachment, and a load cell strike emphasize vulnerabilities in rigging practices and hardware positioning. Ensuring proper inspections, edge protection, and secure connections is critical to preventing recurrence.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r>
            <a:rPr kumimoji="0" lang="en-US" sz="1600" b="1"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Human Factors &amp; Communication Gaps:</a:t>
          </a:r>
          <a:br>
            <a:rPr kumimoji="0" lang="en-US" sz="16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b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Miscommunication between operators and flaggers, improper tagline handling, and blind lift challenges were recurring themes. Reinforcing clear communication protocols and situational awareness remains essential.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t>
          </a:r>
          <a:r>
            <a:rPr kumimoji="0" lang="en-US" sz="1600" b="1"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High-Potential Near Misses:</a:t>
          </a:r>
          <a:br>
            <a:rPr kumimoji="0" lang="en-US" sz="1600" b="0"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b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Serious events such as a 600-lb cement bailer drop, loss of heave compensation during subsea deployment, and a banksman momentarily lifted by a tagline occurred without injury but carried significant potential risk. These incidents should be treated as learning opportunities.</a:t>
          </a:r>
        </a:p>
      </xdr:txBody>
    </xdr:sp>
    <xdr:clientData/>
  </xdr:twoCellAnchor>
  <xdr:twoCellAnchor>
    <xdr:from>
      <xdr:col>0</xdr:col>
      <xdr:colOff>0</xdr:colOff>
      <xdr:row>103</xdr:row>
      <xdr:rowOff>0</xdr:rowOff>
    </xdr:from>
    <xdr:to>
      <xdr:col>12</xdr:col>
      <xdr:colOff>485775</xdr:colOff>
      <xdr:row>121</xdr:row>
      <xdr:rowOff>25400</xdr:rowOff>
    </xdr:to>
    <xdr:sp macro="" textlink="">
      <xdr:nvSpPr>
        <xdr:cNvPr id="9" name="TextBox 8">
          <a:extLst>
            <a:ext uri="{FF2B5EF4-FFF2-40B4-BE49-F238E27FC236}">
              <a16:creationId xmlns:a16="http://schemas.microsoft.com/office/drawing/2014/main" id="{13CCAED0-D3FE-4C79-87B3-059807CC21B0}"/>
            </a:ext>
          </a:extLst>
        </xdr:cNvPr>
        <xdr:cNvSpPr txBox="1"/>
      </xdr:nvSpPr>
      <xdr:spPr>
        <a:xfrm>
          <a:off x="0" y="17894300"/>
          <a:ext cx="10137775" cy="2997200"/>
        </a:xfrm>
        <a:prstGeom prst="rect">
          <a:avLst/>
        </a:prstGeom>
        <a:solidFill>
          <a:sysClr val="window" lastClr="FFFFFF"/>
        </a:solid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August 2025, BSEE received </a:t>
          </a: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29 reports of crane and lifting-related incidents</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across the Gulf of America and California regions. The majority resulted in equipment damage, with a smaller number involving minor injuries. No fatalities were reported, and all spills were contained without environmental impact.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The most common events involved </a:t>
          </a: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loads snagging or contacting fixed structures</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frequently during blind lifts where taglines were not in use. Several </a:t>
          </a: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mechanical failures</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were also reported, including hydraulic leaks, dropped components, and one significant crane boom failure. In addition, </a:t>
          </a: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rigging issues</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—such as sling parting and supersack failures—contributed to dropped loads and near misses.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These incidents highlight the ongoing importance of </a:t>
          </a: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careful lift planning, preventive maintenance, rigging inspection, and effective crew communication</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BSEE will continue to track incident trends to help industry reduce risks and strengthen offshore lifting safety.</a:t>
          </a:r>
        </a:p>
      </xdr:txBody>
    </xdr:sp>
    <xdr:clientData/>
  </xdr:twoCellAnchor>
  <xdr:twoCellAnchor>
    <xdr:from>
      <xdr:col>0</xdr:col>
      <xdr:colOff>0</xdr:colOff>
      <xdr:row>126</xdr:row>
      <xdr:rowOff>1</xdr:rowOff>
    </xdr:from>
    <xdr:to>
      <xdr:col>14</xdr:col>
      <xdr:colOff>25400</xdr:colOff>
      <xdr:row>146</xdr:row>
      <xdr:rowOff>76201</xdr:rowOff>
    </xdr:to>
    <xdr:sp macro="" textlink="">
      <xdr:nvSpPr>
        <xdr:cNvPr id="10" name="TextBox 9">
          <a:extLst>
            <a:ext uri="{FF2B5EF4-FFF2-40B4-BE49-F238E27FC236}">
              <a16:creationId xmlns:a16="http://schemas.microsoft.com/office/drawing/2014/main" id="{71804B7A-4156-44F8-B576-E5E42D12CFF7}"/>
            </a:ext>
          </a:extLst>
        </xdr:cNvPr>
        <xdr:cNvSpPr txBox="1"/>
      </xdr:nvSpPr>
      <xdr:spPr>
        <a:xfrm>
          <a:off x="0" y="21831301"/>
          <a:ext cx="10820400" cy="3213100"/>
        </a:xfrm>
        <a:prstGeom prst="rect">
          <a:avLst/>
        </a:prstGeom>
        <a:solidFill>
          <a:sysClr val="window" lastClr="FFFFFF"/>
        </a:solid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000" b="1"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September 2025 Lifting Incidents - Monthly Highlights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Throughout September, multiple lifting-related incidents were reported across offshore operations. While no serious injuries occurred, the events highlight recurring themes that continue to drive risk during crane and material-handling activities.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Several incidents involved </a:t>
          </a:r>
          <a:r>
            <a:rPr kumimoji="0" lang="en-US" sz="14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load contact or snagging</a:t>
          </a:r>
          <a:r>
            <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particularly during tight landings, blind lifts, or when equipment protrusions were not fully accounted for in the lift path. </a:t>
          </a:r>
          <a:r>
            <a:rPr kumimoji="0" lang="en-US" sz="14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Mechanical and equipment failures</a:t>
          </a:r>
          <a:r>
            <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—including sling failures, winch issues, and unexpected engine or wire rope failures—also contributed to high-potential events, though secondary retention systems prevented more serious outcomes.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Additional incidents stemmed from </a:t>
          </a:r>
          <a:r>
            <a:rPr kumimoji="0" lang="en-US" sz="14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hose handling</a:t>
          </a:r>
          <a:r>
            <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r>
            <a:rPr kumimoji="0" lang="en-US" sz="14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chemical tote movement</a:t>
          </a:r>
          <a:r>
            <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 </a:t>
          </a:r>
          <a:r>
            <a:rPr kumimoji="0" lang="en-US" sz="14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pipe transfer operations</a:t>
          </a:r>
          <a:r>
            <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emphasizing the need for improved load control, clear communication between operators and riggers, and thorough pre-lift inspections. Positive actions such as timely all-stop calls, adherence to red-zone protocols, and rapid reporting helped prevent further escalation in several cases.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Overall, September’s activity reinforces the importance of strong lift planning, effective use of taglines, proactive equipment maintenance, and maintaining situational awareness throughout all stages of lifting operations.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0</xdr:col>
      <xdr:colOff>0</xdr:colOff>
      <xdr:row>150</xdr:row>
      <xdr:rowOff>1</xdr:rowOff>
    </xdr:from>
    <xdr:to>
      <xdr:col>20</xdr:col>
      <xdr:colOff>241300</xdr:colOff>
      <xdr:row>201</xdr:row>
      <xdr:rowOff>12701</xdr:rowOff>
    </xdr:to>
    <xdr:sp macro="" textlink="">
      <xdr:nvSpPr>
        <xdr:cNvPr id="11" name="TextBox 10">
          <a:extLst>
            <a:ext uri="{FF2B5EF4-FFF2-40B4-BE49-F238E27FC236}">
              <a16:creationId xmlns:a16="http://schemas.microsoft.com/office/drawing/2014/main" id="{AA8934A4-9EA5-41A3-B83A-D2EFC8E1FBFF}"/>
            </a:ext>
          </a:extLst>
        </xdr:cNvPr>
        <xdr:cNvSpPr txBox="1"/>
      </xdr:nvSpPr>
      <xdr:spPr>
        <a:xfrm>
          <a:off x="0" y="25920701"/>
          <a:ext cx="14465300" cy="8496300"/>
        </a:xfrm>
        <a:prstGeom prst="rect">
          <a:avLst/>
        </a:prstGeom>
        <a:solidFill>
          <a:sysClr val="window" lastClr="FFFFFF"/>
        </a:solid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1" u="sng"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Incident Volume &amp; Distribution</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36 total lifting incidents</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reported across Gulf of America districts and California operations.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Houma District</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recorded the highest number of incidents, followed by </a:t>
          </a: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New Orleans District</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with additional cases in Lake Jackson, Lafayette, Lake Charles, and California assets.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Incidents occurred across </a:t>
          </a: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drilling, production, completions, and decommissioning</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activities, with production operations representing the majority.</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1" u="sng"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1" u="sng"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Primary Incident Types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Load snag/contact events dominated</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accounting for approximately </a:t>
          </a: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65–70%</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of all incidents.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Common scenarios included:</a:t>
          </a:r>
        </a:p>
        <a:p>
          <a:pPr marL="742950" marR="0" lvl="1" indent="-2857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Loads contacting handrails, light fixtures, structural members, and vessel equipment</a:t>
          </a:r>
        </a:p>
        <a:p>
          <a:pPr marL="742950" marR="0" lvl="1" indent="-2857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Vessel motion and environmental factors contributing to unintended load movement</a:t>
          </a:r>
        </a:p>
        <a:p>
          <a:pPr marL="742950" marR="0" lvl="1" indent="-2857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Blind lifts and restricted crane positioning increasing contact risk</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Rigging and component failures</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represented ~20% of incidents, including:</a:t>
          </a:r>
        </a:p>
        <a:p>
          <a:pPr marL="742950" marR="0" lvl="1" indent="-2857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Sling failures and shifting rigging</a:t>
          </a:r>
        </a:p>
        <a:p>
          <a:pPr marL="742950" marR="0" lvl="1" indent="-2857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Detached components (bridle parts, clump weight hardware)</a:t>
          </a:r>
        </a:p>
        <a:p>
          <a:pPr marL="742950" marR="0" lvl="1" indent="-2857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Structural failures of baskets or subsea equipment</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Crane boom contact and equipment positioning events</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made up the remaining cases, typically involving boom rest misalignment or proximity hazards.</a:t>
          </a:r>
        </a:p>
        <a:p>
          <a:pPr marL="0" marR="0" lvl="0" indent="0" defTabSz="914400" eaLnBrk="1" fontAlgn="auto" latinLnBrk="0" hangingPunct="1">
            <a:lnSpc>
              <a:spcPct val="100000"/>
            </a:lnSpc>
            <a:spcBef>
              <a:spcPts val="0"/>
            </a:spcBef>
            <a:spcAft>
              <a:spcPts val="0"/>
            </a:spcAft>
            <a:buClrTx/>
            <a:buSzTx/>
            <a:buFontTx/>
            <a:buNone/>
            <a:tabLst/>
            <a:defRPr/>
          </a:pPr>
          <a:b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br>
          <a:r>
            <a:rPr kumimoji="0" lang="en-US" sz="1600" b="1" i="1" u="sng"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Operational Themes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Marine transfer operations (platform ↔ vessel)</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remained a leading exposure, contributing to multiple load contact events.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Environmental conditions</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(wind, sea state, vessel heave, subsea currents) were contributing factors in several incidents.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Human factors</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such as situational awareness gaps, lift planning deficiencies, and communication breakdowns were recurring contributors.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Several events involved </a:t>
          </a: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blind or restricted-visibility lifts</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reinforcing the need for enhanced controls.</a:t>
          </a:r>
        </a:p>
        <a:p>
          <a:pPr marL="0" marR="0" lvl="0" indent="0" defTabSz="914400" eaLnBrk="1" fontAlgn="auto" latinLnBrk="0" hangingPunct="1">
            <a:lnSpc>
              <a:spcPct val="100000"/>
            </a:lnSpc>
            <a:spcBef>
              <a:spcPts val="0"/>
            </a:spcBef>
            <a:spcAft>
              <a:spcPts val="0"/>
            </a:spcAft>
            <a:buClrTx/>
            <a:buSzTx/>
            <a:buFontTx/>
            <a:buNone/>
            <a:tabLst/>
            <a:defRPr/>
          </a:pPr>
          <a:b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br>
          <a:r>
            <a:rPr kumimoji="0" lang="en-US" sz="1600" b="1" i="0" u="sng"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Dropped Objects &amp; Injury Summary</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Multiple dropped object events occurred</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primarily involving rigging component failures and detached equipment; however:</a:t>
          </a:r>
        </a:p>
        <a:p>
          <a:pPr marL="742950" marR="0" lvl="1" indent="-2857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Most dropped objects landed in controlled or unoccupied areas.</a:t>
          </a:r>
        </a:p>
        <a:p>
          <a:pPr marL="742950" marR="0" lvl="1" indent="-2857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DROPS potential was high in select cases (e.g., tow bridle components, subsea rigging failures).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One personnel exposure incident</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occurred involving a personnel basket contacting a vessel bulwark, resulting in minor bruising.</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No major injuries or loss of containment reported.</a:t>
          </a:r>
        </a:p>
        <a:p>
          <a:pPr marL="0" marR="0" lvl="0" indent="0" defTabSz="914400" eaLnBrk="1" fontAlgn="auto" latinLnBrk="0" hangingPunct="1">
            <a:lnSpc>
              <a:spcPct val="100000"/>
            </a:lnSpc>
            <a:spcBef>
              <a:spcPts val="0"/>
            </a:spcBef>
            <a:spcAft>
              <a:spcPts val="0"/>
            </a:spcAft>
            <a:buClrTx/>
            <a:buSzTx/>
            <a:buFontTx/>
            <a:buNone/>
            <a:tabLst/>
            <a:defRPr/>
          </a:pPr>
          <a:b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br>
          <a:r>
            <a:rPr kumimoji="0" lang="en-US" sz="1600" b="1" i="0" u="sng"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Damage Severity</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Most incidents resulted in </a:t>
          </a: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minor equipment damage (&lt;$5,000)</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including handrails, fixtures, and lifting accessories.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Isolated higher-cost events involved crane components, subsea equipment, or structural repairs.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Several incidents resulted in </a:t>
          </a: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equipment being removed from service pending inspection</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0</xdr:col>
      <xdr:colOff>0</xdr:colOff>
      <xdr:row>203</xdr:row>
      <xdr:rowOff>62441</xdr:rowOff>
    </xdr:from>
    <xdr:to>
      <xdr:col>10</xdr:col>
      <xdr:colOff>512552</xdr:colOff>
      <xdr:row>230</xdr:row>
      <xdr:rowOff>787400</xdr:rowOff>
    </xdr:to>
    <xdr:sp macro="" textlink="">
      <xdr:nvSpPr>
        <xdr:cNvPr id="13" name="TextBox 12">
          <a:extLst>
            <a:ext uri="{FF2B5EF4-FFF2-40B4-BE49-F238E27FC236}">
              <a16:creationId xmlns:a16="http://schemas.microsoft.com/office/drawing/2014/main" id="{F7775E4A-E909-4FCF-B705-AA42B94309AD}"/>
            </a:ext>
          </a:extLst>
        </xdr:cNvPr>
        <xdr:cNvSpPr txBox="1"/>
      </xdr:nvSpPr>
      <xdr:spPr>
        <a:xfrm>
          <a:off x="0" y="34949341"/>
          <a:ext cx="9021552" cy="5182659"/>
        </a:xfrm>
        <a:prstGeom prst="rect">
          <a:avLst/>
        </a:prstGeom>
        <a:solidFill>
          <a:sysClr val="window" lastClr="FFFFFF"/>
        </a:solid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Incident Volume &amp; Trends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21 total incidents reported across Gulf of America districts and California</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Houma District led with 8 incidents (38% of total), followed by New Orleans District with 7 incidents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Production operations accounted for 52% of incidents, followed by drilling (24%)</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Primary Root Causes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Load snag/contact incidents dominated - occurring in 16 of 21 incidents (76%)</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Human error identified as contributing factor in majority of incidents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Poor lift planning cited in multiple crane operations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Environmental factors (vessel movement, wind, current) contributed to 4 incidents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Equipment &amp; Operation Types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Crane/material handling operations involved in 90% of incidents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Cargo baskets, containers, and pipe handling most frequently involved equipment</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Offshore supply vessel operations (backloading/offloading) represented high-risk activity</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Injuries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3 injury incidents, all minor: </a:t>
          </a:r>
        </a:p>
        <a:p>
          <a:pPr marL="742950" marR="0" lvl="1" indent="-2857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Floorhand foot injury from air hoist failure (11/7)</a:t>
          </a:r>
        </a:p>
        <a:p>
          <a:pPr marL="742950" marR="0" lvl="1" indent="-2857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Employee struck by falling shim, minor abrasion (11/17)</a:t>
          </a:r>
        </a:p>
        <a:p>
          <a:pPr marL="742950" marR="0" lvl="1" indent="-2857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Worker leg injury from sliding support beam (11/19)</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Zero injuries in 86% of incidents due to effective exclusion zones and step-back areas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11</xdr:col>
      <xdr:colOff>89957</xdr:colOff>
      <xdr:row>203</xdr:row>
      <xdr:rowOff>0</xdr:rowOff>
    </xdr:from>
    <xdr:to>
      <xdr:col>31</xdr:col>
      <xdr:colOff>368300</xdr:colOff>
      <xdr:row>230</xdr:row>
      <xdr:rowOff>1143000</xdr:rowOff>
    </xdr:to>
    <xdr:sp macro="" textlink="">
      <xdr:nvSpPr>
        <xdr:cNvPr id="14" name="TextBox 13">
          <a:extLst>
            <a:ext uri="{FF2B5EF4-FFF2-40B4-BE49-F238E27FC236}">
              <a16:creationId xmlns:a16="http://schemas.microsoft.com/office/drawing/2014/main" id="{C4B5BD59-6F1D-46BA-9301-756F2152D74D}"/>
            </a:ext>
          </a:extLst>
        </xdr:cNvPr>
        <xdr:cNvSpPr txBox="1"/>
      </xdr:nvSpPr>
      <xdr:spPr>
        <a:xfrm>
          <a:off x="9170457" y="34886900"/>
          <a:ext cx="11708343" cy="5600700"/>
        </a:xfrm>
        <a:prstGeom prst="rect">
          <a:avLst/>
        </a:prstGeom>
        <a:solidFill>
          <a:sysClr val="window" lastClr="FFFFFF"/>
        </a:solid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Incident Volume &amp; Trends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20 total incidents</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reported across Gulf of America districts and California.</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New Orleans District</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accounted for the highest volume with 8 incidents (40%), followed by </a:t>
          </a: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Houma District</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with 4 incidents (20%).</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Incidents primarily occurred during </a:t>
          </a: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material handling operations (50%)</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followed by </a:t>
          </a: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production (20%)</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and </a:t>
          </a: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drilling (20%)</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activities.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Primary Root Causes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Load snag/contact events</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were the leading cause, contributing to </a:t>
          </a: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70% (14 of 20)</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of incidents.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Human factors</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were identified in approximately </a:t>
          </a: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45%</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of cases, often tied to situational awareness and execution gaps.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Lift planning deficiencies</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were noted in multiple crane and material handling events.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Environmental factors</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(vessel movement, wind, sea state) contributed to </a:t>
          </a: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15%</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of incidents.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Equipment failures</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(rigging hardware, drill string connections, retention bolts) also accounted for </a:t>
          </a: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15%</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Equipment &amp; Operation Types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Crane and material handling operations</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were involved in </a:t>
          </a: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100%</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of incidents.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Frequently involved equipment included </a:t>
          </a: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cargo baskets, containers, tote tanks, and pipe/tubulars</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Offshore supply vessel transfers</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(backloading/offloading) remained a high-risk activity.</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Marine transfer operations</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accounted for </a:t>
          </a: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35%</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of incidents.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Drill floor events</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included dropped objects from elevators and top drive systems.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Injury Summary</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Zero injuries</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reported across all incidents.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Effective exclusion zones</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were maintained in </a:t>
          </a: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75% (15 of 20)</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of events.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Proper barricading prevented personnel exposure during </a:t>
          </a: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8 dropped object incidents</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600" b="1"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Immediate all-stop procedures</a:t>
          </a:r>
          <a:r>
            <a:rPr kumimoji="0" lang="en-US" sz="1600" b="0" i="0" u="none" strike="noStrike" kern="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were consistently implemented following load contact or equipment failures.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232</xdr:row>
      <xdr:rowOff>1</xdr:rowOff>
    </xdr:from>
    <xdr:to>
      <xdr:col>14</xdr:col>
      <xdr:colOff>258234</xdr:colOff>
      <xdr:row>289</xdr:row>
      <xdr:rowOff>76201</xdr:rowOff>
    </xdr:to>
    <xdr:sp macro="" textlink="">
      <xdr:nvSpPr>
        <xdr:cNvPr id="15" name="TextBox 14">
          <a:extLst>
            <a:ext uri="{FF2B5EF4-FFF2-40B4-BE49-F238E27FC236}">
              <a16:creationId xmlns:a16="http://schemas.microsoft.com/office/drawing/2014/main" id="{2B28A5E6-FB7A-4457-B1D6-AFBCE5CF3677}"/>
            </a:ext>
          </a:extLst>
        </xdr:cNvPr>
        <xdr:cNvSpPr txBox="1"/>
      </xdr:nvSpPr>
      <xdr:spPr>
        <a:xfrm>
          <a:off x="0" y="41554401"/>
          <a:ext cx="11053234" cy="9486900"/>
        </a:xfrm>
        <a:prstGeom prst="rect">
          <a:avLst/>
        </a:prstGeom>
        <a:solidFill>
          <a:sysClr val="window" lastClr="FFFFFF"/>
        </a:solidFill>
        <a:ln w="9525" cmpd="sng">
          <a:solidFill>
            <a:sysClr val="windowText" lastClr="000000"/>
          </a:solidFill>
        </a:ln>
        <a:effectLst>
          <a:outerShdw blurRad="50800" dist="38100" dir="2700000" algn="tl" rotWithShape="0">
            <a:prstClr val="black">
              <a:alpha val="40000"/>
            </a:prstClr>
          </a:outerShdw>
          <a:softEdge rad="12700"/>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Incident profile: January events were dominated by low‑consequence crane and material‑handling incidents, with minor equipment damage and several near‑misses; only two cases involved recordable hand/finger injuries.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Primary pattern </a:t>
          </a:r>
          <a:r>
            <a:rPr kumimoji="0" lang="en-US" sz="1600" b="1"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a:t>
          </a:r>
          <a:r>
            <a:rPr kumimoji="0" lang="en-US" sz="16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 load snag/contact: Most incidents involved loads or rigging contacting nearby structures, equipment, or vessel decks (e.g., totes, baskets, casing, test rings, BLAT, gear box, exhaust piping, light fixtures), reinforcing the need for stronger load‑path planning and proximity controls.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Rig floor, CT, and wireline operations:</a:t>
          </a:r>
          <a:r>
            <a:rPr kumimoji="0" lang="en-US" sz="16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 Multiple events occurred on rigs and deepwater intervention vessels, including:</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       -Coiled Tubing Lift Frame and tuggers contacting top‑drive cage components.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       -A 75‑ft dropped depth counter/encoder.</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       -Sling damage and failures during rig floor and casing‑handling activities.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Dropped objects </a:t>
          </a:r>
          <a:r>
            <a:rPr kumimoji="0" lang="en-US" sz="1600" b="1"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a:t>
          </a:r>
          <a:r>
            <a:rPr kumimoji="0" lang="en-US" sz="16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 controls working, but tested: Dropped items included a depth counter and an 8‑ft wireline tool string; in each case, no personnel were in the line of fire and no secondary damage was reported, indicating that barricading and step‑back controls were generally effective.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Rigging and component failures:</a:t>
          </a:r>
          <a:r>
            <a:rPr kumimoji="0" lang="en-US" sz="1600" b="0" i="0" u="sng"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 </a:t>
          </a:r>
          <a:r>
            <a:rPr kumimoji="0" lang="en-US" sz="16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Transit slings, nylon stabilization straps, guide‑weight cable, and a rope socket failed under load, but primary load lines or backup hoists maintained control of the load and prevented serious outcomes.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Weather and vessel motion:</a:t>
          </a:r>
          <a:r>
            <a:rPr kumimoji="0" lang="en-US" sz="1600" b="1"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 </a:t>
          </a:r>
          <a:r>
            <a:rPr kumimoji="0" lang="en-US" sz="16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Several vessel‑to‑platform transfers occurred in elevated sea states and winds &gt;20 knots, contributing to load shifts and contact with decks, handrails, and equipment during landing and repositioning.</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Manual handling injuries tied to lifting tasks:</a:t>
          </a:r>
          <a:r>
            <a:rPr kumimoji="0" lang="en-US" sz="1600" b="0" i="0" u="sng"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 </a:t>
          </a:r>
          <a:r>
            <a:rPr kumimoji="0" lang="en-US" sz="16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Two cases involved hand/finger injuries while guiding loads still influenced by lifting equipment (manual pallet‑jack move of a storage box; hand on bottle‑rack brace during landing), emphasizing ongoing line‑of‑fire and body‑positioning issues.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 Positive behaviors:</a:t>
          </a:r>
          <a:endParaRPr kumimoji="0" lang="en-US" sz="1600" b="0" i="0" u="sng"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-Crews frequently recognized abnormal conditions and called All Stop / Stop Work early.</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-“Safe Step Back Zone” / “Job by Design” protocols were followed in several events, preventing personnel exposure when contacts occurred.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-Short safety stand‑downs were used to reinforce situational awareness, pinch‑point recognition, and communication.</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Focus Areas Going Forward</a:t>
          </a:r>
          <a:endParaRPr kumimoji="0" lang="en-US" sz="1600" b="0" i="0" u="sng"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-Elevate quality of pre‑lift JSAs and lift plans, especially around proximity hazards, travel paths, and vessel motion.</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-Strengthen rigging inspection and control of auxiliary lines (tuggers, skinner lines, utility winches).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-Maintain robust dropped‑object prevention for ancillary equipment on booms, frames, and structures (counters, lights, small‑bore tubing, exhausts).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-Reinforce line‑of‑fire awareness during both powered lifting and “simple” manual moves linked to lifting operations.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14</xdr:col>
      <xdr:colOff>385234</xdr:colOff>
      <xdr:row>232</xdr:row>
      <xdr:rowOff>76199</xdr:rowOff>
    </xdr:from>
    <xdr:to>
      <xdr:col>36</xdr:col>
      <xdr:colOff>101600</xdr:colOff>
      <xdr:row>289</xdr:row>
      <xdr:rowOff>101600</xdr:rowOff>
    </xdr:to>
    <xdr:sp macro="" textlink="">
      <xdr:nvSpPr>
        <xdr:cNvPr id="16" name="TextBox 15">
          <a:extLst>
            <a:ext uri="{FF2B5EF4-FFF2-40B4-BE49-F238E27FC236}">
              <a16:creationId xmlns:a16="http://schemas.microsoft.com/office/drawing/2014/main" id="{5003F478-3AE2-45ED-AFFF-520653C2AF6A}"/>
            </a:ext>
          </a:extLst>
        </xdr:cNvPr>
        <xdr:cNvSpPr txBox="1"/>
      </xdr:nvSpPr>
      <xdr:spPr>
        <a:xfrm>
          <a:off x="11180234" y="41630599"/>
          <a:ext cx="12289366" cy="9436101"/>
        </a:xfrm>
        <a:prstGeom prst="rect">
          <a:avLst/>
        </a:prstGeom>
        <a:solidFill>
          <a:sysClr val="window" lastClr="FFFFFF"/>
        </a:solidFill>
        <a:ln w="9525" cmpd="sng">
          <a:solidFill>
            <a:sysClr val="windowText" lastClr="000000"/>
          </a:solidFill>
        </a:ln>
        <a:effectLst>
          <a:outerShdw blurRad="50800" dist="38100" dir="2700000" algn="tl" rotWithShape="0">
            <a:prstClr val="black">
              <a:alpha val="40000"/>
            </a:prstClr>
          </a:outerShdw>
          <a:softEdge rad="12700"/>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Event profile:</a:t>
          </a: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 February saw a high number of crane, rigging, and material‑handling events, including several dropped objects, rigging failures, and multiple contacts with lights, gangways, handrails, and structural members. Most incidents resulted in equipment damage only; no serious injuries were reported.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Dominant pattern</a:t>
          </a: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 – load contact and snag: Many events involved suspended loads or hooks contacting nearby structures or equipment (tote/Conex/light poles, radar, gangways, ladders, windows, handrails, boom rest, structural beams) during vessel transfers, backloading, and blind or off‑center lifts. These continue to highlight the need for stronger load‑path planning, use of taglines, and line‑of‑sight/communications discipline.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Dropped objects and lost loads:</a:t>
          </a:r>
          <a:endPar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Several notable dropped‑object events occurred (e.g., drill line hang‑off bracket and attached line, casing protectors, elevator components, pipe stands, ventilation ducting, gas bottle racks, stair‑tower rigging, ROV sampling skid to seabed).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In most cases, barricades, red‑zone controls, and DROPS shelters kept personnel out of the fall zone, preventing injuries, but the number of events shows that hardware condition, rigging configuration, and secondary retention still need attention.</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Rigging and equipment failures:</a:t>
          </a: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 Multiple incidents involved failure of rigging or lifting components (wire‑rope slings, web straps, guide‑weight cable on LARS, sheave support cable, rope socket, air‑tugger sling, hoist/load cell issues, uncommanded hoist descent). These underline the importance of pre‑use inspection, retirement criteria, correct WLL selection, and ensuring backup systems or secondary supports are in place where practicable.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Drilling and pipe‑handling exposures:</a:t>
          </a: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 Several events occurred on drill floors and in derricks—pipe bundles striking brackets, stands slipping from bridge rackers or elevators, miscounted joints causing tubing damage, slips/bar‑clamp grip loss, and sheave support‑cable separation during block hang‑off. Controls such as flagged‑off areas, DROPS shelters, and Job‑by‑Design step‑back zones generally worked as intended, but the frequency of near‑misses suggests a need to sharpen situational awareness, equipment condition checks, and procedural adherence in pipe‑handling systems.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Marine interface and gangway damage:</a:t>
          </a: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 Multiple incidents involved crane loads contacting vessel gangways and handrails during offload/backload evolutions, sometimes with the damage only discovered at the dock. These incidents point to the importance of joint lift planning with vessel crews, clear communication about gangway positions, and conservative swing/boom limits near gangways and bulwarks.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Manual handling and line‑of‑fire issues</a:t>
          </a: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 A hand/finger pinch at a chemical tote dump station and a near miss where a signalman was briefly lifted by an entangled tagline demonstrate persistent line‑of‑fire and body‑positioning risks around otherwise “routine” crane tasks and line retrieval.</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Positive defenses observed:</a:t>
          </a:r>
          <a:endPar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     -Crews frequently initiated All Stop / Stop Work upon recognizing abnormal conditions.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     -Red zones, barricades, and step‑back areas were generally in place and effective at keeping personnel out of drop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       zones.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     -Several events triggered immediate stand‑downs, JSAs/toolbox‑talk reviews, and equipment inspections before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       resuming operations.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Focus Areas for Improvement</a:t>
          </a:r>
          <a:endParaRPr kumimoji="0" lang="en-US" sz="1400" b="0" i="0" u="sng"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-Strengthen pre‑lift planning and JSAs for proximity hazards, blind lifts, off‑center lifts, and operations near lights,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  gangways, and structural members.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-Improve rigging selection, inspection, and retirement practices, especially for auxiliary lines, web straps,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  small‑diameter slings, and OEM attachment points (eyelets, frames, brackets).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-Reinforce DROPS controls and secondary retention for ancillary components (brackets, lights, guards, counters, small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  hardware) exposed to rotating or swinging loads.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rPr>
            <a:t>-Emphasize line‑of‑fire awareness, clear communication, and body positioning during both powered lifting operations  and associated manual handling tasks.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0</xdr:col>
      <xdr:colOff>0</xdr:colOff>
      <xdr:row>294</xdr:row>
      <xdr:rowOff>4235</xdr:rowOff>
    </xdr:from>
    <xdr:to>
      <xdr:col>14</xdr:col>
      <xdr:colOff>533008</xdr:colOff>
      <xdr:row>332</xdr:row>
      <xdr:rowOff>97367</xdr:rowOff>
    </xdr:to>
    <xdr:sp macro="" textlink="">
      <xdr:nvSpPr>
        <xdr:cNvPr id="17" name="TextBox 16">
          <a:extLst>
            <a:ext uri="{FF2B5EF4-FFF2-40B4-BE49-F238E27FC236}">
              <a16:creationId xmlns:a16="http://schemas.microsoft.com/office/drawing/2014/main" id="{03CBA4A4-8158-42C2-BDE4-7ED9D4A80E74}"/>
            </a:ext>
          </a:extLst>
        </xdr:cNvPr>
        <xdr:cNvSpPr txBox="1"/>
      </xdr:nvSpPr>
      <xdr:spPr>
        <a:xfrm>
          <a:off x="0" y="51947235"/>
          <a:ext cx="11328008" cy="6366932"/>
        </a:xfrm>
        <a:prstGeom prst="rect">
          <a:avLst/>
        </a:prstGeom>
        <a:solidFill>
          <a:sysClr val="window" lastClr="FFFFFF"/>
        </a:solidFill>
        <a:ln w="9525" cmpd="sng">
          <a:solidFill>
            <a:srgbClr val="E7E6E6">
              <a:lumMod val="50000"/>
            </a:srgbClr>
          </a:solidFill>
        </a:ln>
        <a:effectLst>
          <a:glow rad="127000">
            <a:sysClr val="window" lastClr="FFFFFF">
              <a:lumMod val="85000"/>
            </a:sysClr>
          </a:glow>
          <a:outerShdw blurRad="63500" dist="50800" dir="2700000" algn="tl" rotWithShape="0">
            <a:prstClr val="black">
              <a:alpha val="29000"/>
            </a:prstClr>
          </a:outerShdw>
          <a:softEdge rad="12700"/>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Overall:</a:t>
          </a:r>
          <a:r>
            <a:rPr kumimoji="0" lang="en-US" sz="1400" b="0"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 </a:t>
          </a: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Numerous crane, rigging, and material‑handling events across drilling, production, and decommissioning; almost all were no‑injury, equipment‑damage or near‑miss events.</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Main pattern– </a:t>
          </a: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contact and snag: Most incidents involved loads, hooks, or headache balls contacting lights, handrails, scaffolding, gangways, vessel gear, or structural members during vessel transfers, rig‑floor moves, and subsea work.</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Dropped objects &amp; rigging failures: </a:t>
          </a: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Repeated small and moderate dropped objects (handrails, hardware, tools, gas bottle rack, pipe protectors, gearboxes, hatch, sling to moonpool) plus failures of slings, web straps, support cables, crane wires, and anti‑two‑block/encoder components.</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Drilling &amp; pipe handling, and subsea exposures: :</a:t>
          </a:r>
          <a:r>
            <a:rPr kumimoji="0" lang="en-US" sz="1400" b="0"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 </a:t>
          </a: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Multiple near‑misses with pipe handling systems (fingerboard latches, gripper heads, drill pipe releases, work‑string slips) and subsea operations (jumper lifts, hydrate deflector, crane block and cable to seabed), though red‑zone and DROPS controls generally kept personnel clear.</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Human factors::</a:t>
          </a:r>
          <a:r>
            <a:rPr kumimoji="0" lang="en-US" sz="1400" b="0"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 </a:t>
          </a: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Loss of crane power/relay faults during subsea jumper work, hydrate deflector and crane‑block/cable issues, and multiple vessel‑interface contacts (gangways, vents, masts, generator doors) stress the need for tighter vessel–facility lift planning and crane controls assurance.</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Human factors:</a:t>
          </a:r>
          <a:r>
            <a:rPr kumimoji="0" lang="en-US" sz="1400" b="0"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 </a:t>
          </a: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Tagline entanglements, a swing‑rope fall overboard, and several events where people were protected only because they were in step‑back/ barricaded areas show ongoing line‑of‑fire and communication challenges.</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Positive safety observations:</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Crews frequently used All Stop / Stop Work Authority when something didn’t look right.</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Red‑zones, barricades, DROPS shelters, secondary retention, and step‑back practices consistently prevented injuries when equipment failed or objects fell.</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Several events triggered immediate inspections, stand‑downs, and hazard hunts (e.g., handrail integrity checks), showing strong learning and follow‑through.</a:t>
          </a:r>
          <a:endPar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endParaRP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Focus areas:</a:t>
          </a:r>
          <a:r>
            <a:rPr kumimoji="0" lang="en-US" sz="1400" b="0"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 </a:t>
          </a: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Better lift planning and JSAs for vessel interface, blind/off‑center lifts, and subsea work.</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Stronger rigging and crane‑line inspection/retirement practices and verification of safety devices.</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Reinforced tagline management, swing‑rope practices, and line‑of‑fire awareness.</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endParaRPr kumimoji="0" lang="en-US" sz="1400" b="0" i="0" u="none" strike="noStrike" kern="0" cap="none" spc="0" normalizeH="0" baseline="0" noProof="0">
            <a:ln>
              <a:noFill/>
            </a:ln>
            <a:solidFill>
              <a:srgbClr val="27251E"/>
            </a:solidFill>
            <a:effectLst/>
            <a:uLnTx/>
            <a:uFillTx/>
            <a:latin typeface="Segoe UI" panose="020B0502040204020203" pitchFamily="34" charset="0"/>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13</xdr:col>
      <xdr:colOff>533402</xdr:colOff>
      <xdr:row>294</xdr:row>
      <xdr:rowOff>0</xdr:rowOff>
    </xdr:from>
    <xdr:to>
      <xdr:col>36</xdr:col>
      <xdr:colOff>12700</xdr:colOff>
      <xdr:row>363</xdr:row>
      <xdr:rowOff>118534</xdr:rowOff>
    </xdr:to>
    <xdr:sp macro="" textlink="">
      <xdr:nvSpPr>
        <xdr:cNvPr id="18" name="TextBox 17">
          <a:extLst>
            <a:ext uri="{FF2B5EF4-FFF2-40B4-BE49-F238E27FC236}">
              <a16:creationId xmlns:a16="http://schemas.microsoft.com/office/drawing/2014/main" id="{53E50255-009C-45C8-B252-B6536D69FEE4}"/>
            </a:ext>
          </a:extLst>
        </xdr:cNvPr>
        <xdr:cNvSpPr txBox="1"/>
      </xdr:nvSpPr>
      <xdr:spPr>
        <a:xfrm>
          <a:off x="10756902" y="51943000"/>
          <a:ext cx="12623798" cy="11662834"/>
        </a:xfrm>
        <a:prstGeom prst="rect">
          <a:avLst/>
        </a:prstGeom>
        <a:solidFill>
          <a:sysClr val="window" lastClr="FFFFFF"/>
        </a:solidFill>
        <a:ln w="9525" cmpd="sng">
          <a:solidFill>
            <a:srgbClr val="E7E6E6">
              <a:lumMod val="50000"/>
            </a:srgbClr>
          </a:solidFill>
        </a:ln>
        <a:effectLst>
          <a:glow rad="127000">
            <a:sysClr val="window" lastClr="FFFFFF">
              <a:lumMod val="85000"/>
            </a:sysClr>
          </a:glow>
          <a:outerShdw blurRad="63500" dist="50800" dir="2700000" algn="tl" rotWithShape="0">
            <a:prstClr val="black">
              <a:alpha val="29000"/>
            </a:prstClr>
          </a:outerShdw>
          <a:softEdge rad="12700"/>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Overall:</a:t>
          </a:r>
          <a:r>
            <a:rPr kumimoji="0" lang="en-US" sz="1400" b="0"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 </a:t>
          </a: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Thirty-one crane, rigging, and material-handling events were reported across drilling, production, and decommissioning operations in the Gulf of America and Pacific Region. The vast majority were no-injury, near-miss, or minor equipment-damage events. One recordable hand injury (fracture) and one first-aid finger pinch were the only personnel injuries. Three incidents involved personnel baskets, including one hard landing with minor injuries to all three occupants.</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Main pattern </a:t>
          </a: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 contact and snag: The dominant failure mode was load contact or snag, accounting for the majority of events. Loads, crane hooks, crane booms, and slings contacted handrails, light fixtures, vessel vents, hose racks, stanchion posts, structural members, and adjacent cranes during vessel transfers, rig-floor moves, backloading, and subsea operations. Poor lift path planning and inadequate clearance control were recurring causal factors.</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Dropped objects &amp; rigging failures: </a:t>
          </a: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Multiple rigging failures and dropped objects were reported, including: a 2″ nylon lifting strap that parted during subsea jumper handling; a 5/8″ × 22″ safety link sling (WLL 3.9T) that failed during 18″ casing running operations; a 22″ casing thread protector (12.1 lbs) that fell from approximately 8 feet onto a vessel deck; and sheared bolts, a valve assembly, and a sight glass valve assembly that fell short distances due to contact events. DROPS netting successfully contained a crane hook–damaged light bracket in one instance.</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Drilling &amp; pipe handling exposures: </a:t>
          </a: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Several significant pipe and racking system events occurred. A BRC Bit Stand (114 ft, 20,500 lbs) slipped approximately 18″ through the Main VPH grip jaw and contacted the drill floor, with root cause attributed to peak load oscillations near the grip profile limit. A riser tilt cylinder load-holding valve twice contacted the BRC trolley beam during traveling assembly lowering, shearing securing bolts on both occasions. A drill pipe joint parted under approximately 360,000 lbs of tensile load during casing pulling operations. A drill string slipped approximately 7 feet during milling operations before slips were engaged. Pipe stand contact with a torque tube assembly resulted in three sheared bracket bolts recovered on the rig floor.</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Human factors </a:t>
          </a: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 crane and vessel operations: An unsecured crane slewed uncontrolled in 15–20 mph winds after the operator exited the cab without properly locking it. A crane boom was damaged after the operator parked it too close to a boom rest support, and experienced resistance upon raising. A knuckle boom crane contacted a pipe deck handrail during maintenance positioning. Multiple vessel-interface contacts involving drum racks, scaffold baskets, and grocery boxes in swells of 5–10 ft and winds up to 25 knots highlight the ongoing need for tighter lift planning and environmental condition awareness during vessel transfers.</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Human factors – tagline and line-of-fire: </a:t>
          </a: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A roustabout sustained a recordable hand fracture when a co-worker released a tagline without warning, transferring full load to the injured person’s hands against a handrail. A fuel tote rotated during crane-assisted placement, pinching a worker’s thumb between the suspended load and an adjacent tank – a first-aid injury attributed in part to non-compliant PPE (incorrect gloves). These events reinforce persistent line-of-fire and communication challenges during personnel-proximate lifting tasks.</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Positive safety observations:</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Crews consistently invoked All Stop / Stop Work Authority when abnormal conditions were recognized – including the crane operator who halted operations upon sensing resistance during boom raising, and the driller who immediately stopped when sling damage was observed during casing running.</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Red zones, barricades, and DROPS controls (netting, secondary retention) were in place and effective in multiple events – particularly during the drill floor pipe handling incidents where black-zoning and personnel exclusion prevented injuries.</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Several events triggered immediate stand-downs, inspections, and safety discussions with crews, showing strong follow-through from supervisors and offshore installation managers.</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The successful engagement of stationary slips during drill string slippage on the A025 well prevented a potentially more serious dropped-string event.</a:t>
          </a:r>
        </a:p>
        <a:p>
          <a:pPr marL="0" marR="0" lvl="0" indent="0" defTabSz="914400" eaLnBrk="1" fontAlgn="auto" latinLnBrk="0" hangingPunct="1">
            <a:lnSpc>
              <a:spcPct val="100000"/>
            </a:lnSpc>
            <a:spcBef>
              <a:spcPts val="400"/>
            </a:spcBef>
            <a:spcAft>
              <a:spcPts val="300"/>
            </a:spcAft>
            <a:buClrTx/>
            <a:buSzTx/>
            <a:buFontTx/>
            <a:buNone/>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ea typeface="Calibri" panose="020F0502020204030204" pitchFamily="34" charset="0"/>
              <a:cs typeface="Segoe UI" panose="020B0502040204020203" pitchFamily="34" charset="0"/>
            </a:rPr>
            <a:t>Focus areas:</a:t>
          </a:r>
          <a:endPar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Calibri" panose="020F0502020204030204" pitchFamily="34" charset="0"/>
            <a:cs typeface="Segoe UI" panose="020B0502040204020203" pitchFamily="34" charset="0"/>
          </a:endParaRPr>
        </a:p>
        <a:p>
          <a:pPr marL="342900" marR="0" lvl="0" indent="-342900" algn="l" defTabSz="914400" eaLnBrk="1" fontAlgn="auto" latinLnBrk="0" hangingPunct="1">
            <a:lnSpc>
              <a:spcPct val="100000"/>
            </a:lnSpc>
            <a:spcBef>
              <a:spcPts val="0"/>
            </a:spcBef>
            <a:spcAft>
              <a:spcPts val="300"/>
            </a:spcAft>
            <a:buClrTx/>
            <a:buSzTx/>
            <a:buFont typeface="Arial" panose="020B0604020202020204" pitchFamily="34" charset="0"/>
            <a:buChar char="•"/>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Calibri" panose="020F0502020204030204" pitchFamily="34" charset="0"/>
              <a:cs typeface="Segoe UI" panose="020B0502040204020203" pitchFamily="34" charset="0"/>
            </a:rPr>
            <a:t>Lift path planning and JSA quality for vessel-interface lifts, blind/off-center lifts, and operations in elevated sea states – the majority of contact incidents were preventable with better pre-lift clearance assessment.</a:t>
          </a:r>
        </a:p>
        <a:p>
          <a:pPr marL="342900" marR="0" lvl="0" indent="-342900" defTabSz="914400" eaLnBrk="1" fontAlgn="auto" latinLnBrk="0" hangingPunct="1">
            <a:lnSpc>
              <a:spcPct val="100000"/>
            </a:lnSpc>
            <a:spcBef>
              <a:spcPts val="0"/>
            </a:spcBef>
            <a:spcAft>
              <a:spcPts val="300"/>
            </a:spcAft>
            <a:buClrTx/>
            <a:buSzTx/>
            <a:buFont typeface="Arial" panose="020B0604020202020204" pitchFamily="34" charset="0"/>
            <a:buChar char="•"/>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Calibri" panose="020F0502020204030204" pitchFamily="34" charset="0"/>
              <a:cs typeface="Segoe UI" panose="020B0502040204020203" pitchFamily="34" charset="0"/>
            </a:rPr>
            <a:t>Rigging inspection and retirement practices – the sling failure during 18″ casing running and the nylon strap failure during subsea jumper handling both point to rigging condition verification as a key control.</a:t>
          </a:r>
        </a:p>
        <a:p>
          <a:pPr marL="342900" marR="0" lvl="0" indent="-342900" defTabSz="914400" eaLnBrk="1" fontAlgn="auto" latinLnBrk="0" hangingPunct="1">
            <a:lnSpc>
              <a:spcPct val="100000"/>
            </a:lnSpc>
            <a:spcBef>
              <a:spcPts val="0"/>
            </a:spcBef>
            <a:spcAft>
              <a:spcPts val="300"/>
            </a:spcAft>
            <a:buClrTx/>
            <a:buSzTx/>
            <a:buFont typeface="Arial" panose="020B0604020202020204" pitchFamily="34" charset="0"/>
            <a:buChar char="•"/>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Calibri" panose="020F0502020204030204" pitchFamily="34" charset="0"/>
              <a:cs typeface="Segoe UI" panose="020B0502040204020203" pitchFamily="34" charset="0"/>
            </a:rPr>
            <a:t>Pipe racking and VPH system load limit awareness – multiple BRC/VPH contact and slip events indicate a need for reinforced OEM load limit compliance and pre-operation checks on grip systems under heavy BHA configurations.</a:t>
          </a:r>
        </a:p>
        <a:p>
          <a:pPr marL="342900" marR="0" lvl="0" indent="-342900" defTabSz="914400" eaLnBrk="1" fontAlgn="auto" latinLnBrk="0" hangingPunct="1">
            <a:lnSpc>
              <a:spcPct val="100000"/>
            </a:lnSpc>
            <a:spcBef>
              <a:spcPts val="0"/>
            </a:spcBef>
            <a:spcAft>
              <a:spcPts val="300"/>
            </a:spcAft>
            <a:buClrTx/>
            <a:buSzTx/>
            <a:buFont typeface="Arial" panose="020B0604020202020204" pitchFamily="34" charset="0"/>
            <a:buChar char="•"/>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Calibri" panose="020F0502020204030204" pitchFamily="34" charset="0"/>
              <a:cs typeface="Segoe UI" panose="020B0502040204020203" pitchFamily="34" charset="0"/>
            </a:rPr>
            <a:t>Tagline communication protocols and suspended-load exclusion zones – the recordable hand injury and finger pinch both occurred when personnel were within the load’s fall or swing radius during final placement.</a:t>
          </a:r>
        </a:p>
        <a:p>
          <a:pPr marL="342900" marR="0" lvl="0" indent="-342900" defTabSz="914400" eaLnBrk="1" fontAlgn="auto" latinLnBrk="0" hangingPunct="1">
            <a:lnSpc>
              <a:spcPct val="100000"/>
            </a:lnSpc>
            <a:spcBef>
              <a:spcPts val="0"/>
            </a:spcBef>
            <a:spcAft>
              <a:spcPts val="300"/>
            </a:spcAft>
            <a:buClrTx/>
            <a:buSzTx/>
            <a:buFont typeface="Arial" panose="020B0604020202020204" pitchFamily="34" charset="0"/>
            <a:buChar char="•"/>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ea typeface="Calibri" panose="020F0502020204030204" pitchFamily="34" charset="0"/>
              <a:cs typeface="Segoe UI" panose="020B0502040204020203" pitchFamily="34" charset="0"/>
            </a:rPr>
            <a:t>Crane lockout/securement discipline – the unsecured crane swinging in wind is a high-potential event that warrants reinforcement of crane parking and lockout procedures across facilities.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0</xdr:col>
      <xdr:colOff>0</xdr:colOff>
      <xdr:row>370</xdr:row>
      <xdr:rowOff>152400</xdr:rowOff>
    </xdr:from>
    <xdr:to>
      <xdr:col>24</xdr:col>
      <xdr:colOff>355600</xdr:colOff>
      <xdr:row>408</xdr:row>
      <xdr:rowOff>127000</xdr:rowOff>
    </xdr:to>
    <xdr:sp macro="" textlink="">
      <xdr:nvSpPr>
        <xdr:cNvPr id="21" name="TextBox 20">
          <a:extLst>
            <a:ext uri="{FF2B5EF4-FFF2-40B4-BE49-F238E27FC236}">
              <a16:creationId xmlns:a16="http://schemas.microsoft.com/office/drawing/2014/main" id="{8E7D2DF3-CBBF-4834-9AB1-C7E718CED569}"/>
            </a:ext>
          </a:extLst>
        </xdr:cNvPr>
        <xdr:cNvSpPr txBox="1"/>
      </xdr:nvSpPr>
      <xdr:spPr>
        <a:xfrm>
          <a:off x="0" y="64960500"/>
          <a:ext cx="16865600" cy="6388100"/>
        </a:xfrm>
        <a:prstGeom prst="rect">
          <a:avLst/>
        </a:prstGeom>
        <a:solidFill>
          <a:sysClr val="window" lastClr="FFFFFF"/>
        </a:solidFill>
        <a:ln w="9525" cmpd="sng">
          <a:solidFill>
            <a:srgbClr val="E7E6E6">
              <a:lumMod val="50000"/>
            </a:srgbClr>
          </a:solidFill>
        </a:ln>
        <a:effectLst>
          <a:glow rad="127000">
            <a:sysClr val="window" lastClr="FFFFFF">
              <a:lumMod val="85000"/>
            </a:sysClr>
          </a:glow>
          <a:outerShdw blurRad="63500" dist="50800" dir="2700000" algn="tl" rotWithShape="0">
            <a:prstClr val="black">
              <a:alpha val="29000"/>
            </a:prstClr>
          </a:outerShdw>
          <a:softEdge rad="12700"/>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Overall: </a:t>
          </a: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Forty-four crane, rigging, and material-handling events were reported during drilling, production, completion, workover, decommissioning, and other offshore operations. Nearly all resulted in no injuries or only minor equipment damage. Three events had significant high-consequence potential: a 28-pound lock ring fell approximately 120 feet from a top drive (identified through DROPS analysis as having fatality potential); a catastrophic lifting-point failure caused a 300-ton tank to fall back onto the dock during a heavy lift; and a personnel rope-swing transfer resulted in a man overboard. One first-aid strain injury was also reported.</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Main pattern </a:t>
          </a: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 Load contact and snag events accounted for well over half of all reported incidents. Suspended loads, crane booms, and rigging contacted handrails, light fixtures, vessel structures, piping, exhaust stacks, and adjacent cranes during vessel transfers, deck moves, and backloading operations. The primary contributing factors were inadequate lift-path planning and insufficient clearance assessments, often compounded by vessel motion in 3- to 10-foot seas and winds reaching 25 knots.</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Dropped objects &amp; rigging failures: </a:t>
          </a: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Beyond the high-consequence events above, additional dropped objects included a life raft container that fell into the water and deployed on impact, a steel hose hang-off peg (3 lbs, ~40 ft), a Teflon spacer pad (2.5 lbs, ~6 ft), scrap tubing dragged overboard by a tagline, and minor items dislodged by load contact. A 5/8″ safety link sling and a nylon lifting strap also failed during tubular handling operations.</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Drilling &amp; pipe handling, and subsea exposures: :</a:t>
          </a:r>
          <a:r>
            <a:rPr kumimoji="0" lang="en-US" sz="1400" b="0"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 </a:t>
          </a: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A second BRC grip jaw slip occurred on May 9 – a 22,000-lb bit stand slipped 12–18 inches in the Aux-side BRC and contacted the Lower Guide Assembly, mirroring the April 18 Invictus Rig event. This recurring pattern in VPH systems warrants targeted review. Additional events included BX5 elevator unexpected opening during tripping, a TFM trolley derailment caused by an empty sling snagging a pad eye, and elevator slippage dropping a bumper jar/spear assembly ~8 feet.</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Human factors: </a:t>
          </a: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Human performance issues continued to contribute to lifting incidents. Off-center lifts were associated with at least four swing and contact events, including one near miss in which an employee narrowly avoided being pinned between a fuel tote and a handrail. Personnel exposure to line-of-fire hazards remained a recurring concern. A Quick Flange tool fell onto a scaffold occupied by three workers, while a Teflon spacer pad landed approximately 6 feet from an employee handling a tagline. During a subsea basket recovery, a radio warning identifying an off-center load was not acted upon before the load swung uncontrollably, highlighting the importance of responding promptly to hazard communications.</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Positive safety observations:</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Stop Work Authority was exercised promptly in multiple events, limiting escalation in the TFM trolley shift, cuttings box snag, duct section lift, and crane boom contact incidents.</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Red zones were clear by design in the top-drive lock ring event, preventing what DROPS analysis identified as a potentially fatal struck-by incident.</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Safety stand-downs and pre-job briefings using prompt cards and Job by Design were consistently documented, reflecting a proactive hazard identification culture.</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1"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Focus areas:</a:t>
          </a:r>
          <a:r>
            <a:rPr kumimoji="0" lang="en-US" sz="1400" b="0" i="0" u="sng"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 </a:t>
          </a: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VPH/BRC grip jaw load-limit compliance – two nearly identical bit-stand slip events in consecutive months require OEM consultation, operator guidance, and pre-operation load verification for heavy BHA configurations.</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Lift path planning and clearance assessment for congested deck and vessel-interface lifts, particularly in elevated sea states.</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Rigging engineering for heavy and complex lifts – the 300-ton tank lifting-point cascade failure requires investigation of lift point design and pre-lift engineering verification standards.</a:t>
          </a:r>
        </a:p>
        <a:p>
          <a:pPr marL="0" marR="0" lvl="0" indent="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400" b="0" i="0" u="none" strike="noStrike" kern="0" cap="none" spc="0" normalizeH="0" baseline="0" noProof="0">
              <a:ln>
                <a:noFill/>
              </a:ln>
              <a:solidFill>
                <a:sysClr val="windowText" lastClr="000000"/>
              </a:solidFill>
              <a:effectLst/>
              <a:uLnTx/>
              <a:uFillTx/>
              <a:latin typeface="Segoe UI" panose="020B0502040204020203" pitchFamily="34" charset="0"/>
              <a:cs typeface="Segoe UI" panose="020B0502040204020203" pitchFamily="34" charset="0"/>
            </a:rPr>
            <a:t>Line-of-fire and personnel exclusion zone enforcement during all lifting and personnel transfer operations.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0</xdr:col>
      <xdr:colOff>0</xdr:colOff>
      <xdr:row>415</xdr:row>
      <xdr:rowOff>0</xdr:rowOff>
    </xdr:from>
    <xdr:to>
      <xdr:col>30</xdr:col>
      <xdr:colOff>4233</xdr:colOff>
      <xdr:row>490</xdr:row>
      <xdr:rowOff>102521</xdr:rowOff>
    </xdr:to>
    <xdr:sp macro="" textlink="">
      <xdr:nvSpPr>
        <xdr:cNvPr id="22" name="TextBox 2">
          <a:extLst>
            <a:ext uri="{FF2B5EF4-FFF2-40B4-BE49-F238E27FC236}">
              <a16:creationId xmlns:a16="http://schemas.microsoft.com/office/drawing/2014/main" id="{88125A86-B010-43A9-B323-A93EF67D96C3}"/>
            </a:ext>
          </a:extLst>
        </xdr:cNvPr>
        <xdr:cNvSpPr txBox="1"/>
      </xdr:nvSpPr>
      <xdr:spPr>
        <a:xfrm>
          <a:off x="0" y="72542400"/>
          <a:ext cx="19943233" cy="12485021"/>
        </a:xfrm>
        <a:prstGeom prst="rect">
          <a:avLst/>
        </a:prstGeom>
        <a:solidFill>
          <a:schemeClr val="bg1"/>
        </a:solidFill>
        <a:effectLst>
          <a:glow rad="228600">
            <a:srgbClr val="4472C4">
              <a:satMod val="175000"/>
              <a:alpha val="40000"/>
            </a:srgbClr>
          </a:glow>
        </a:effectLst>
      </xdr:spPr>
      <xdr:txBody>
        <a:bodyPr wrap="square">
          <a:spAutoFit/>
        </a:bodyPr>
        <a:lstStyle>
          <a:defPPr>
            <a:defRPr lang="en-US"/>
          </a:defPPr>
          <a:lvl1pPr marL="0" algn="l" defTabSz="914400" rtl="0" eaLnBrk="1" latinLnBrk="0" hangingPunct="1">
            <a:defRPr sz="1800" kern="1200">
              <a:solidFill>
                <a:sysClr val="windowText" lastClr="000000"/>
              </a:solidFill>
              <a:latin typeface="Aptos" panose="02110004020202020204"/>
            </a:defRPr>
          </a:lvl1pPr>
          <a:lvl2pPr marL="457200" algn="l" defTabSz="914400" rtl="0" eaLnBrk="1" latinLnBrk="0" hangingPunct="1">
            <a:defRPr sz="1800" kern="1200">
              <a:solidFill>
                <a:sysClr val="windowText" lastClr="000000"/>
              </a:solidFill>
              <a:latin typeface="Aptos" panose="02110004020202020204"/>
            </a:defRPr>
          </a:lvl2pPr>
          <a:lvl3pPr marL="914400" algn="l" defTabSz="914400" rtl="0" eaLnBrk="1" latinLnBrk="0" hangingPunct="1">
            <a:defRPr sz="1800" kern="1200">
              <a:solidFill>
                <a:sysClr val="windowText" lastClr="000000"/>
              </a:solidFill>
              <a:latin typeface="Aptos" panose="02110004020202020204"/>
            </a:defRPr>
          </a:lvl3pPr>
          <a:lvl4pPr marL="1371600" algn="l" defTabSz="914400" rtl="0" eaLnBrk="1" latinLnBrk="0" hangingPunct="1">
            <a:defRPr sz="1800" kern="1200">
              <a:solidFill>
                <a:sysClr val="windowText" lastClr="000000"/>
              </a:solidFill>
              <a:latin typeface="Aptos" panose="02110004020202020204"/>
            </a:defRPr>
          </a:lvl4pPr>
          <a:lvl5pPr marL="1828800" algn="l" defTabSz="914400" rtl="0" eaLnBrk="1" latinLnBrk="0" hangingPunct="1">
            <a:defRPr sz="1800" kern="1200">
              <a:solidFill>
                <a:sysClr val="windowText" lastClr="000000"/>
              </a:solidFill>
              <a:latin typeface="Aptos" panose="02110004020202020204"/>
            </a:defRPr>
          </a:lvl5pPr>
          <a:lvl6pPr marL="2286000" algn="l" defTabSz="914400" rtl="0" eaLnBrk="1" latinLnBrk="0" hangingPunct="1">
            <a:defRPr sz="1800" kern="1200">
              <a:solidFill>
                <a:sysClr val="windowText" lastClr="000000"/>
              </a:solidFill>
              <a:latin typeface="Aptos" panose="02110004020202020204"/>
            </a:defRPr>
          </a:lvl6pPr>
          <a:lvl7pPr marL="2743200" algn="l" defTabSz="914400" rtl="0" eaLnBrk="1" latinLnBrk="0" hangingPunct="1">
            <a:defRPr sz="1800" kern="1200">
              <a:solidFill>
                <a:sysClr val="windowText" lastClr="000000"/>
              </a:solidFill>
              <a:latin typeface="Aptos" panose="02110004020202020204"/>
            </a:defRPr>
          </a:lvl7pPr>
          <a:lvl8pPr marL="3200400" algn="l" defTabSz="914400" rtl="0" eaLnBrk="1" latinLnBrk="0" hangingPunct="1">
            <a:defRPr sz="1800" kern="1200">
              <a:solidFill>
                <a:sysClr val="windowText" lastClr="000000"/>
              </a:solidFill>
              <a:latin typeface="Aptos" panose="02110004020202020204"/>
            </a:defRPr>
          </a:lvl8pPr>
          <a:lvl9pPr marL="3657600" algn="l" defTabSz="914400" rtl="0" eaLnBrk="1" latinLnBrk="0" hangingPunct="1">
            <a:defRPr sz="1800" kern="1200">
              <a:solidFill>
                <a:sysClr val="windowText" lastClr="000000"/>
              </a:solidFill>
              <a:latin typeface="Aptos" panose="02110004020202020204"/>
            </a:defRPr>
          </a:lvl9pPr>
        </a:lstStyle>
        <a:p>
          <a:pPr marL="0" marR="0" lvl="0" indent="0" algn="l" defTabSz="914400" rtl="0" eaLnBrk="1" fontAlgn="auto" latinLnBrk="0" hangingPunct="1">
            <a:lnSpc>
              <a:spcPct val="120000"/>
            </a:lnSpc>
            <a:spcBef>
              <a:spcPts val="0"/>
            </a:spcBef>
            <a:spcAft>
              <a:spcPts val="0"/>
            </a:spcAft>
            <a:buClrTx/>
            <a:buSzTx/>
            <a:buFontTx/>
            <a:buNone/>
            <a:tabLst/>
            <a:defRPr/>
          </a:pPr>
          <a:r>
            <a:rPr kumimoji="0" lang="en-US" sz="1800" b="0"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June 2026 recorded </a:t>
          </a:r>
          <a:r>
            <a:rPr kumimoji="0" lang="en-US" sz="1800" b="1" i="0" u="sng"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36 lifting and material-handling incidents/events</a:t>
          </a:r>
          <a:r>
            <a:rPr kumimoji="0" lang="en-US" sz="1800" b="0" i="0" u="sng"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a:t>
          </a:r>
          <a:r>
            <a:rPr kumimoji="0" lang="en-US" sz="1800" b="0"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across BSEE districts and regions. The majority of events involved </a:t>
          </a:r>
          <a:r>
            <a:rPr kumimoji="0" lang="en-US" sz="1800" b="1"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load contact, snagging, equipment component failures, dropped objects, and deficiencies in lift-path planning or clearance management</a:t>
          </a:r>
          <a:r>
            <a:rPr kumimoji="0" lang="en-US" sz="1800" b="0"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Two personnel injuries were reported, both involving line-of-fire/pinch-point exposures. No fatalities or serious injuries were reported.</a:t>
          </a:r>
        </a:p>
        <a:p>
          <a:pPr marL="0" marR="0" lvl="0" indent="0" algn="l" defTabSz="914400" rtl="0" eaLnBrk="1" fontAlgn="auto" latinLnBrk="0" hangingPunct="1">
            <a:lnSpc>
              <a:spcPct val="120000"/>
            </a:lnSpc>
            <a:spcBef>
              <a:spcPts val="0"/>
            </a:spcBef>
            <a:spcAft>
              <a:spcPts val="0"/>
            </a:spcAft>
            <a:buClrTx/>
            <a:buSzTx/>
            <a:buFontTx/>
            <a:buNone/>
            <a:tabLst/>
            <a:defRPr/>
          </a:pPr>
          <a:r>
            <a:rPr kumimoji="0" lang="en-US" sz="1800" b="1" i="0" u="sng"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Monthly Performance Summary</a:t>
          </a:r>
        </a:p>
        <a:p>
          <a:pPr marL="342900" marR="0" lvl="0" indent="-342900" algn="l" defTabSz="914400" rtl="0" eaLnBrk="1" fontAlgn="auto" latinLnBrk="0" hangingPunct="1">
            <a:lnSpc>
              <a:spcPct val="120000"/>
            </a:lnSpc>
            <a:spcBef>
              <a:spcPts val="0"/>
            </a:spcBef>
            <a:spcAft>
              <a:spcPts val="0"/>
            </a:spcAft>
            <a:buClrTx/>
            <a:buSzTx/>
            <a:buFont typeface="Arial" panose="020B0604020202020204" pitchFamily="34" charset="0"/>
            <a:buChar char="•"/>
            <a:tabLst/>
            <a:defRPr/>
          </a:pPr>
          <a:r>
            <a:rPr kumimoji="0" lang="en-US" sz="1800" b="1"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Total Lifting &amp; Material Handling Events:</a:t>
          </a:r>
          <a:r>
            <a:rPr kumimoji="0" lang="en-US" sz="1800" b="0"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36 </a:t>
          </a:r>
        </a:p>
        <a:p>
          <a:pPr marL="342900" marR="0" lvl="0" indent="-342900" algn="l" defTabSz="914400" rtl="0" eaLnBrk="1" fontAlgn="auto" latinLnBrk="0" hangingPunct="1">
            <a:lnSpc>
              <a:spcPct val="120000"/>
            </a:lnSpc>
            <a:spcBef>
              <a:spcPts val="0"/>
            </a:spcBef>
            <a:spcAft>
              <a:spcPts val="0"/>
            </a:spcAft>
            <a:buClrTx/>
            <a:buSzTx/>
            <a:buFont typeface="Arial" panose="020B0604020202020204" pitchFamily="34" charset="0"/>
            <a:buChar char="•"/>
            <a:tabLst/>
            <a:defRPr/>
          </a:pPr>
          <a:r>
            <a:rPr kumimoji="0" lang="en-US" sz="1800" b="1"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Dropped Object Events:</a:t>
          </a:r>
          <a:r>
            <a:rPr kumimoji="0" lang="en-US" sz="1800" b="0"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9 </a:t>
          </a:r>
        </a:p>
        <a:p>
          <a:pPr marL="342900" marR="0" lvl="0" indent="-342900" algn="l" defTabSz="914400" rtl="0" eaLnBrk="1" fontAlgn="auto" latinLnBrk="0" hangingPunct="1">
            <a:lnSpc>
              <a:spcPct val="120000"/>
            </a:lnSpc>
            <a:spcBef>
              <a:spcPts val="0"/>
            </a:spcBef>
            <a:spcAft>
              <a:spcPts val="0"/>
            </a:spcAft>
            <a:buClrTx/>
            <a:buSzTx/>
            <a:buFont typeface="Arial" panose="020B0604020202020204" pitchFamily="34" charset="0"/>
            <a:buChar char="•"/>
            <a:tabLst/>
            <a:defRPr/>
          </a:pPr>
          <a:r>
            <a:rPr kumimoji="0" lang="en-US" sz="1800" b="1"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Personnel Injuries:</a:t>
          </a:r>
          <a:r>
            <a:rPr kumimoji="0" lang="en-US" sz="1800" b="0"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2 First Aid Cases </a:t>
          </a:r>
        </a:p>
        <a:p>
          <a:pPr marL="342900" marR="0" lvl="0" indent="-342900" algn="l" defTabSz="914400" rtl="0" eaLnBrk="1" fontAlgn="auto" latinLnBrk="0" hangingPunct="1">
            <a:lnSpc>
              <a:spcPct val="120000"/>
            </a:lnSpc>
            <a:spcBef>
              <a:spcPts val="0"/>
            </a:spcBef>
            <a:spcAft>
              <a:spcPts val="0"/>
            </a:spcAft>
            <a:buClrTx/>
            <a:buSzTx/>
            <a:buFont typeface="Arial" panose="020B0604020202020204" pitchFamily="34" charset="0"/>
            <a:buChar char="•"/>
            <a:tabLst/>
            <a:defRPr/>
          </a:pPr>
          <a:r>
            <a:rPr kumimoji="0" lang="en-US" sz="1800" b="1"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Environmental Impacts:</a:t>
          </a:r>
          <a:r>
            <a:rPr kumimoji="0" lang="en-US" sz="1800" b="0"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No significant environmental releases were reported. </a:t>
          </a:r>
        </a:p>
        <a:p>
          <a:pPr marL="342900" marR="0" lvl="0" indent="-342900" algn="l" defTabSz="914400" rtl="0" eaLnBrk="1" fontAlgn="auto" latinLnBrk="0" hangingPunct="1">
            <a:lnSpc>
              <a:spcPct val="120000"/>
            </a:lnSpc>
            <a:spcBef>
              <a:spcPts val="0"/>
            </a:spcBef>
            <a:spcAft>
              <a:spcPts val="0"/>
            </a:spcAft>
            <a:buClrTx/>
            <a:buSzTx/>
            <a:buFont typeface="Arial" panose="020B0604020202020204" pitchFamily="34" charset="0"/>
            <a:buChar char="•"/>
            <a:tabLst/>
            <a:defRPr/>
          </a:pPr>
          <a:r>
            <a:rPr kumimoji="0" lang="en-US" sz="1800" b="1"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Property/Equipment Damage:</a:t>
          </a:r>
          <a:r>
            <a:rPr kumimoji="0" lang="en-US" sz="1800" b="0"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Multiple events resulted in equipment or structural damage. </a:t>
          </a:r>
        </a:p>
        <a:p>
          <a:pPr marL="342900" marR="0" lvl="0" indent="-342900" algn="l" defTabSz="914400" rtl="0" eaLnBrk="1" fontAlgn="auto" latinLnBrk="0" hangingPunct="1">
            <a:lnSpc>
              <a:spcPct val="120000"/>
            </a:lnSpc>
            <a:spcBef>
              <a:spcPts val="0"/>
            </a:spcBef>
            <a:spcAft>
              <a:spcPts val="0"/>
            </a:spcAft>
            <a:buClrTx/>
            <a:buSzTx/>
            <a:buFont typeface="Arial" panose="020B0604020202020204" pitchFamily="34" charset="0"/>
            <a:buChar char="•"/>
            <a:tabLst/>
            <a:defRPr/>
          </a:pPr>
          <a:r>
            <a:rPr kumimoji="0" lang="en-US" sz="1800" b="1"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Known Estimated Property Damage:</a:t>
          </a:r>
          <a:r>
            <a:rPr kumimoji="0" lang="en-US" sz="1800" b="0"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Approximately </a:t>
          </a:r>
          <a:r>
            <a:rPr kumimoji="0" lang="en-US" sz="1800" b="1"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$72,600</a:t>
          </a:r>
          <a:r>
            <a:rPr kumimoji="0" lang="en-US" sz="1800" b="0"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excluding events where final repair costs were not yet determined. </a:t>
          </a:r>
        </a:p>
        <a:p>
          <a:pPr marL="342900" marR="0" lvl="0" indent="-342900" algn="l" defTabSz="914400" rtl="0" eaLnBrk="1" fontAlgn="auto" latinLnBrk="0" hangingPunct="1">
            <a:lnSpc>
              <a:spcPct val="120000"/>
            </a:lnSpc>
            <a:spcBef>
              <a:spcPts val="0"/>
            </a:spcBef>
            <a:spcAft>
              <a:spcPts val="0"/>
            </a:spcAft>
            <a:buClrTx/>
            <a:buSzTx/>
            <a:buFont typeface="Arial" panose="020B0604020202020204" pitchFamily="34" charset="0"/>
            <a:buChar char="•"/>
            <a:tabLst/>
            <a:defRPr/>
          </a:pPr>
          <a:r>
            <a:rPr kumimoji="0" lang="en-US" sz="1800" b="1"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Highest-Cost Event:</a:t>
          </a:r>
          <a:r>
            <a:rPr kumimoji="0" lang="en-US" sz="1800" b="0"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Crane fast-line failure and loss of a suspended load, approximately $800,000, occurred outside the June reporting period and is therefore not included in the June total. </a:t>
          </a:r>
        </a:p>
        <a:p>
          <a:pPr marL="0" marR="0" lvl="0" indent="0" algn="l" defTabSz="914400" rtl="0" eaLnBrk="1" fontAlgn="auto" latinLnBrk="0" hangingPunct="1">
            <a:lnSpc>
              <a:spcPct val="120000"/>
            </a:lnSpc>
            <a:spcBef>
              <a:spcPts val="0"/>
            </a:spcBef>
            <a:spcAft>
              <a:spcPts val="0"/>
            </a:spcAft>
            <a:buClrTx/>
            <a:buSzTx/>
            <a:buFontTx/>
            <a:buNone/>
            <a:tabLst/>
            <a:defRPr/>
          </a:pPr>
          <a:r>
            <a:rPr kumimoji="0" lang="en-US" sz="1800" b="1" i="0" u="sng"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Key Incident Trends</a:t>
          </a:r>
        </a:p>
        <a:p>
          <a:pPr marL="0" marR="0" lvl="0" indent="0" algn="l" defTabSz="914400" rtl="0" eaLnBrk="1" fontAlgn="auto" latinLnBrk="0" hangingPunct="1">
            <a:lnSpc>
              <a:spcPct val="120000"/>
            </a:lnSpc>
            <a:spcBef>
              <a:spcPts val="0"/>
            </a:spcBef>
            <a:spcAft>
              <a:spcPts val="0"/>
            </a:spcAft>
            <a:buClrTx/>
            <a:buSzTx/>
            <a:buFontTx/>
            <a:buNone/>
            <a:tabLst/>
            <a:defRPr/>
          </a:pPr>
          <a:r>
            <a:rPr kumimoji="0" lang="en-US" sz="1800" b="1"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Load Contact / Snagging:</a:t>
          </a:r>
          <a:br>
            <a:rPr kumimoji="0" lang="en-US" sz="1800" b="0"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br>
          <a:r>
            <a:rPr kumimoji="0" lang="en-US" sz="1800" b="0"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Load contact and snagging remained the dominant event type during June. Several incidents involved suspended loads contacting handrails, blast walls, tubing trays, scaffolding, adjacent cargo, or other fixed equipment. These events demonstrate continued challenges with maintaining adequate clearance during crane operations, particularly in congested areas and during vessel offloading.</a:t>
          </a:r>
        </a:p>
        <a:p>
          <a:pPr marL="0" marR="0" lvl="0" indent="0" algn="l" defTabSz="914400" rtl="0" eaLnBrk="1" fontAlgn="auto" latinLnBrk="0" hangingPunct="1">
            <a:lnSpc>
              <a:spcPct val="120000"/>
            </a:lnSpc>
            <a:spcBef>
              <a:spcPts val="0"/>
            </a:spcBef>
            <a:spcAft>
              <a:spcPts val="0"/>
            </a:spcAft>
            <a:buClrTx/>
            <a:buSzTx/>
            <a:buFontTx/>
            <a:buNone/>
            <a:tabLst/>
            <a:defRPr/>
          </a:pPr>
          <a:r>
            <a:rPr kumimoji="0" lang="en-US" sz="1800" b="1"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Dropped Objects:</a:t>
          </a:r>
          <a:br>
            <a:rPr kumimoji="0" lang="en-US" sz="1800" b="0"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br>
          <a:r>
            <a:rPr kumimoji="0" lang="en-US" sz="1800" b="0"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Nine dropped-object events were recorded. Events included dropped racker components, a removable handrail, drill pipe components, a fingerboard latch, a crane engine fuel filter, a cobra head, and a wire rope. Several of these events involved equipment or components falling significant distances. Effective red-zone and personnel-exclusion controls prevented injuries in multiple cases.</a:t>
          </a:r>
        </a:p>
        <a:p>
          <a:pPr marL="0" marR="0" lvl="0" indent="0" algn="l" defTabSz="914400" rtl="0" eaLnBrk="1" fontAlgn="auto" latinLnBrk="0" hangingPunct="1">
            <a:lnSpc>
              <a:spcPct val="120000"/>
            </a:lnSpc>
            <a:spcBef>
              <a:spcPts val="0"/>
            </a:spcBef>
            <a:spcAft>
              <a:spcPts val="0"/>
            </a:spcAft>
            <a:buClrTx/>
            <a:buSzTx/>
            <a:buFontTx/>
            <a:buNone/>
            <a:tabLst/>
            <a:defRPr/>
          </a:pPr>
          <a:r>
            <a:rPr kumimoji="0" lang="en-US" sz="1800" b="1"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Equipment and Rigging Failures:</a:t>
          </a:r>
          <a:br>
            <a:rPr kumimoji="0" lang="en-US" sz="1800" b="0"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br>
          <a:r>
            <a:rPr kumimoji="0" lang="en-US" sz="1800" b="0"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Several events resulted from mechanical or component failures, including chain fall failure, crane swing-system malfunction, Yo-Yo connection pin failure, hydraulic riser running tool leakage, crane winch malfunction, and Snake Grip failure during wire-rope removal. These events highlight the importance of inspection, maintenance, equipment condition monitoring, and proper selection and use of lifting components.</a:t>
          </a:r>
        </a:p>
        <a:p>
          <a:pPr marL="0" marR="0" lvl="0" indent="0" algn="l" defTabSz="914400" rtl="0" eaLnBrk="1" fontAlgn="auto" latinLnBrk="0" hangingPunct="1">
            <a:lnSpc>
              <a:spcPct val="120000"/>
            </a:lnSpc>
            <a:spcBef>
              <a:spcPts val="0"/>
            </a:spcBef>
            <a:spcAft>
              <a:spcPts val="0"/>
            </a:spcAft>
            <a:buClrTx/>
            <a:buSzTx/>
            <a:buFontTx/>
            <a:buNone/>
            <a:tabLst/>
            <a:defRPr/>
          </a:pPr>
          <a:r>
            <a:rPr kumimoji="0" lang="en-US" sz="1800" b="1"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Poor Lift Planning / Clearance Management:</a:t>
          </a:r>
          <a:br>
            <a:rPr kumimoji="0" lang="en-US" sz="1800" b="0"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br>
          <a:r>
            <a:rPr kumimoji="0" lang="en-US" sz="1800" b="0"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A recurring contributing factor was inadequate consideration of the complete load path and surrounding obstructions. Several events occurred despite the use of taglines, radio communications, signal personnel, or established red zones. The incidents demonstrate that these controls must be supported by effective pre-lift planning, clearance verification, and continuous monitoring of suspended-load movement.</a:t>
          </a:r>
        </a:p>
        <a:p>
          <a:pPr marL="0" marR="0" lvl="0" indent="0" algn="l" defTabSz="914400" rtl="0" eaLnBrk="1" fontAlgn="auto" latinLnBrk="0" hangingPunct="1">
            <a:lnSpc>
              <a:spcPct val="120000"/>
            </a:lnSpc>
            <a:spcBef>
              <a:spcPts val="0"/>
            </a:spcBef>
            <a:spcAft>
              <a:spcPts val="0"/>
            </a:spcAft>
            <a:buClrTx/>
            <a:buSzTx/>
            <a:buFontTx/>
            <a:buNone/>
            <a:tabLst/>
            <a:defRPr/>
          </a:pPr>
          <a:r>
            <a:rPr kumimoji="0" lang="en-US" sz="1800" b="1"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Human Factors:</a:t>
          </a:r>
          <a:br>
            <a:rPr kumimoji="0" lang="en-US" sz="1800" b="0"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br>
          <a:r>
            <a:rPr kumimoji="0" lang="en-US" sz="1800" b="0"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Human error was identified as a contributing factor in numerous events, including premature release of equipment, improper elevator insert selection, inadvertent crane control activation, inadequate communication, and insufficient attention to load-path clearance.</a:t>
          </a:r>
        </a:p>
        <a:p>
          <a:pPr marL="0" marR="0" lvl="0" indent="0" algn="l" defTabSz="914400" rtl="0" eaLnBrk="1" fontAlgn="auto" latinLnBrk="0" hangingPunct="1">
            <a:lnSpc>
              <a:spcPct val="120000"/>
            </a:lnSpc>
            <a:spcBef>
              <a:spcPts val="0"/>
            </a:spcBef>
            <a:spcAft>
              <a:spcPts val="0"/>
            </a:spcAft>
            <a:buClrTx/>
            <a:buSzTx/>
            <a:buFontTx/>
            <a:buNone/>
            <a:tabLst/>
            <a:defRPr/>
          </a:pPr>
          <a:r>
            <a:rPr kumimoji="0" lang="en-US" sz="1800" b="1"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Positive Safety Performance</a:t>
          </a:r>
        </a:p>
        <a:p>
          <a:pPr marL="0" marR="0" lvl="0" indent="0" algn="l" defTabSz="914400" rtl="0" eaLnBrk="1" fontAlgn="auto" latinLnBrk="0" hangingPunct="1">
            <a:lnSpc>
              <a:spcPct val="120000"/>
            </a:lnSpc>
            <a:spcBef>
              <a:spcPts val="0"/>
            </a:spcBef>
            <a:spcAft>
              <a:spcPts val="0"/>
            </a:spcAft>
            <a:buClrTx/>
            <a:buSzTx/>
            <a:buFontTx/>
            <a:buNone/>
            <a:tabLst/>
            <a:defRPr/>
          </a:pPr>
          <a:r>
            <a:rPr kumimoji="0" lang="en-US" sz="1800" b="0"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Despite the number of events, several positive safety behaviors were demonstrated throughout the month. </a:t>
          </a:r>
          <a:r>
            <a:rPr kumimoji="0" lang="en-US" sz="1800" b="1"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All Stop/Stop Work Authority was exercised in numerous incidents</a:t>
          </a:r>
          <a:r>
            <a:rPr kumimoji="0" lang="en-US" sz="1800" b="0"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allowing operations to be safely interrupted before conditions escalated. Red zones and step-back areas were effectively used during several dropped-object events, preventing personnel exposure to falling loads or components. Secondary retention devices also successfully arrested a falling light fixture during one casing-offload incident.</a:t>
          </a:r>
        </a:p>
        <a:p>
          <a:pPr marL="0" marR="0" lvl="0" indent="0" algn="l" defTabSz="914400" rtl="0" eaLnBrk="1" fontAlgn="auto" latinLnBrk="0" hangingPunct="1">
            <a:lnSpc>
              <a:spcPct val="120000"/>
            </a:lnSpc>
            <a:spcBef>
              <a:spcPts val="0"/>
            </a:spcBef>
            <a:spcAft>
              <a:spcPts val="0"/>
            </a:spcAft>
            <a:buClrTx/>
            <a:buSzTx/>
            <a:buFontTx/>
            <a:buNone/>
            <a:tabLst/>
            <a:defRPr/>
          </a:pPr>
          <a:r>
            <a:rPr kumimoji="0" lang="en-US" sz="1800" b="1" i="0" u="sng"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Overall Assessment</a:t>
          </a:r>
        </a:p>
        <a:p>
          <a:pPr marL="0" marR="0" lvl="0" indent="0" algn="l" defTabSz="914400" rtl="0" eaLnBrk="1" fontAlgn="auto" latinLnBrk="0" hangingPunct="1">
            <a:lnSpc>
              <a:spcPct val="120000"/>
            </a:lnSpc>
            <a:spcBef>
              <a:spcPts val="0"/>
            </a:spcBef>
            <a:spcAft>
              <a:spcPts val="0"/>
            </a:spcAft>
            <a:buClrTx/>
            <a:buSzTx/>
            <a:buFontTx/>
            <a:buNone/>
            <a:tabLst/>
            <a:defRPr/>
          </a:pPr>
          <a:r>
            <a:rPr kumimoji="0" lang="en-US" sz="1800" b="0"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The June data continues to show that </a:t>
          </a:r>
          <a:r>
            <a:rPr kumimoji="0" lang="en-US" sz="1800" b="1"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load-path management, clearance verification, rigging practices, and equipment condition</a:t>
          </a:r>
          <a:r>
            <a:rPr kumimoji="0" lang="en-US" sz="1800" b="0" i="0" u="none" strike="noStrike" kern="1200" cap="none" spc="0" normalizeH="0" baseline="0" noProof="0">
              <a:ln>
                <a:noFill/>
              </a:ln>
              <a:solidFill>
                <a:sysClr val="windowText" lastClr="000000"/>
              </a:solidFill>
              <a:effectLst/>
              <a:uLnTx/>
              <a:uFillTx/>
              <a:latin typeface="Arial" panose="020B0604020202020204" pitchFamily="34" charset="0"/>
              <a:cs typeface="Arial" panose="020B0604020202020204" pitchFamily="34" charset="0"/>
            </a:rPr>
            <a:t> are key areas requiring continued attention. The recurring nature of load-contact events indicates an opportunity to strengthen pre-lift planning, including identification of obstructions, verification of swing and travel paths, positioning of signalmen and riggers, and consideration of vessel movement and load dynamics. Continued emphasis on Stop Work Authority, red-zone management, and thorough pre-use inspections remains critical to reducing the potential for dropped objects and personnel injuries.July 2026 Monthly snapshot -Lifting and Material Handling</a:t>
          </a:r>
        </a:p>
      </xdr:txBody>
    </xdr:sp>
    <xdr:clientData/>
  </xdr:twoCellAnchor>
  <xdr:twoCellAnchor>
    <xdr:from>
      <xdr:col>0</xdr:col>
      <xdr:colOff>0</xdr:colOff>
      <xdr:row>495</xdr:row>
      <xdr:rowOff>0</xdr:rowOff>
    </xdr:from>
    <xdr:to>
      <xdr:col>21</xdr:col>
      <xdr:colOff>7894</xdr:colOff>
      <xdr:row>560</xdr:row>
      <xdr:rowOff>163790</xdr:rowOff>
    </xdr:to>
    <xdr:sp macro="" textlink="">
      <xdr:nvSpPr>
        <xdr:cNvPr id="24" name="TextBox 2">
          <a:extLst>
            <a:ext uri="{FF2B5EF4-FFF2-40B4-BE49-F238E27FC236}">
              <a16:creationId xmlns:a16="http://schemas.microsoft.com/office/drawing/2014/main" id="{38E3EB6E-C617-C1AA-CE7B-E24DD443C6A4}"/>
            </a:ext>
          </a:extLst>
        </xdr:cNvPr>
        <xdr:cNvSpPr txBox="1"/>
      </xdr:nvSpPr>
      <xdr:spPr>
        <a:xfrm>
          <a:off x="0" y="85966300"/>
          <a:ext cx="14803394" cy="10895290"/>
        </a:xfrm>
        <a:prstGeom prst="rect">
          <a:avLst/>
        </a:prstGeom>
        <a:solidFill>
          <a:schemeClr val="bg1"/>
        </a:solidFill>
        <a:ln>
          <a:solidFill>
            <a:srgbClr val="000000"/>
          </a:solidFill>
        </a:ln>
      </xdr:spPr>
      <xdr:txBody>
        <a:bodyPr wrap="square">
          <a:spAutoFit/>
        </a:bodyPr>
        <a:lstStyle>
          <a:defPPr>
            <a:defRPr lang="en-US"/>
          </a:defPPr>
          <a:lvl1pPr marL="0" algn="l" defTabSz="457200" rtl="0" eaLnBrk="1" latinLnBrk="0" hangingPunct="1">
            <a:defRPr sz="1800" kern="1200">
              <a:solidFill>
                <a:sysClr val="windowText" lastClr="000000"/>
              </a:solidFill>
              <a:latin typeface="Calibri"/>
            </a:defRPr>
          </a:lvl1pPr>
          <a:lvl2pPr marL="457200" algn="l" defTabSz="457200" rtl="0" eaLnBrk="1" latinLnBrk="0" hangingPunct="1">
            <a:defRPr sz="1800" kern="1200">
              <a:solidFill>
                <a:sysClr val="windowText" lastClr="000000"/>
              </a:solidFill>
              <a:latin typeface="Calibri"/>
            </a:defRPr>
          </a:lvl2pPr>
          <a:lvl3pPr marL="914400" algn="l" defTabSz="457200" rtl="0" eaLnBrk="1" latinLnBrk="0" hangingPunct="1">
            <a:defRPr sz="1800" kern="1200">
              <a:solidFill>
                <a:sysClr val="windowText" lastClr="000000"/>
              </a:solidFill>
              <a:latin typeface="Calibri"/>
            </a:defRPr>
          </a:lvl3pPr>
          <a:lvl4pPr marL="1371600" algn="l" defTabSz="457200" rtl="0" eaLnBrk="1" latinLnBrk="0" hangingPunct="1">
            <a:defRPr sz="1800" kern="1200">
              <a:solidFill>
                <a:sysClr val="windowText" lastClr="000000"/>
              </a:solidFill>
              <a:latin typeface="Calibri"/>
            </a:defRPr>
          </a:lvl4pPr>
          <a:lvl5pPr marL="1828800" algn="l" defTabSz="457200" rtl="0" eaLnBrk="1" latinLnBrk="0" hangingPunct="1">
            <a:defRPr sz="1800" kern="1200">
              <a:solidFill>
                <a:sysClr val="windowText" lastClr="000000"/>
              </a:solidFill>
              <a:latin typeface="Calibri"/>
            </a:defRPr>
          </a:lvl5pPr>
          <a:lvl6pPr marL="2286000" algn="l" defTabSz="457200" rtl="0" eaLnBrk="1" latinLnBrk="0" hangingPunct="1">
            <a:defRPr sz="1800" kern="1200">
              <a:solidFill>
                <a:sysClr val="windowText" lastClr="000000"/>
              </a:solidFill>
              <a:latin typeface="Calibri"/>
            </a:defRPr>
          </a:lvl6pPr>
          <a:lvl7pPr marL="2743200" algn="l" defTabSz="457200" rtl="0" eaLnBrk="1" latinLnBrk="0" hangingPunct="1">
            <a:defRPr sz="1800" kern="1200">
              <a:solidFill>
                <a:sysClr val="windowText" lastClr="000000"/>
              </a:solidFill>
              <a:latin typeface="Calibri"/>
            </a:defRPr>
          </a:lvl7pPr>
          <a:lvl8pPr marL="3200400" algn="l" defTabSz="457200" rtl="0" eaLnBrk="1" latinLnBrk="0" hangingPunct="1">
            <a:defRPr sz="1800" kern="1200">
              <a:solidFill>
                <a:sysClr val="windowText" lastClr="000000"/>
              </a:solidFill>
              <a:latin typeface="Calibri"/>
            </a:defRPr>
          </a:lvl8pPr>
          <a:lvl9pPr marL="3657600" algn="l" defTabSz="457200" rtl="0" eaLnBrk="1" latinLnBrk="0" hangingPunct="1">
            <a:defRPr sz="1800" kern="1200">
              <a:solidFill>
                <a:sysClr val="windowText" lastClr="000000"/>
              </a:solidFill>
              <a:latin typeface="Calibri"/>
            </a:defRPr>
          </a:lvl9pPr>
        </a:lstStyle>
        <a:p>
          <a:pPr>
            <a:buNone/>
          </a:pPr>
          <a:r>
            <a:rPr lang="en-US" b="1">
              <a:latin typeface="Aptos Display" panose="020B0004020202020204" pitchFamily="34" charset="0"/>
            </a:rPr>
            <a:t>Highlights</a:t>
          </a:r>
        </a:p>
        <a:p>
          <a:pPr>
            <a:buNone/>
          </a:pPr>
          <a:r>
            <a:rPr lang="en-US">
              <a:latin typeface="Aptos Display" panose="020B0004020202020204" pitchFamily="34" charset="0"/>
            </a:rPr>
            <a:t>July 2026 featured a broad range of lifting and material-handling events across the Gulf of America and Pacific regions, including serious personnel injuries, dropped objects, crane and rigging failures, load shifts, and repeated contact between suspended loads and surrounding equipment or structures. The incidents reinforce the importance of effective lift planning, positive load control, equipment integrity, clear travel paths, and keeping personnel out of the line of fire.</a:t>
          </a:r>
        </a:p>
        <a:p>
          <a:pPr>
            <a:buNone/>
          </a:pPr>
          <a:r>
            <a:rPr lang="en-US" b="1">
              <a:latin typeface="Aptos Display" panose="020B0004020202020204" pitchFamily="34" charset="0"/>
            </a:rPr>
            <a:t>Key Highlights</a:t>
          </a:r>
        </a:p>
        <a:p>
          <a:pPr marL="342900" lvl="0" indent="-342900">
            <a:buFont typeface="Arial" panose="020B0604020202020204" pitchFamily="34" charset="0"/>
            <a:buChar char="•"/>
          </a:pPr>
          <a:r>
            <a:rPr lang="en-US">
              <a:latin typeface="Aptos Display" panose="020B0004020202020204" pitchFamily="34" charset="0"/>
            </a:rPr>
            <a:t>35 lifting and material-handling incident entries were provided for July 2026, spanning drilling, production, workover, and decommissioning operations.</a:t>
          </a:r>
        </a:p>
        <a:p>
          <a:pPr marL="342900" lvl="0" indent="-342900">
            <a:buFont typeface="Arial" panose="020B0604020202020204" pitchFamily="34" charset="0"/>
            <a:buChar char="•"/>
          </a:pPr>
          <a:r>
            <a:rPr lang="en-US">
              <a:latin typeface="Aptos Display" panose="020B0004020202020204" pitchFamily="34" charset="0"/>
            </a:rPr>
            <a:t>Personnel injuries remained a significant concern. Six entries describe personnel injury or contact requiring medical evaluation or treatment. Notable events included a drill-pipe strike resulting in a frontal sinus fracture, a finger-tip amputation during valve replacement, a leg caught between a Chiksan pipe rack and tote tank, and hand injuries during lifting and load-positioning activities.</a:t>
          </a:r>
        </a:p>
        <a:p>
          <a:pPr marL="342900" lvl="0" indent="-342900">
            <a:buFont typeface="Arial" panose="020B0604020202020204" pitchFamily="34" charset="0"/>
            <a:buChar char="•"/>
          </a:pPr>
          <a:r>
            <a:rPr lang="en-US">
              <a:latin typeface="Aptos Display" panose="020B0004020202020204" pitchFamily="34" charset="0"/>
            </a:rPr>
            <a:t>Load contact and clearance issues were recurring themes. Suspended loads or lifting equipment contacted handrails, speakers, light fixtures, structural beams, emergency pull stations, and other nearby equipment. Several events resulted in property damage or damage to operational equipment.</a:t>
          </a:r>
        </a:p>
        <a:p>
          <a:pPr marL="342900" lvl="0" indent="-342900">
            <a:buFont typeface="Arial" panose="020B0604020202020204" pitchFamily="34" charset="0"/>
            <a:buChar char="•"/>
          </a:pPr>
          <a:r>
            <a:rPr lang="en-US">
              <a:latin typeface="Aptos Display" panose="020B0004020202020204" pitchFamily="34" charset="0"/>
            </a:rPr>
            <a:t>Dropped-object hazards were present. Reported events included a handrail falling overboard, a tank-hatch hinge fragment falling to the deck, a low-torque valve handle falling onto the drill floor, and a pipe falling from a crane-block storage rack and grazing a worker’s arm.</a:t>
          </a:r>
        </a:p>
        <a:p>
          <a:pPr marL="342900" lvl="0" indent="-342900">
            <a:buFont typeface="Arial" panose="020B0604020202020204" pitchFamily="34" charset="0"/>
            <a:buChar char="•"/>
          </a:pPr>
          <a:r>
            <a:rPr lang="en-US">
              <a:latin typeface="Aptos Display" panose="020B0004020202020204" pitchFamily="34" charset="0"/>
            </a:rPr>
            <a:t>Crane and lifting-equipment integrity required attention. Events included a boom-winch malfunction during casing laydown, crane swing-brake failure, a failed BOP winch hook, hydraulic-line failures, and structural damage identified on a crane following lifting operations. Affected equipment was stopped or removed from service in several cases.</a:t>
          </a:r>
        </a:p>
        <a:p>
          <a:pPr marL="342900" lvl="0" indent="-342900">
            <a:buFont typeface="Arial" panose="020B0604020202020204" pitchFamily="34" charset="0"/>
            <a:buChar char="•"/>
          </a:pPr>
          <a:r>
            <a:rPr lang="en-US">
              <a:latin typeface="Aptos Display" panose="020B0004020202020204" pitchFamily="34" charset="0"/>
            </a:rPr>
            <a:t>Unexpected load movement and rigging interactions created exposure. A tubing-hanger running tool disengaged during retrieval, a bridge-racker crane lost its grip on a drill-pipe stand, and rigging or slings snagged components during lifting and positioning activities.</a:t>
          </a:r>
        </a:p>
        <a:p>
          <a:pPr marL="342900" lvl="0" indent="-342900">
            <a:buFont typeface="Arial" panose="020B0604020202020204" pitchFamily="34" charset="0"/>
            <a:buChar char="•"/>
          </a:pPr>
          <a:r>
            <a:rPr lang="en-US">
              <a:latin typeface="Aptos Display" panose="020B0004020202020204" pitchFamily="34" charset="0"/>
            </a:rPr>
            <a:t>Environmental and vessel movement contributed to some contact events. Vessel drift, swell, and wind affected suspended-load control during offshore transfers, including contact involving water and DI-water totes and a shipping container.</a:t>
          </a:r>
        </a:p>
        <a:p>
          <a:pPr marL="342900" lvl="0" indent="-342900">
            <a:buFont typeface="Arial" panose="020B0604020202020204" pitchFamily="34" charset="0"/>
            <a:buChar char="•"/>
          </a:pPr>
          <a:r>
            <a:rPr lang="en-US">
              <a:latin typeface="Aptos Display" panose="020B0004020202020204" pitchFamily="34" charset="0"/>
            </a:rPr>
            <a:t>Property damage and operational disruptions occurred even when no one was injured. Examples included damage to a generator and CO₂ fire-suppression system, a gangway handrail, electrical conduit, a GAI-Tronics speaker, subsea-jumper insulation, and crane structures.</a:t>
          </a:r>
        </a:p>
        <a:p>
          <a:pPr>
            <a:buNone/>
          </a:pPr>
          <a:r>
            <a:rPr lang="en-US" b="1">
              <a:latin typeface="Aptos Display" panose="020B0004020202020204" pitchFamily="34" charset="0"/>
            </a:rPr>
            <a:t>Lessons Learned and Focus Areas</a:t>
          </a:r>
        </a:p>
        <a:p>
          <a:pPr marL="342900" lvl="0" indent="-342900">
            <a:buFont typeface="Calibri"/>
            <a:buAutoNum type="arabicPeriod"/>
          </a:pPr>
          <a:r>
            <a:rPr lang="en-US">
              <a:latin typeface="Aptos Display" panose="020B0004020202020204" pitchFamily="34" charset="0"/>
            </a:rPr>
            <a:t>Plan the entire load path. Identify nearby structures, piping, electrical equipment, emergency controls, handrails, and other obstructions before lifting, swinging, rotating, or lowering a load.</a:t>
          </a:r>
        </a:p>
        <a:p>
          <a:pPr marL="342900" lvl="0" indent="-342900">
            <a:buFont typeface="Calibri"/>
            <a:buAutoNum type="arabicPeriod"/>
          </a:pPr>
          <a:r>
            <a:rPr lang="en-US">
              <a:latin typeface="Aptos Display" panose="020B0004020202020204" pitchFamily="34" charset="0"/>
            </a:rPr>
            <a:t>Keep personnel clear of suspended and shifting loads. Do not place hands, feet, or other body parts between loads and fixed structures. Stop work and reassess when manual intervention is needed to realign a load.</a:t>
          </a:r>
        </a:p>
        <a:p>
          <a:pPr marL="342900" lvl="0" indent="-342900">
            <a:buFont typeface="Calibri"/>
            <a:buAutoNum type="arabicPeriod"/>
          </a:pPr>
          <a:r>
            <a:rPr lang="en-US">
              <a:latin typeface="Aptos Display" panose="020B0004020202020204" pitchFamily="34" charset="0"/>
            </a:rPr>
            <a:t>Verify rigging and load security. Confirm that slings, hooks, lifting tools, running tools, and load-engagement mechanisms are properly installed, secured, and compatible with the task.</a:t>
          </a:r>
        </a:p>
        <a:p>
          <a:pPr marL="342900" lvl="0" indent="-342900">
            <a:buFont typeface="Calibri"/>
            <a:buAutoNum type="arabicPeriod"/>
          </a:pPr>
          <a:r>
            <a:rPr lang="en-US">
              <a:latin typeface="Aptos Display" panose="020B0004020202020204" pitchFamily="34" charset="0"/>
            </a:rPr>
            <a:t>Verify equipment condition and function. Investigate abnormal crane movements, brake or winch problems, hydraulic leaks, damaged hooks, and structural defects. Remove equipment from service when its safe operating condition is uncertain.</a:t>
          </a:r>
        </a:p>
        <a:p>
          <a:pPr marL="342900" lvl="0" indent="-342900">
            <a:buFont typeface="Calibri"/>
            <a:buAutoNum type="arabicPeriod"/>
          </a:pPr>
          <a:r>
            <a:rPr lang="en-US">
              <a:latin typeface="Aptos Display" panose="020B0004020202020204" pitchFamily="34" charset="0"/>
            </a:rPr>
            <a:t>Account for offshore environmental conditions. Evaluate vessel movement, wind, swell, and drift when planning transfers between vessels and facilities, and reassess if conditions affect load control.</a:t>
          </a:r>
        </a:p>
        <a:p>
          <a:pPr marL="342900" lvl="0" indent="-342900">
            <a:buFont typeface="Calibri"/>
            <a:buAutoNum type="arabicPeriod"/>
          </a:pPr>
          <a:r>
            <a:rPr lang="en-US">
              <a:latin typeface="Aptos Display" panose="020B0004020202020204" pitchFamily="34" charset="0"/>
            </a:rPr>
            <a:t>Maintain effective communication and visibility. Confirm the operator and signal person can observe critical clearances, and stop the lift if visibility, communication, or load control is compromised.</a:t>
          </a:r>
        </a:p>
        <a:p>
          <a:pPr>
            <a:buNone/>
          </a:pPr>
          <a:r>
            <a:rPr lang="en-US">
              <a:latin typeface="Aptos Display" panose="020B0004020202020204" pitchFamily="34" charset="0"/>
            </a:rPr>
            <a:t>Bottom line: July’s incidents highlight the need to strengthen line-of-fire controls, load-path planning, rigging verification, dropped-object prevention, and crane-equipment integrity. The recurring contact events and serious hand and limb injuries demonstrate that routine material-handling tasks can create significant risk when loads shift unexpectedly or clearances and personnel positioning are not adequately controlled.</a:t>
          </a:r>
        </a:p>
      </xdr:txBody>
    </xdr:sp>
    <xdr:clientData/>
  </xdr:twoCellAnchor>
  <xdr:twoCellAnchor>
    <xdr:from>
      <xdr:col>0</xdr:col>
      <xdr:colOff>0</xdr:colOff>
      <xdr:row>565</xdr:row>
      <xdr:rowOff>0</xdr:rowOff>
    </xdr:from>
    <xdr:to>
      <xdr:col>21</xdr:col>
      <xdr:colOff>304456</xdr:colOff>
      <xdr:row>646</xdr:row>
      <xdr:rowOff>142240</xdr:rowOff>
    </xdr:to>
    <xdr:sp macro="" textlink="">
      <xdr:nvSpPr>
        <xdr:cNvPr id="28" name="TextBox 2">
          <a:extLst>
            <a:ext uri="{FF2B5EF4-FFF2-40B4-BE49-F238E27FC236}">
              <a16:creationId xmlns:a16="http://schemas.microsoft.com/office/drawing/2014/main" id="{35C8F447-132D-4EB1-32F7-419F6326D1D5}"/>
            </a:ext>
          </a:extLst>
        </xdr:cNvPr>
        <xdr:cNvSpPr txBox="1"/>
      </xdr:nvSpPr>
      <xdr:spPr>
        <a:xfrm>
          <a:off x="0" y="101742240"/>
          <a:ext cx="15544456" cy="14132560"/>
        </a:xfrm>
        <a:prstGeom prst="rect">
          <a:avLst/>
        </a:prstGeom>
        <a:solidFill>
          <a:schemeClr val="bg1"/>
        </a:solidFill>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buNone/>
          </a:pPr>
          <a:r>
            <a:rPr lang="en-US" b="1">
              <a:latin typeface="Aptos Display" panose="020B0004020202020204" pitchFamily="34" charset="0"/>
            </a:rPr>
            <a:t>Highlights</a:t>
          </a:r>
        </a:p>
        <a:p>
          <a:pPr>
            <a:buNone/>
          </a:pPr>
          <a:r>
            <a:rPr lang="en-US">
              <a:latin typeface="Aptos Display" panose="020B0004020202020204" pitchFamily="34" charset="0"/>
            </a:rPr>
            <a:t>August 2026 incidents highlight continued risks associated with rigging integrity, suspended-load control, dropped objects, crane mechanical failures, and personnel exposure to moving loads. Events ranged from minor equipment contact to a major suspended-load loss involving an estimated $800,000 in damage, as well as injuries, personnel entry into the water, and dropped objects with potentially fatal consequences.</a:t>
          </a:r>
        </a:p>
        <a:p>
          <a:pPr>
            <a:buNone/>
          </a:pPr>
          <a:r>
            <a:rPr lang="en-US" b="1">
              <a:latin typeface="Aptos Display" panose="020B0004020202020204" pitchFamily="34" charset="0"/>
            </a:rPr>
            <a:t>Key Highlights</a:t>
          </a:r>
        </a:p>
        <a:p>
          <a:pPr marL="342900" lvl="0" indent="-342900">
            <a:buFont typeface="Arial" panose="020B0604020202020204" pitchFamily="34" charset="0"/>
            <a:buChar char="•"/>
          </a:pPr>
          <a:r>
            <a:rPr lang="en-US">
              <a:latin typeface="Aptos Display" panose="020B0004020202020204" pitchFamily="34" charset="0"/>
            </a:rPr>
            <a:t>32 incident entries were provided for August 2026 across drilling, production, workover, and decommissioning operations in the Gulf of America and Pacific regions.</a:t>
          </a:r>
        </a:p>
        <a:p>
          <a:pPr marL="342900" lvl="0" indent="-342900">
            <a:buFont typeface="Arial" panose="020B0604020202020204" pitchFamily="34" charset="0"/>
            <a:buChar char="•"/>
          </a:pPr>
          <a:r>
            <a:rPr lang="en-US">
              <a:latin typeface="Aptos Display" panose="020B0004020202020204" pitchFamily="34" charset="0"/>
            </a:rPr>
            <a:t>Serious suspended-load and rigging failures occurred. The most consequential event involved a crane fast line parting while transferring a Flowhead in a cargo basket weighing approximately 33,000 pounds. The load struck the drillship’s pipe and storeroom decks before falling overboard. Estimated damage was approximately $800,000, subject to further assessment.</a:t>
          </a:r>
        </a:p>
        <a:p>
          <a:pPr marL="342900" lvl="0" indent="-342900">
            <a:buFont typeface="Arial" panose="020B0604020202020204" pitchFamily="34" charset="0"/>
            <a:buChar char="•"/>
          </a:pPr>
          <a:r>
            <a:rPr lang="en-US">
              <a:latin typeface="Aptos Display" panose="020B0004020202020204" pitchFamily="34" charset="0"/>
            </a:rPr>
            <a:t>Dropped objects presented potentially fatal hazards. Events included casing-elevator components falling approximately 113 feet, a chain fall weighing 53 pounds falling 13 feet, a scaffold clamp falling 18 feet, and a box beam weighing approximately 2,250 pounds falling into the Gulf of America. Other events involved dropped crane components and a handrail falling overboard.</a:t>
          </a:r>
        </a:p>
        <a:p>
          <a:pPr marL="342900" lvl="0" indent="-342900">
            <a:buFont typeface="Arial" panose="020B0604020202020204" pitchFamily="34" charset="0"/>
            <a:buChar char="•"/>
          </a:pPr>
          <a:r>
            <a:rPr lang="en-US">
              <a:latin typeface="Aptos Display" panose="020B0004020202020204" pitchFamily="34" charset="0"/>
            </a:rPr>
            <a:t>Personnel were exposed to moving loads and rigging hazards. Injuries and hazardous exposures included a worker struck by a swinging riser, a worker struck by a falling steel column during a skidding operation, a finger laceration during BOP landing, a worker struck by moving drill pipe, and a worker bruised when a personnel basket contacted an air-volume tank.</a:t>
          </a:r>
        </a:p>
        <a:p>
          <a:pPr marL="342900" lvl="0" indent="-342900">
            <a:buFont typeface="Arial" panose="020B0604020202020204" pitchFamily="34" charset="0"/>
            <a:buChar char="•"/>
          </a:pPr>
          <a:r>
            <a:rPr lang="en-US">
              <a:latin typeface="Aptos Display" panose="020B0004020202020204" pitchFamily="34" charset="0"/>
            </a:rPr>
            <a:t>Personnel entered the water during lifting-related events. A recoiling sling or cable struck a worker who fell into the water during a barge lifting operation. A separate swing-rope failure during personnel transfer also resulted in a person entering the Gulf of America; minor hand abrasions were reported.</a:t>
          </a:r>
        </a:p>
        <a:p>
          <a:pPr marL="342900" lvl="0" indent="-342900">
            <a:buFont typeface="Arial" panose="020B0604020202020204" pitchFamily="34" charset="0"/>
            <a:buChar char="•"/>
          </a:pPr>
          <a:r>
            <a:rPr lang="en-US">
              <a:latin typeface="Aptos Display" panose="020B0004020202020204" pitchFamily="34" charset="0"/>
            </a:rPr>
            <a:t>Crane and hoisting-system integrity remained a key concern. Reported events included crane boom contact and structural deformation, load cable derailing from a sheave, broken wire rope, crane fast-line failure, uncontrolled top-drive and traveling-block descent, hydraulic quick-connects falling after uncommanded boom movement, and failure of a nylon sling eye.</a:t>
          </a:r>
        </a:p>
        <a:p>
          <a:pPr marL="342900" lvl="0" indent="-342900">
            <a:buFont typeface="Arial" panose="020B0604020202020204" pitchFamily="34" charset="0"/>
            <a:buChar char="•"/>
          </a:pPr>
          <a:r>
            <a:rPr lang="en-US">
              <a:latin typeface="Aptos Display" panose="020B0004020202020204" pitchFamily="34" charset="0"/>
            </a:rPr>
            <a:t>Load-path clearance issues continued across routine operations. Baskets, risers, vessels, and other loads contacted scaffolding, toolboxes, crane components, and nearby equipment. These events resulted in equipment damage and highlighted the importance of evaluating the complete travel path, including during blind lifts and maintenance activities.</a:t>
          </a:r>
        </a:p>
        <a:p>
          <a:pPr marL="342900" lvl="0" indent="-342900">
            <a:buFont typeface="Arial" panose="020B0604020202020204" pitchFamily="34" charset="0"/>
            <a:buChar char="•"/>
          </a:pPr>
          <a:r>
            <a:rPr lang="en-US">
              <a:latin typeface="Aptos Display" panose="020B0004020202020204" pitchFamily="34" charset="0"/>
            </a:rPr>
            <a:t>A dropped-object event revealed a broader structural-integrity concern. After a portable tank contacted a removable handrail, the handrail detached and fell overboard. Subsequent inspections identified similar concealed corrosion in other handrail sockets, prompting additional barricades and plans to replace removable handrails with permanent welded structures.</a:t>
          </a:r>
        </a:p>
        <a:p>
          <a:pPr marL="342900" lvl="0" indent="-342900">
            <a:buFont typeface="Arial" panose="020B0604020202020204" pitchFamily="34" charset="0"/>
            <a:buChar char="•"/>
          </a:pPr>
          <a:r>
            <a:rPr lang="en-US">
              <a:latin typeface="Aptos Display" panose="020B0004020202020204" pitchFamily="34" charset="0"/>
            </a:rPr>
            <a:t>Personnel handling and line-of-fire controls require continued emphasis. A deckhand became entangled in a tagline and was lifted approximately four feet before the operation was stopped. Other incidents demonstrated the risks associated with personnel being close to suspended loads, moving pipe, rigging assemblies, and pinch points.</a:t>
          </a:r>
        </a:p>
        <a:p>
          <a:pPr marL="342900" lvl="0" indent="-342900">
            <a:buFont typeface="Arial" panose="020B0604020202020204" pitchFamily="34" charset="0"/>
            <a:buChar char="•"/>
          </a:pPr>
          <a:r>
            <a:rPr lang="en-US">
              <a:latin typeface="Aptos Display" panose="020B0004020202020204" pitchFamily="34" charset="0"/>
            </a:rPr>
            <a:t>Positive controls helped limit consequences in several events. Red zones and exclusion areas were clear during the major Flowhead loss and casing-elevator dropped-object incident. Secondary fall protection arrested a rope-access worker’s descent after the main line was severed. Immediate all-stop actions, equipment isolation, and controlled lowering also helped prevent escalation in multiple cases.</a:t>
          </a:r>
        </a:p>
        <a:p>
          <a:pPr>
            <a:buNone/>
          </a:pPr>
          <a:r>
            <a:rPr lang="en-US" b="1">
              <a:latin typeface="Aptos Display" panose="020B0004020202020204" pitchFamily="34" charset="0"/>
            </a:rPr>
            <a:t>Lessons Learned and Focus Areas</a:t>
          </a:r>
        </a:p>
        <a:p>
          <a:pPr>
            <a:buNone/>
          </a:pPr>
          <a:r>
            <a:rPr lang="en-US">
              <a:latin typeface="Aptos Display" panose="020B0004020202020204" pitchFamily="34" charset="0"/>
            </a:rPr>
            <a:t>1. Strengthen rigging inspection and verification. Inspect slings, sling eyes, wire ropes, hooks, shackles, elevators, lifting tools, and secondary restraints before use. Investigate unexpected failures even when equipment appears new or the load is below its rated capacity.</a:t>
          </a:r>
        </a:p>
        <a:p>
          <a:pPr>
            <a:buNone/>
          </a:pPr>
          <a:r>
            <a:rPr lang="en-US">
              <a:latin typeface="Aptos Display" panose="020B0004020202020204" pitchFamily="34" charset="0"/>
            </a:rPr>
            <a:t>2. Maintain effective dropped-object prevention. Secure loose components, inspect elevated equipment and structural attachments, and evaluate the potential consequences of objects falling from height. Ensure exclusion zones cover the full potential drop zone.</a:t>
          </a:r>
        </a:p>
        <a:p>
          <a:pPr>
            <a:buNone/>
          </a:pPr>
          <a:r>
            <a:rPr lang="en-US">
              <a:latin typeface="Aptos Display" panose="020B0004020202020204" pitchFamily="34" charset="0"/>
            </a:rPr>
            <a:t>3. Keep personnel out of the line of fire. Establish safe positions before applying tension or moving a load. Avoid manually aligning suspended equipment or standing near loads that can swing, roll, or shift unexpectedly.</a:t>
          </a:r>
        </a:p>
        <a:p>
          <a:pPr>
            <a:buNone/>
          </a:pPr>
          <a:r>
            <a:rPr lang="en-US">
              <a:latin typeface="Aptos Display" panose="020B0004020202020204" pitchFamily="34" charset="0"/>
            </a:rPr>
            <a:t>4. Verify load paths and clearances. Identify nearby scaffolding, handrails, cable trays, equipment, and other obstructions before the lift. For blind lifts, confirm that communication, signal-person positioning, and clearance monitoring are effective throughout the movement.</a:t>
          </a:r>
        </a:p>
        <a:p>
          <a:pPr>
            <a:buNone/>
          </a:pPr>
          <a:r>
            <a:rPr lang="en-US">
              <a:latin typeface="Aptos Display" panose="020B0004020202020204" pitchFamily="34" charset="0"/>
            </a:rPr>
            <a:t>5. Address crane and hoisting-system abnormalities promptly. Remove equipment from service when wire-rope damage, brake or winch malfunctions, structural deformation, uncommanded movement, or other mechanical defects are identified. Require qualified inspection and clearance before returning equipment to service.</a:t>
          </a:r>
        </a:p>
        <a:p>
          <a:pPr>
            <a:buNone/>
          </a:pPr>
          <a:r>
            <a:rPr lang="en-US">
              <a:latin typeface="Aptos Display" panose="020B0004020202020204" pitchFamily="34" charset="0"/>
            </a:rPr>
            <a:t>6. Account for dynamic vessel movement. Consider barge movement, vessel drift, wind, and wave action when transferring loads or handling rigging. Stop and reassess if changing conditions affect load stability or worker safety.</a:t>
          </a:r>
        </a:p>
        <a:p>
          <a:pPr>
            <a:buNone/>
          </a:pPr>
          <a:r>
            <a:rPr lang="en-US">
              <a:latin typeface="Aptos Display" panose="020B0004020202020204" pitchFamily="34" charset="0"/>
            </a:rPr>
            <a:t>7. Inspect supporting structures and attachment points. Evaluate handrails, anchor points, beam clamps, scaffold restraints, and other components that may be affected by corrosion, loading, or rigging contact. A failure may reveal similar deficiencies elsewhere.</a:t>
          </a:r>
        </a:p>
        <a:p>
          <a:pPr>
            <a:buNone/>
          </a:pPr>
          <a:r>
            <a:rPr lang="en-US">
              <a:latin typeface="Aptos Display" panose="020B0004020202020204" pitchFamily="34" charset="0"/>
            </a:rPr>
            <a:t>Bottom line: August’s incidents underscore the need to improve rigging reliability, crane and hoisting-system integrity, load-path planning, dropped-object prevention, and personnel positioning. The loss of a 33,000-pound suspended load, multiple dropped-object events, and personnel struck by moving equipment show that both equipment failures and routine lifting interactions can have serious consequences.</a:t>
          </a:r>
        </a:p>
      </xdr:txBody>
    </xdr:sp>
    <xdr:clientData/>
  </xdr:twoCellAnchor>
  <xdr:twoCellAnchor>
    <xdr:from>
      <xdr:col>0</xdr:col>
      <xdr:colOff>0</xdr:colOff>
      <xdr:row>651</xdr:row>
      <xdr:rowOff>10160</xdr:rowOff>
    </xdr:from>
    <xdr:to>
      <xdr:col>20</xdr:col>
      <xdr:colOff>417689</xdr:colOff>
      <xdr:row>725</xdr:row>
      <xdr:rowOff>30480</xdr:rowOff>
    </xdr:to>
    <xdr:sp macro="" textlink="">
      <xdr:nvSpPr>
        <xdr:cNvPr id="12" name="TextBox 3">
          <a:extLst>
            <a:ext uri="{FF2B5EF4-FFF2-40B4-BE49-F238E27FC236}">
              <a16:creationId xmlns:a16="http://schemas.microsoft.com/office/drawing/2014/main" id="{ADD9D14A-6EA9-4C34-B76D-7669C7EC924A}"/>
            </a:ext>
          </a:extLst>
        </xdr:cNvPr>
        <xdr:cNvSpPr txBox="1"/>
      </xdr:nvSpPr>
      <xdr:spPr>
        <a:xfrm>
          <a:off x="0" y="117957600"/>
          <a:ext cx="15068409" cy="12801600"/>
        </a:xfrm>
        <a:prstGeom prst="rect">
          <a:avLst/>
        </a:prstGeom>
        <a:solidFill>
          <a:srgbClr val="FFFFFF"/>
        </a:solidFill>
      </xdr:spPr>
      <xdr:txBody>
        <a:bodyPr wrap="square">
          <a:noAutofit/>
        </a:bodyPr>
        <a:lstStyle>
          <a:defPPr>
            <a:defRPr lang="en-US"/>
          </a:defPPr>
          <a:lvl1pPr marL="0" algn="l" defTabSz="457200" rtl="0" eaLnBrk="1" latinLnBrk="0" hangingPunct="1">
            <a:defRPr sz="1800" kern="1200">
              <a:solidFill>
                <a:sysClr val="windowText" lastClr="000000"/>
              </a:solidFill>
              <a:latin typeface="Calibri"/>
            </a:defRPr>
          </a:lvl1pPr>
          <a:lvl2pPr marL="457200" algn="l" defTabSz="457200" rtl="0" eaLnBrk="1" latinLnBrk="0" hangingPunct="1">
            <a:defRPr sz="1800" kern="1200">
              <a:solidFill>
                <a:sysClr val="windowText" lastClr="000000"/>
              </a:solidFill>
              <a:latin typeface="Calibri"/>
            </a:defRPr>
          </a:lvl2pPr>
          <a:lvl3pPr marL="914400" algn="l" defTabSz="457200" rtl="0" eaLnBrk="1" latinLnBrk="0" hangingPunct="1">
            <a:defRPr sz="1800" kern="1200">
              <a:solidFill>
                <a:sysClr val="windowText" lastClr="000000"/>
              </a:solidFill>
              <a:latin typeface="Calibri"/>
            </a:defRPr>
          </a:lvl3pPr>
          <a:lvl4pPr marL="1371600" algn="l" defTabSz="457200" rtl="0" eaLnBrk="1" latinLnBrk="0" hangingPunct="1">
            <a:defRPr sz="1800" kern="1200">
              <a:solidFill>
                <a:sysClr val="windowText" lastClr="000000"/>
              </a:solidFill>
              <a:latin typeface="Calibri"/>
            </a:defRPr>
          </a:lvl4pPr>
          <a:lvl5pPr marL="1828800" algn="l" defTabSz="457200" rtl="0" eaLnBrk="1" latinLnBrk="0" hangingPunct="1">
            <a:defRPr sz="1800" kern="1200">
              <a:solidFill>
                <a:sysClr val="windowText" lastClr="000000"/>
              </a:solidFill>
              <a:latin typeface="Calibri"/>
            </a:defRPr>
          </a:lvl5pPr>
          <a:lvl6pPr marL="2286000" algn="l" defTabSz="457200" rtl="0" eaLnBrk="1" latinLnBrk="0" hangingPunct="1">
            <a:defRPr sz="1800" kern="1200">
              <a:solidFill>
                <a:sysClr val="windowText" lastClr="000000"/>
              </a:solidFill>
              <a:latin typeface="Calibri"/>
            </a:defRPr>
          </a:lvl6pPr>
          <a:lvl7pPr marL="2743200" algn="l" defTabSz="457200" rtl="0" eaLnBrk="1" latinLnBrk="0" hangingPunct="1">
            <a:defRPr sz="1800" kern="1200">
              <a:solidFill>
                <a:sysClr val="windowText" lastClr="000000"/>
              </a:solidFill>
              <a:latin typeface="Calibri"/>
            </a:defRPr>
          </a:lvl7pPr>
          <a:lvl8pPr marL="3200400" algn="l" defTabSz="457200" rtl="0" eaLnBrk="1" latinLnBrk="0" hangingPunct="1">
            <a:defRPr sz="1800" kern="1200">
              <a:solidFill>
                <a:sysClr val="windowText" lastClr="000000"/>
              </a:solidFill>
              <a:latin typeface="Calibri"/>
            </a:defRPr>
          </a:lvl8pPr>
          <a:lvl9pPr marL="3657600" algn="l" defTabSz="457200" rtl="0" eaLnBrk="1" latinLnBrk="0" hangingPunct="1">
            <a:defRPr sz="1800" kern="1200">
              <a:solidFill>
                <a:sysClr val="windowText" lastClr="000000"/>
              </a:solidFill>
              <a:latin typeface="Calibri"/>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r>
            <a:rPr kumimoji="0" lang="en-US" sz="1800" b="1" i="0" u="none" strike="noStrike" kern="1200" cap="none" spc="0" normalizeH="0" baseline="0" noProof="0">
              <a:ln>
                <a:noFill/>
              </a:ln>
              <a:solidFill>
                <a:sysClr val="windowText" lastClr="000000"/>
              </a:solidFill>
              <a:effectLst/>
              <a:uLnTx/>
              <a:uFillTx/>
              <a:latin typeface="Aptos" panose="020B0004020202020204" pitchFamily="34" charset="0"/>
            </a:rPr>
            <a:t>September 2026 </a:t>
          </a:r>
          <a:r>
            <a:rPr kumimoji="0" lang="en-US" sz="1800" b="0" i="0" u="none" strike="noStrike" kern="1200" cap="none" spc="0" normalizeH="0" baseline="0" noProof="0">
              <a:ln>
                <a:noFill/>
              </a:ln>
              <a:solidFill>
                <a:sysClr val="windowText" lastClr="000000"/>
              </a:solidFill>
              <a:effectLst/>
              <a:uLnTx/>
              <a:uFillTx/>
              <a:latin typeface="Aptos" panose="020B0004020202020204" pitchFamily="34" charset="0"/>
            </a:rPr>
            <a:t>lifting incident reports highlight recurring hazards involving load snagging and contact, dropped objects, crane component failures, inadequate clearance, and personnel exposure to suspended or shifting loads. Incidents occurred during routine cargo handling, equipment transfers, backloading, personnel transfers, and drilling operations. Several events resulted in serious injuries, while others involved equipment damage, chemical releases, and dropped objects with potentially severe consequences.</a:t>
          </a:r>
        </a:p>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US" sz="1800" b="0" i="0" u="none" strike="noStrike" kern="1200" cap="none" spc="0" normalizeH="0" baseline="0" noProof="0">
            <a:ln>
              <a:noFill/>
            </a:ln>
            <a:solidFill>
              <a:sysClr val="windowText" lastClr="000000"/>
            </a:solidFill>
            <a:effectLst/>
            <a:uLnTx/>
            <a:uFillTx/>
            <a:latin typeface="Aptos" panose="020B0004020202020204" pitchFamily="34" charset="0"/>
          </a:endParaRP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US" sz="1800" b="1" i="0" u="none" strike="noStrike" kern="1200" cap="none" spc="0" normalizeH="0" baseline="0" noProof="0">
              <a:ln>
                <a:noFill/>
              </a:ln>
              <a:solidFill>
                <a:sysClr val="windowText" lastClr="000000"/>
              </a:solidFill>
              <a:effectLst/>
              <a:uLnTx/>
              <a:uFillTx/>
              <a:latin typeface="Aptos" panose="020B0004020202020204" pitchFamily="34" charset="0"/>
            </a:rPr>
            <a:t>Personnel Injuries: </a:t>
          </a:r>
          <a:r>
            <a:rPr kumimoji="0" lang="en-US" sz="1800" b="0" i="0" u="none" strike="noStrike" kern="1200" cap="none" spc="0" normalizeH="0" baseline="0" noProof="0">
              <a:ln>
                <a:noFill/>
              </a:ln>
              <a:solidFill>
                <a:sysClr val="windowText" lastClr="000000"/>
              </a:solidFill>
              <a:effectLst/>
              <a:uLnTx/>
              <a:uFillTx/>
              <a:latin typeface="Aptos" panose="020B0004020202020204" pitchFamily="34" charset="0"/>
            </a:rPr>
            <a:t>Multiple incidents resulted in injuries requiring medical evaluation or evacuation. On September 5, a worker sustained a fractured left scapula and multiple rib fractures after stored energy released from a Chiksan line during rig-up operations. On September 10, a deckhand sustained fractures and ligament injuries to the left foot after a toolbox tipped during offloading. On September 12, a worker sustained two displaced fractures to the right foot when a Chiksan manifold shifted after a sling snagged and released. On September 26, a worker sustained a hand laceration requiring four sutures when a hatch cover fell during wireline equipment removal.</a:t>
          </a:r>
        </a:p>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US" sz="1800" b="0" i="0" u="none" strike="noStrike" kern="1200" cap="none" spc="0" normalizeH="0" baseline="0" noProof="0">
            <a:ln>
              <a:noFill/>
            </a:ln>
            <a:solidFill>
              <a:sysClr val="windowText" lastClr="000000"/>
            </a:solidFill>
            <a:effectLst/>
            <a:uLnTx/>
            <a:uFillTx/>
            <a:latin typeface="Aptos" panose="020B0004020202020204" pitchFamily="34" charset="0"/>
          </a:endParaRP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US" sz="1800" b="1" i="0" u="none" strike="noStrike" kern="1200" cap="none" spc="0" normalizeH="0" baseline="0" noProof="0">
              <a:ln>
                <a:noFill/>
              </a:ln>
              <a:solidFill>
                <a:sysClr val="windowText" lastClr="000000"/>
              </a:solidFill>
              <a:effectLst/>
              <a:uLnTx/>
              <a:uFillTx/>
              <a:latin typeface="Aptos" panose="020B0004020202020204" pitchFamily="34" charset="0"/>
            </a:rPr>
            <a:t>Dropped Objects and Equipment Failures: </a:t>
          </a:r>
          <a:r>
            <a:rPr kumimoji="0" lang="en-US" sz="1800" b="0" i="0" u="none" strike="noStrike" kern="1200" cap="none" spc="0" normalizeH="0" baseline="0" noProof="0">
              <a:ln>
                <a:noFill/>
              </a:ln>
              <a:solidFill>
                <a:sysClr val="windowText" lastClr="000000"/>
              </a:solidFill>
              <a:effectLst/>
              <a:uLnTx/>
              <a:uFillTx/>
              <a:latin typeface="Aptos" panose="020B0004020202020204" pitchFamily="34" charset="0"/>
            </a:rPr>
            <a:t>Several incidents involved falling objects or structural components. A static line parted after becoming caught on a traveling-block sheave guard on September 2, falling approximately 30 feet. On September 11, a walkway handrail separated during piping operations and fell overboard. On September 21, a crane knuckle-sheave shim fell approximately 87 feet. On September 24, a 12.2-pound crane boom-tip protective device fell approximately 197 feet; the DROPS assessment identified the potential for a fatality. On September 27, a cargo basket snagged a removable handrail during a blind lift, pulling approximately 14 feet of handrail and an attached life ring overboard after the intended stop command was not received.</a:t>
          </a:r>
        </a:p>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US" sz="1800" b="1" i="0" u="none" strike="noStrike" kern="1200" cap="none" spc="0" normalizeH="0" baseline="0" noProof="0">
            <a:ln>
              <a:noFill/>
            </a:ln>
            <a:solidFill>
              <a:sysClr val="windowText" lastClr="000000"/>
            </a:solidFill>
            <a:effectLst/>
            <a:uLnTx/>
            <a:uFillTx/>
            <a:latin typeface="Aptos" panose="020B0004020202020204" pitchFamily="34" charset="0"/>
          </a:endParaRP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US" sz="1800" b="1" i="0" u="none" strike="noStrike" kern="1200" cap="none" spc="0" normalizeH="0" baseline="0" noProof="0">
              <a:ln>
                <a:noFill/>
              </a:ln>
              <a:solidFill>
                <a:sysClr val="windowText" lastClr="000000"/>
              </a:solidFill>
              <a:effectLst/>
              <a:uLnTx/>
              <a:uFillTx/>
              <a:latin typeface="Aptos" panose="020B0004020202020204" pitchFamily="34" charset="0"/>
            </a:rPr>
            <a:t>Load Snagging, Contact, and Lift-Path Hazards</a:t>
          </a:r>
          <a:r>
            <a:rPr kumimoji="0" lang="en-US" sz="1800" b="0" i="0" u="none" strike="noStrike" kern="1200" cap="none" spc="0" normalizeH="0" baseline="0" noProof="0">
              <a:ln>
                <a:noFill/>
              </a:ln>
              <a:solidFill>
                <a:sysClr val="windowText" lastClr="000000"/>
              </a:solidFill>
              <a:effectLst/>
              <a:uLnTx/>
              <a:uFillTx/>
              <a:latin typeface="Aptos" panose="020B0004020202020204" pitchFamily="34" charset="0"/>
            </a:rPr>
            <a:t>: Repeated incidents involved suspended loads or rigging contacting nearby structures and equipment. Examples included cargo baskets contacting light fixtures, a crane boom contacting a wind wall, a paint-locker sling catching a vent cap, a supply box contacting a pressure gauge, and a Conex box damaging a deluge pipe-head. On September 17, a drum rack snagged a biocide tote, causing the tote to tip and release approximately one quart of chemical onto the deck. On September 25, a tote tank contacted and damaged a nearby power-unit handle while being positioned in a congested riser bay. These events demonstrate the importance of evaluating clearance, nearby obstructions, load stability, and the potential consequences of unintended contact throughout the lift.</a:t>
          </a:r>
        </a:p>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US" sz="1800" b="1" i="0" u="none" strike="noStrike" kern="1200" cap="none" spc="0" normalizeH="0" baseline="0" noProof="0">
            <a:ln>
              <a:noFill/>
            </a:ln>
            <a:solidFill>
              <a:sysClr val="windowText" lastClr="000000"/>
            </a:solidFill>
            <a:effectLst/>
            <a:uLnTx/>
            <a:uFillTx/>
            <a:latin typeface="Aptos" panose="020B0004020202020204" pitchFamily="34" charset="0"/>
          </a:endParaRP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US" sz="1800" b="1" i="0" u="none" strike="noStrike" kern="1200" cap="none" spc="0" normalizeH="0" baseline="0" noProof="0">
              <a:ln>
                <a:noFill/>
              </a:ln>
              <a:solidFill>
                <a:sysClr val="windowText" lastClr="000000"/>
              </a:solidFill>
              <a:effectLst/>
              <a:uLnTx/>
              <a:uFillTx/>
              <a:latin typeface="Aptos" panose="020B0004020202020204" pitchFamily="34" charset="0"/>
            </a:rPr>
            <a:t>Crane and Hoisting-System Concerns: </a:t>
          </a:r>
          <a:r>
            <a:rPr kumimoji="0" lang="en-US" sz="1800" b="0" i="0" u="none" strike="noStrike" kern="1200" cap="none" spc="0" normalizeH="0" baseline="0" noProof="0">
              <a:ln>
                <a:noFill/>
              </a:ln>
              <a:solidFill>
                <a:sysClr val="windowText" lastClr="000000"/>
              </a:solidFill>
              <a:effectLst/>
              <a:uLnTx/>
              <a:uFillTx/>
              <a:latin typeface="Aptos" panose="020B0004020202020204" pitchFamily="34" charset="0"/>
            </a:rPr>
            <a:t>Equipment-related events included an unexpected crane swing during an operator assessment on September 10, attributed to a sticking swing-control lever, and an unexpected crown-block descent of approximately 10 feet during tripping operations on September 15, which bent four joints of drill pipe. On September 9, a crane walkway may have contacted a support pole, shearing a stud and dropping associated hardware approximately 60 feet. These events reinforce the need to verify equipment condition, control-system operation, and the integrity of crane and hoisting components.</a:t>
          </a:r>
        </a:p>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US" sz="1800" b="1" i="0" u="none" strike="noStrike" kern="1200" cap="none" spc="0" normalizeH="0" baseline="0" noProof="0">
            <a:ln>
              <a:noFill/>
            </a:ln>
            <a:solidFill>
              <a:sysClr val="windowText" lastClr="000000"/>
            </a:solidFill>
            <a:effectLst/>
            <a:uLnTx/>
            <a:uFillTx/>
            <a:latin typeface="Aptos" panose="020B0004020202020204" pitchFamily="34" charset="0"/>
          </a:endParaRP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US" sz="1800" b="1" i="0" u="none" strike="noStrike" kern="1200" cap="none" spc="0" normalizeH="0" baseline="0" noProof="0">
              <a:ln>
                <a:noFill/>
              </a:ln>
              <a:solidFill>
                <a:sysClr val="windowText" lastClr="000000"/>
              </a:solidFill>
              <a:effectLst/>
              <a:uLnTx/>
              <a:uFillTx/>
              <a:latin typeface="Aptos" panose="020B0004020202020204" pitchFamily="34" charset="0"/>
            </a:rPr>
            <a:t>Personnel Transfers and Environmental Exposure: </a:t>
          </a:r>
          <a:r>
            <a:rPr kumimoji="0" lang="en-US" sz="1800" b="0" i="0" u="none" strike="noStrike" kern="1200" cap="none" spc="0" normalizeH="0" baseline="0" noProof="0">
              <a:ln>
                <a:noFill/>
              </a:ln>
              <a:solidFill>
                <a:sysClr val="windowText" lastClr="000000"/>
              </a:solidFill>
              <a:effectLst/>
              <a:uLnTx/>
              <a:uFillTx/>
              <a:latin typeface="Aptos" panose="020B0004020202020204" pitchFamily="34" charset="0"/>
            </a:rPr>
            <a:t>On September 16, a personnel basket contacted a vessel bulwark after current movement caused the vessel to drift away from the platform. On September 19, a personnel basket made hard contact with a vessel deck during transfer as the vessel moved with the swell. Both events emphasize the importance of accounting for vessel movement, sea conditions, timing, and controlled basket positioning during personnel transfers.</a:t>
          </a:r>
        </a:p>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US" sz="1800" b="1" i="0" u="none" strike="noStrike" kern="1200" cap="none" spc="0" normalizeH="0" baseline="0" noProof="0">
            <a:ln>
              <a:noFill/>
            </a:ln>
            <a:solidFill>
              <a:sysClr val="windowText" lastClr="000000"/>
            </a:solidFill>
            <a:effectLst/>
            <a:uLnTx/>
            <a:uFillTx/>
            <a:latin typeface="Aptos" panose="020B0004020202020204" pitchFamily="34" charset="0"/>
          </a:endParaRP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US" sz="1800" b="1" i="0" u="none" strike="noStrike" kern="1200" cap="none" spc="0" normalizeH="0" baseline="0" noProof="0">
              <a:ln>
                <a:noFill/>
              </a:ln>
              <a:solidFill>
                <a:sysClr val="windowText" lastClr="000000"/>
              </a:solidFill>
              <a:effectLst/>
              <a:uLnTx/>
              <a:uFillTx/>
              <a:latin typeface="Aptos" panose="020B0004020202020204" pitchFamily="34" charset="0"/>
            </a:rPr>
            <a:t>Key Safety Takeaways: </a:t>
          </a:r>
          <a:r>
            <a:rPr kumimoji="0" lang="en-US" sz="1800" b="0" i="0" u="none" strike="noStrike" kern="1200" cap="none" spc="0" normalizeH="0" baseline="0" noProof="0">
              <a:ln>
                <a:noFill/>
              </a:ln>
              <a:solidFill>
                <a:sysClr val="windowText" lastClr="000000"/>
              </a:solidFill>
              <a:effectLst/>
              <a:uLnTx/>
              <a:uFillTx/>
              <a:latin typeface="Aptos" panose="020B0004020202020204" pitchFamily="34" charset="0"/>
            </a:rPr>
            <a:t>September's incidents reinforce the need for effective lift planning and route-clearance checks; positive control of loads and rigging; verification that lines, slings, and attachments cannot snag; exclusion zones and barricades appropriate to the potential drop zone; reliable stop-work communications; and pre-use and functional checks of crane and hoisting systems. Personnel should remain clear of suspended, shifting, or potentially unstable loads, and stored energy must be controlled before rigging configurations are changed. Particular attention should be given to routine lifts, where familiar tasks and congested work areas can create unexpected hazards.</a:t>
          </a:r>
        </a:p>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US" sz="1800" b="0" i="0" u="none" strike="noStrike" kern="1200" cap="none" spc="0" normalizeH="0" baseline="0" noProof="0">
            <a:ln>
              <a:noFill/>
            </a:ln>
            <a:solidFill>
              <a:sysClr val="windowText" lastClr="000000"/>
            </a:solidFill>
            <a:effectLst/>
            <a:uLnTx/>
            <a:uFillTx/>
            <a:latin typeface="Aptos" panose="020B0004020202020204" pitchFamily="34" charset="0"/>
          </a:endParaRP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US" sz="1800" b="0" i="0" u="none" strike="noStrike" kern="1200" cap="none" spc="0" normalizeH="0" baseline="0" noProof="0">
              <a:ln>
                <a:noFill/>
              </a:ln>
              <a:solidFill>
                <a:sysClr val="windowText" lastClr="000000"/>
              </a:solidFill>
              <a:effectLst/>
              <a:uLnTx/>
              <a:uFillTx/>
              <a:latin typeface="Aptos" panose="020B0004020202020204" pitchFamily="34" charset="0"/>
            </a:rPr>
            <a:t>Overall, the September reports show that routine lifting activities can produce significant personnel-injury and dropped-object risks when loads snag, equipment moves unexpectedly, or nearby structures and components are exposed to unintended contact. Continued emphasis on planning, equipment integrity, communication, line-of-fire awareness, and effective exclusion zones is warranted</a:t>
          </a:r>
          <a:r>
            <a:rPr kumimoji="0" lang="en-US" sz="1800" b="0" i="0" u="none" strike="noStrike" kern="1200" cap="none" spc="0" normalizeH="0" baseline="0" noProof="0">
              <a:ln>
                <a:noFill/>
              </a:ln>
              <a:solidFill>
                <a:sysClr val="windowText" lastClr="000000"/>
              </a:solidFill>
              <a:effectLst/>
              <a:uLnTx/>
              <a:uFillTx/>
              <a:latin typeface="Calibri"/>
            </a:rPr>
            <a:t>.</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 displayName="Table1" ref="A1:B3" totalsRowShown="0">
  <autoFilter ref="A1:B3" xr:uid="{00000000-0009-0000-0100-000002000000}"/>
  <tableColumns count="2">
    <tableColumn id="1" xr3:uid="{00000000-0010-0000-0000-000001000000}" name="Last Updated: "/>
    <tableColumn id="2" xr3:uid="{00000000-0010-0000-0000-000002000000}" name="9/30/202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Lifting_Incidents" displayName="Lifting_Incidents" ref="A1:Q700" totalsRowShown="0">
  <autoFilter ref="A1:Q700" xr:uid="{00000000-0009-0000-0100-000001000000}">
    <filterColumn colId="3">
      <filters>
        <filter val="Completion"/>
        <filter val="Decommissioning"/>
        <filter val="Decommisssioning"/>
        <filter val="Driling"/>
        <filter val="Drilling"/>
        <filter val="Other"/>
        <filter val="Production"/>
        <filter val="Workover"/>
      </filters>
    </filterColumn>
    <filterColumn colId="11">
      <filters blank="1"/>
    </filterColumn>
  </autoFilter>
  <tableColumns count="17">
    <tableColumn id="1" xr3:uid="{00000000-0010-0000-0100-000001000000}" name="Month-Year"/>
    <tableColumn id="2" xr3:uid="{00000000-0010-0000-0100-000002000000}" name="Date"/>
    <tableColumn id="3" xr3:uid="{00000000-0010-0000-0100-000003000000}" name="Region/District"/>
    <tableColumn id="4" xr3:uid="{00000000-0010-0000-0100-000004000000}" name="Operation Type"/>
    <tableColumn id="5" xr3:uid="{00000000-0010-0000-0100-000005000000}" name="Short Description"/>
    <tableColumn id="6" xr3:uid="{00000000-0010-0000-0100-000006000000}" name="Type of Lifting Failure"/>
    <tableColumn id="7" xr3:uid="{00000000-0010-0000-0100-000007000000}" name="Item Lifted"/>
    <tableColumn id="8" xr3:uid="{00000000-0010-0000-0100-000008000000}" name="Item Lifted Category"/>
    <tableColumn id="9" xr3:uid="{00000000-0010-0000-0100-000009000000}" name="Dropped Object? (Y/N)"/>
    <tableColumn id="10" xr3:uid="{00000000-0010-0000-0100-00000A000000}" name="Crane? (Y/N)"/>
    <tableColumn id="11" xr3:uid="{00000000-0010-0000-0100-00000B000000}" name="Other Lifting Device? (Y/N)"/>
    <tableColumn id="12" xr3:uid="{00000000-0010-0000-0100-00000C000000}" name="Lifting Device "/>
    <tableColumn id="13" xr3:uid="{00000000-0010-0000-0100-00000D000000}" name="Injury? (Y/N)"/>
    <tableColumn id="14" xr3:uid="{00000000-0010-0000-0100-00000E000000}" name="Blind Lift? (Y/N)"/>
    <tableColumn id="15" xr3:uid="{00000000-0010-0000-0100-00000F000000}" name="Facility Type    (Fixed /Floater)" dataDxfId="9"/>
    <tableColumn id="16" xr3:uid="{00000000-0010-0000-0100-000010000000}" name="Other Operation Type " dataDxfId="8"/>
    <tableColumn id="17" xr3:uid="{791175C7-C9AB-442C-9672-9335BB582114}" name="Near Miss" dataDxfId="7"/>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2" displayName="Table2" ref="A5:D65">
  <tableColumns count="4">
    <tableColumn id="1" xr3:uid="{00000000-0010-0000-0200-000001000000}" name="Category" totalsRowLabel="Total incidents" dataDxfId="6"/>
    <tableColumn id="2" xr3:uid="{00000000-0010-0000-0200-000002000000}" name="Prior months" dataDxfId="5" totalsRowDxfId="4"/>
    <tableColumn id="3" xr3:uid="{00000000-0010-0000-0200-000003000000}" name="Report month" dataDxfId="3" totalsRowDxfId="2"/>
    <tableColumn id="4" xr3:uid="{00000000-0010-0000-0200-000004000000}" name="Total" dataDxfId="1" totalsRow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B5092"/>
  </sheetPr>
  <dimension ref="A3:K30"/>
  <sheetViews>
    <sheetView zoomScaleNormal="100" workbookViewId="0"/>
  </sheetViews>
  <sheetFormatPr defaultColWidth="8.5546875" defaultRowHeight="13.2"/>
  <cols>
    <col min="1" max="1" width="36.88671875" customWidth="1"/>
    <col min="2" max="2" width="20.5546875" customWidth="1"/>
    <col min="8" max="8" width="28.44140625" customWidth="1"/>
    <col min="11" max="11" width="46.6640625" customWidth="1"/>
  </cols>
  <sheetData>
    <row r="3" spans="1:11" ht="41.25" customHeight="1"/>
    <row r="4" spans="1:11" ht="22.5" customHeight="1"/>
    <row r="5" spans="1:11" ht="31.5" customHeight="1">
      <c r="A5" s="1" t="s">
        <v>0</v>
      </c>
      <c r="B5" s="1"/>
      <c r="C5" s="1"/>
      <c r="D5" s="1"/>
      <c r="E5" s="1"/>
      <c r="F5" s="1"/>
      <c r="H5" s="2" t="s">
        <v>1493</v>
      </c>
    </row>
    <row r="6" spans="1:11" ht="77.25" customHeight="1">
      <c r="A6" s="184" t="s">
        <v>2</v>
      </c>
      <c r="B6" s="184"/>
      <c r="C6" s="184"/>
      <c r="D6" s="184"/>
      <c r="E6" s="184"/>
      <c r="F6" s="184"/>
      <c r="G6" s="184"/>
      <c r="H6" s="184"/>
      <c r="I6" s="3"/>
      <c r="J6" s="3"/>
      <c r="K6" s="3"/>
    </row>
    <row r="7" spans="1:11" ht="9" customHeight="1">
      <c r="A7" s="4"/>
      <c r="B7" s="5"/>
      <c r="C7" s="5"/>
      <c r="D7" s="5"/>
      <c r="E7" s="5"/>
      <c r="F7" s="5"/>
      <c r="G7" s="5"/>
      <c r="H7" s="5"/>
      <c r="I7" s="5"/>
      <c r="J7" s="5"/>
      <c r="K7" s="5"/>
    </row>
    <row r="8" spans="1:11" ht="19.5" customHeight="1">
      <c r="A8" s="185" t="s">
        <v>3</v>
      </c>
      <c r="B8" s="185"/>
      <c r="C8" s="185"/>
      <c r="D8" s="185"/>
      <c r="E8" s="185"/>
      <c r="F8" s="185"/>
      <c r="G8" s="185"/>
      <c r="H8" s="185"/>
      <c r="I8" s="6"/>
      <c r="J8" s="6"/>
      <c r="K8" s="6"/>
    </row>
    <row r="9" spans="1:11" ht="30.75" customHeight="1">
      <c r="A9" s="182" t="s">
        <v>4</v>
      </c>
      <c r="B9" s="182"/>
      <c r="C9" s="182"/>
      <c r="D9" s="182"/>
      <c r="E9" s="182"/>
      <c r="F9" s="182"/>
      <c r="G9" s="182"/>
      <c r="H9" s="182"/>
      <c r="I9" s="6"/>
      <c r="J9" s="6"/>
      <c r="K9" s="6"/>
    </row>
    <row r="10" spans="1:11" ht="30.75" customHeight="1">
      <c r="A10" s="182"/>
      <c r="B10" s="182"/>
      <c r="C10" s="182"/>
      <c r="D10" s="182"/>
      <c r="E10" s="182"/>
      <c r="F10" s="182"/>
      <c r="G10" s="182"/>
      <c r="H10" s="182"/>
      <c r="I10" s="6"/>
      <c r="J10" s="6"/>
      <c r="K10" s="6"/>
    </row>
    <row r="11" spans="1:11" ht="30.75" customHeight="1">
      <c r="A11" s="182"/>
      <c r="B11" s="182"/>
      <c r="C11" s="182"/>
      <c r="D11" s="182"/>
      <c r="E11" s="182"/>
      <c r="F11" s="182"/>
      <c r="G11" s="182"/>
      <c r="H11" s="182"/>
      <c r="I11" s="6"/>
      <c r="J11" s="6"/>
      <c r="K11" s="6"/>
    </row>
    <row r="12" spans="1:11" ht="30.75" customHeight="1">
      <c r="A12" s="182"/>
      <c r="B12" s="182"/>
      <c r="C12" s="182"/>
      <c r="D12" s="182"/>
      <c r="E12" s="182"/>
      <c r="F12" s="182"/>
      <c r="G12" s="182"/>
      <c r="H12" s="182"/>
      <c r="I12" s="6"/>
      <c r="J12" s="6"/>
      <c r="K12" s="6"/>
    </row>
    <row r="13" spans="1:11" ht="30.75" customHeight="1">
      <c r="A13" s="182"/>
      <c r="B13" s="182"/>
      <c r="C13" s="182"/>
      <c r="D13" s="182"/>
      <c r="E13" s="182"/>
      <c r="F13" s="182"/>
      <c r="G13" s="182"/>
      <c r="H13" s="182"/>
      <c r="I13" s="6"/>
      <c r="J13" s="6"/>
      <c r="K13" s="6"/>
    </row>
    <row r="14" spans="1:11" ht="9.75" customHeight="1">
      <c r="A14" s="4"/>
      <c r="B14" s="5"/>
      <c r="C14" s="5"/>
      <c r="D14" s="5"/>
      <c r="E14" s="5"/>
      <c r="F14" s="5"/>
      <c r="G14" s="5"/>
      <c r="H14" s="5"/>
      <c r="I14" s="6"/>
      <c r="J14" s="6"/>
      <c r="K14" s="6"/>
    </row>
    <row r="15" spans="1:11" ht="19.5" customHeight="1">
      <c r="A15" s="186" t="s">
        <v>5</v>
      </c>
      <c r="B15" s="186"/>
      <c r="C15" s="186"/>
      <c r="D15" s="186"/>
      <c r="E15" s="186"/>
      <c r="F15" s="186"/>
      <c r="G15" s="186"/>
      <c r="H15" s="186"/>
      <c r="I15" s="6"/>
      <c r="J15" s="6"/>
      <c r="K15" s="6"/>
    </row>
    <row r="16" spans="1:11" ht="30.75" customHeight="1">
      <c r="A16" s="182" t="s">
        <v>6</v>
      </c>
      <c r="B16" s="182"/>
      <c r="C16" s="182"/>
      <c r="D16" s="182"/>
      <c r="E16" s="182"/>
      <c r="F16" s="182"/>
      <c r="G16" s="182"/>
      <c r="H16" s="182"/>
      <c r="I16" s="6"/>
      <c r="J16" s="6"/>
      <c r="K16" s="6"/>
    </row>
    <row r="17" spans="1:11" ht="30.75" customHeight="1">
      <c r="A17" s="182"/>
      <c r="B17" s="182"/>
      <c r="C17" s="182"/>
      <c r="D17" s="182"/>
      <c r="E17" s="182"/>
      <c r="F17" s="182"/>
      <c r="G17" s="182"/>
      <c r="H17" s="182"/>
      <c r="I17" s="6"/>
      <c r="J17" s="6"/>
      <c r="K17" s="6"/>
    </row>
    <row r="18" spans="1:11" ht="30.75" customHeight="1">
      <c r="A18" s="182"/>
      <c r="B18" s="182"/>
      <c r="C18" s="182"/>
      <c r="D18" s="182"/>
      <c r="E18" s="182"/>
      <c r="F18" s="182"/>
      <c r="G18" s="182"/>
      <c r="H18" s="182"/>
      <c r="I18" s="6"/>
      <c r="J18" s="6"/>
      <c r="K18" s="6"/>
    </row>
    <row r="19" spans="1:11" ht="7.5" customHeight="1">
      <c r="A19" s="4"/>
      <c r="B19" s="5"/>
      <c r="C19" s="5"/>
      <c r="D19" s="5"/>
      <c r="E19" s="5"/>
      <c r="F19" s="5"/>
      <c r="G19" s="5"/>
      <c r="H19" s="5"/>
      <c r="I19" s="6"/>
      <c r="J19" s="6"/>
      <c r="K19" s="6"/>
    </row>
    <row r="20" spans="1:11" ht="19.5" customHeight="1">
      <c r="A20" s="181" t="s">
        <v>7</v>
      </c>
      <c r="B20" s="181"/>
      <c r="C20" s="181"/>
      <c r="D20" s="181"/>
      <c r="E20" s="181"/>
      <c r="F20" s="181"/>
      <c r="G20" s="181"/>
      <c r="H20" s="181"/>
      <c r="I20" s="6"/>
      <c r="J20" s="6"/>
      <c r="K20" s="6"/>
    </row>
    <row r="21" spans="1:11" ht="30.75" customHeight="1">
      <c r="A21" s="182" t="s">
        <v>8</v>
      </c>
      <c r="B21" s="182"/>
      <c r="C21" s="182"/>
      <c r="D21" s="182"/>
      <c r="E21" s="182"/>
      <c r="F21" s="182"/>
      <c r="G21" s="182"/>
      <c r="H21" s="182"/>
      <c r="I21" s="6"/>
      <c r="J21" s="6"/>
      <c r="K21" s="6"/>
    </row>
    <row r="22" spans="1:11" ht="82.5" customHeight="1">
      <c r="A22" s="182"/>
      <c r="B22" s="182"/>
      <c r="C22" s="182"/>
      <c r="D22" s="182"/>
      <c r="E22" s="182"/>
      <c r="F22" s="182"/>
      <c r="G22" s="182"/>
      <c r="H22" s="182"/>
      <c r="I22" s="6"/>
      <c r="J22" s="6"/>
      <c r="K22" s="6"/>
    </row>
    <row r="23" spans="1:11" ht="10.5" customHeight="1">
      <c r="A23" s="7"/>
      <c r="B23" s="7"/>
      <c r="C23" s="7"/>
      <c r="D23" s="7"/>
      <c r="E23" s="7"/>
      <c r="F23" s="7"/>
      <c r="G23" s="7"/>
      <c r="H23" s="7"/>
      <c r="I23" s="6"/>
      <c r="J23" s="6"/>
      <c r="K23" s="6"/>
    </row>
    <row r="24" spans="1:11" ht="19.5" customHeight="1">
      <c r="A24" s="183" t="s">
        <v>9</v>
      </c>
      <c r="B24" s="183"/>
      <c r="C24" s="183"/>
      <c r="D24" s="183"/>
      <c r="E24" s="183"/>
      <c r="F24" s="183"/>
      <c r="G24" s="183"/>
      <c r="H24" s="183"/>
      <c r="I24" s="6"/>
      <c r="J24" s="6"/>
      <c r="K24" s="6"/>
    </row>
    <row r="25" spans="1:11" ht="12" customHeight="1">
      <c r="A25" s="182" t="s">
        <v>10</v>
      </c>
      <c r="B25" s="182"/>
      <c r="C25" s="182"/>
      <c r="D25" s="182"/>
      <c r="E25" s="182"/>
      <c r="F25" s="182"/>
      <c r="G25" s="182"/>
      <c r="H25" s="182"/>
    </row>
    <row r="26" spans="1:11" ht="27" customHeight="1">
      <c r="A26" s="182"/>
      <c r="B26" s="182"/>
      <c r="C26" s="182"/>
      <c r="D26" s="182"/>
      <c r="E26" s="182"/>
      <c r="F26" s="182"/>
      <c r="G26" s="182"/>
      <c r="H26" s="182"/>
      <c r="I26" s="8"/>
      <c r="J26" s="8"/>
      <c r="K26" s="8"/>
    </row>
    <row r="27" spans="1:11" ht="22.5" customHeight="1">
      <c r="A27" s="9"/>
    </row>
    <row r="28" spans="1:11" ht="12" customHeight="1">
      <c r="A28" s="8"/>
      <c r="B28" s="8"/>
      <c r="C28" s="8"/>
      <c r="D28" s="8"/>
      <c r="E28" s="8"/>
      <c r="F28" s="8"/>
      <c r="G28" s="8"/>
      <c r="H28" s="8"/>
      <c r="I28" s="8"/>
      <c r="J28" s="8"/>
      <c r="K28" s="8"/>
    </row>
    <row r="29" spans="1:11" ht="22.5" customHeight="1">
      <c r="A29" s="9"/>
    </row>
    <row r="30" spans="1:11" ht="12" customHeight="1">
      <c r="A30" s="8"/>
      <c r="B30" s="10"/>
      <c r="C30" s="10"/>
      <c r="D30" s="10"/>
      <c r="E30" s="10"/>
      <c r="F30" s="10"/>
      <c r="G30" s="10"/>
      <c r="H30" s="10"/>
      <c r="I30" s="10"/>
      <c r="J30" s="10"/>
      <c r="K30" s="10"/>
    </row>
  </sheetData>
  <mergeCells count="9">
    <mergeCell ref="A20:H20"/>
    <mergeCell ref="A21:H22"/>
    <mergeCell ref="A24:H24"/>
    <mergeCell ref="A25:H26"/>
    <mergeCell ref="A6:H6"/>
    <mergeCell ref="A8:H8"/>
    <mergeCell ref="A9:H13"/>
    <mergeCell ref="A15:H15"/>
    <mergeCell ref="A16:H18"/>
  </mergeCells>
  <pageMargins left="0.7" right="0.7" top="0.75" bottom="0.75" header="0.511811023622047" footer="0.511811023622047"/>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0C419"/>
    <pageSetUpPr fitToPage="1"/>
  </sheetPr>
  <dimension ref="A1:Z107"/>
  <sheetViews>
    <sheetView topLeftCell="A65" zoomScale="75" zoomScaleNormal="75" workbookViewId="0">
      <selection activeCell="A21" sqref="A21:XFD21"/>
    </sheetView>
  </sheetViews>
  <sheetFormatPr defaultColWidth="8.5546875" defaultRowHeight="13.2"/>
  <cols>
    <col min="1" max="1" width="48.6640625" customWidth="1"/>
    <col min="2" max="2" width="28.88671875" customWidth="1"/>
    <col min="3" max="3" width="19.5546875" customWidth="1"/>
    <col min="4" max="4" width="13.6640625" customWidth="1"/>
    <col min="6" max="6" width="6.6640625" customWidth="1"/>
    <col min="14" max="14" width="17.6640625" customWidth="1"/>
    <col min="15" max="15" width="12.109375" customWidth="1"/>
    <col min="19" max="19" width="18" customWidth="1"/>
    <col min="22" max="22" width="11.88671875" customWidth="1"/>
  </cols>
  <sheetData>
    <row r="1" spans="1:12" ht="24.75" customHeight="1">
      <c r="A1" s="11" t="s">
        <v>11</v>
      </c>
      <c r="B1" s="12" t="s">
        <v>1585</v>
      </c>
    </row>
    <row r="2" spans="1:12" ht="24.75" customHeight="1">
      <c r="A2" s="11" t="s">
        <v>12</v>
      </c>
      <c r="B2" s="13" t="s">
        <v>1493</v>
      </c>
      <c r="D2" s="14"/>
    </row>
    <row r="3" spans="1:12" ht="24.75" customHeight="1">
      <c r="A3" s="11" t="s">
        <v>14</v>
      </c>
      <c r="B3" s="11" t="s">
        <v>15</v>
      </c>
      <c r="D3" s="14"/>
      <c r="G3" s="11"/>
    </row>
    <row r="4" spans="1:12" ht="28.5" customHeight="1">
      <c r="A4" s="187" t="s">
        <v>1635</v>
      </c>
      <c r="B4" s="187"/>
      <c r="C4" s="187"/>
      <c r="D4" s="187"/>
      <c r="E4" s="15"/>
      <c r="K4" s="15"/>
      <c r="L4" s="15"/>
    </row>
    <row r="5" spans="1:12" ht="43.5" customHeight="1">
      <c r="A5" s="16" t="s">
        <v>16</v>
      </c>
      <c r="B5" s="17" t="s">
        <v>17</v>
      </c>
      <c r="C5" s="18" t="s">
        <v>18</v>
      </c>
      <c r="D5" s="19" t="s">
        <v>19</v>
      </c>
      <c r="E5" s="15"/>
      <c r="F5" s="15"/>
      <c r="G5" s="15"/>
      <c r="H5" s="15"/>
      <c r="I5" s="15"/>
      <c r="J5" s="15"/>
      <c r="K5" s="15"/>
      <c r="L5" s="15"/>
    </row>
    <row r="6" spans="1:12" ht="24.75" customHeight="1">
      <c r="A6" s="20" t="s">
        <v>20</v>
      </c>
      <c r="B6" s="21">
        <f>IF($B$3="All",COUNTIFS(Lifting_Incidents[Date],"&gt;="&amp;DATE(2025,1,1),Lifting_Incidents[Date],"&lt;"&amp;EDATE(DATE(2025,1,1),1),Lifting_Incidents[Crane? (Y/N)],"Yes"),COUNTIFS(Lifting_Incidents[Date],"&gt;="&amp;DATE(2025,1,1),Lifting_Incidents[Date],"&lt;"&amp;EDATE(DATE(2025,1,1),1),Lifting_Incidents[Crane? (Y/N)],"Yes",Lifting_Incidents[Region/District],$B$3))</f>
        <v>19</v>
      </c>
      <c r="C6" s="22">
        <f>IF($B$3="All",COUNTIFS(Lifting_Incidents[Date],"&gt;="&amp;DATE(2025,1,1),Lifting_Incidents[Date],"&lt;"&amp;EDATE(DATE(2025,1,1),1),Lifting_Incidents[Other Lifting Device? (Y/N)],"Yes"),COUNTIFS(Lifting_Incidents[Date],"&gt;="&amp;DATE(2025,1,1),Lifting_Incidents[Date],"&lt;"&amp;EDATE(DATE(2025,1,1),1),Lifting_Incidents[Other Lifting Device? (Y/N)],"Yes",Lifting_Incidents[Region/District],$B$3))</f>
        <v>7</v>
      </c>
      <c r="D6" s="23">
        <f>IF($B$3="All",COUNTIFS(Lifting_Incidents[Date],"&gt;="&amp;DATE(2025,1,1),Lifting_Incidents[Date],"&lt;"&amp;EDATE(DATE(2025,1,1),1)),COUNTIFS(Lifting_Incidents[Date],"&gt;="&amp;DATE(2025,1,1),Lifting_Incidents[Date],"&lt;"&amp;EDATE(DATE(2025,1,1),1),Lifting_Incidents[Region/District],$B$3))</f>
        <v>26</v>
      </c>
      <c r="F6" s="24"/>
    </row>
    <row r="7" spans="1:12" ht="24.75" customHeight="1">
      <c r="A7" s="25" t="s">
        <v>21</v>
      </c>
      <c r="B7" s="21">
        <f>IF($B$3="All",COUNTIFS(Lifting_Incidents[Date],"&gt;="&amp;DATE(2025,2,1),Lifting_Incidents[Date],"&lt;"&amp;EDATE(DATE(2025,2,1),1),Lifting_Incidents[Crane? (Y/N)],"Yes"),COUNTIFS(Lifting_Incidents[Date],"&gt;="&amp;DATE(2025,2,1),Lifting_Incidents[Date],"&lt;"&amp;EDATE(DATE(2025,2,1),1),Lifting_Incidents[Crane? (Y/N)],"Yes",Lifting_Incidents[Region/District],$B$3))</f>
        <v>26</v>
      </c>
      <c r="C7" s="22">
        <f>IF($B$3="All",COUNTIFS(Lifting_Incidents[Date],"&gt;="&amp;DATE(2025,2,1),Lifting_Incidents[Date],"&lt;"&amp;EDATE(DATE(2025,2,1),1),Lifting_Incidents[Other Lifting Device? (Y/N)],"Yes"),COUNTIFS(Lifting_Incidents[Date],"&gt;="&amp;DATE(2025,2,1),Lifting_Incidents[Date],"&lt;"&amp;EDATE(DATE(2025,2,1),1),Lifting_Incidents[Other Lifting Device? (Y/N)],"Yes",Lifting_Incidents[Region/District],$B$3))</f>
        <v>11</v>
      </c>
      <c r="D7" s="23">
        <f>IF($B$3="All",COUNTIFS(Lifting_Incidents[Date],"&gt;="&amp;DATE(2025,2,1),Lifting_Incidents[Date],"&lt;"&amp;EDATE(DATE(2025,2,1),1)),COUNTIFS(Lifting_Incidents[Date],"&gt;="&amp;DATE(2025,2,1),Lifting_Incidents[Date],"&lt;"&amp;EDATE(DATE(2025,2,1),1),Lifting_Incidents[Region/District],$B$3))</f>
        <v>37</v>
      </c>
    </row>
    <row r="8" spans="1:12" ht="24.75" customHeight="1">
      <c r="A8" s="25" t="s">
        <v>22</v>
      </c>
      <c r="B8" s="21">
        <f>IF($B$3="All",COUNTIFS(Lifting_Incidents[Date],"&gt;="&amp;DATE(2025,3,1),Lifting_Incidents[Date],"&lt;"&amp;EDATE(DATE(2025,3,1),1),Lifting_Incidents[Crane? (Y/N)],"Yes"),COUNTIFS(Lifting_Incidents[Date],"&gt;="&amp;DATE(2025,3,1),Lifting_Incidents[Date],"&lt;"&amp;EDATE(DATE(2025,3,1),1),Lifting_Incidents[Crane? (Y/N)],"Yes",Lifting_Incidents[Region/District],$B$3))</f>
        <v>26</v>
      </c>
      <c r="C8" s="22">
        <f>IF($B$3="All",COUNTIFS(Lifting_Incidents[Date],"&gt;="&amp;DATE(2025,3,1),Lifting_Incidents[Date],"&lt;"&amp;EDATE(DATE(2025,3,1),1),Lifting_Incidents[Other Lifting Device? (Y/N)],"Yes"),COUNTIFS(Lifting_Incidents[Date],"&gt;="&amp;DATE(2025,3,1),Lifting_Incidents[Date],"&lt;"&amp;EDATE(DATE(2025,3,1),1),Lifting_Incidents[Other Lifting Device? (Y/N)],"Yes",Lifting_Incidents[Region/District],$B$3))</f>
        <v>12</v>
      </c>
      <c r="D8" s="23">
        <f>IF($B$3="All",COUNTIFS(Lifting_Incidents[Date],"&gt;="&amp;DATE(2025,3,1),Lifting_Incidents[Date],"&lt;"&amp;EDATE(DATE(2025,3,1),1)),COUNTIFS(Lifting_Incidents[Date],"&gt;="&amp;DATE(2025,3,1),Lifting_Incidents[Date],"&lt;"&amp;EDATE(DATE(2025,3,1),1),Lifting_Incidents[Region/District],$B$3))</f>
        <v>38</v>
      </c>
    </row>
    <row r="9" spans="1:12" ht="24.75" customHeight="1">
      <c r="A9" s="25" t="s">
        <v>23</v>
      </c>
      <c r="B9" s="21">
        <f>IF($B$3="All",COUNTIFS(Lifting_Incidents[Date],"&gt;="&amp;DATE(2025,4,1),Lifting_Incidents[Date],"&lt;"&amp;EDATE(DATE(2025,4,1),1),Lifting_Incidents[Crane? (Y/N)],"Yes"),COUNTIFS(Lifting_Incidents[Date],"&gt;="&amp;DATE(2025,4,1),Lifting_Incidents[Date],"&lt;"&amp;EDATE(DATE(2025,4,1),1),Lifting_Incidents[Crane? (Y/N)],"Yes",Lifting_Incidents[Region/District],$B$3))</f>
        <v>30</v>
      </c>
      <c r="C9" s="22">
        <f>IF($B$3="All",COUNTIFS(Lifting_Incidents[Date],"&gt;="&amp;DATE(2025,4,1),Lifting_Incidents[Date],"&lt;"&amp;EDATE(DATE(2025,4,1),1),Lifting_Incidents[Other Lifting Device? (Y/N)],"Yes"),COUNTIFS(Lifting_Incidents[Date],"&gt;="&amp;DATE(2025,4,1),Lifting_Incidents[Date],"&lt;"&amp;EDATE(DATE(2025,4,1),1),Lifting_Incidents[Other Lifting Device? (Y/N)],"Yes",Lifting_Incidents[Region/District],$B$3))</f>
        <v>4</v>
      </c>
      <c r="D9" s="23">
        <f>IF($B$3="All",COUNTIFS(Lifting_Incidents[Date],"&gt;="&amp;DATE(2025,4,1),Lifting_Incidents[Date],"&lt;"&amp;EDATE(DATE(2025,4,1),1)),COUNTIFS(Lifting_Incidents[Date],"&gt;="&amp;DATE(2025,4,1),Lifting_Incidents[Date],"&lt;"&amp;EDATE(DATE(2025,4,1),1),Lifting_Incidents[Region/District],$B$3))</f>
        <v>34</v>
      </c>
    </row>
    <row r="10" spans="1:12" ht="24.75" customHeight="1">
      <c r="A10" s="25" t="s">
        <v>24</v>
      </c>
      <c r="B10" s="21">
        <f>IF($B$3="All",COUNTIFS(Lifting_Incidents[Date],"&gt;="&amp;DATE(2025,5,1),Lifting_Incidents[Date],"&lt;"&amp;EDATE(DATE(2025,5,1),1),Lifting_Incidents[Crane? (Y/N)],"Yes"),COUNTIFS(Lifting_Incidents[Date],"&gt;="&amp;DATE(2025,5,1),Lifting_Incidents[Date],"&lt;"&amp;EDATE(DATE(2025,5,1),1),Lifting_Incidents[Crane? (Y/N)],"Yes",Lifting_Incidents[Region/District],$B$3))</f>
        <v>36</v>
      </c>
      <c r="C10" s="22">
        <f>IF($B$3="All",COUNTIFS(Lifting_Incidents[Date],"&gt;="&amp;DATE(2025,5,1),Lifting_Incidents[Date],"&lt;"&amp;EDATE(DATE(2025,5,1),1),Lifting_Incidents[Other Lifting Device? (Y/N)],"Yes"),COUNTIFS(Lifting_Incidents[Date],"&gt;="&amp;DATE(2025,5,1),Lifting_Incidents[Date],"&lt;"&amp;EDATE(DATE(2025,5,1),1),Lifting_Incidents[Other Lifting Device? (Y/N)],"Yes",Lifting_Incidents[Region/District],$B$3))</f>
        <v>12</v>
      </c>
      <c r="D10" s="23">
        <f>IF($B$3="All",COUNTIFS(Lifting_Incidents[Date],"&gt;="&amp;DATE(2025,5,1),Lifting_Incidents[Date],"&lt;"&amp;EDATE(DATE(2025,5,1),1)),COUNTIFS(Lifting_Incidents[Date],"&gt;="&amp;DATE(2025,5,1),Lifting_Incidents[Date],"&lt;"&amp;EDATE(DATE(2025,5,1),1),Lifting_Incidents[Region/District],$B$3))</f>
        <v>48</v>
      </c>
    </row>
    <row r="11" spans="1:12" ht="24.75" customHeight="1">
      <c r="A11" s="25" t="s">
        <v>25</v>
      </c>
      <c r="B11" s="21">
        <f>IF($B$3="All",COUNTIFS(Lifting_Incidents[Date],"&gt;="&amp;DATE(2025,6,1),Lifting_Incidents[Date],"&lt;"&amp;EDATE(DATE(2025,6,1),1),Lifting_Incidents[Crane? (Y/N)],"Yes"),COUNTIFS(Lifting_Incidents[Date],"&gt;="&amp;DATE(2025,6,1),Lifting_Incidents[Date],"&lt;"&amp;EDATE(DATE(2025,6,1),1),Lifting_Incidents[Crane? (Y/N)],"Yes",Lifting_Incidents[Region/District],$B$3))</f>
        <v>34</v>
      </c>
      <c r="C11" s="22">
        <f>IF($B$3="All",COUNTIFS(Lifting_Incidents[Date],"&gt;="&amp;DATE(2025,6,1),Lifting_Incidents[Date],"&lt;"&amp;EDATE(DATE(2025,6,1),1),Lifting_Incidents[Other Lifting Device? (Y/N)],"Yes"),COUNTIFS(Lifting_Incidents[Date],"&gt;="&amp;DATE(2025,6,1),Lifting_Incidents[Date],"&lt;"&amp;EDATE(DATE(2025,6,1),1),Lifting_Incidents[Other Lifting Device? (Y/N)],"Yes",Lifting_Incidents[Region/District],$B$3))</f>
        <v>6</v>
      </c>
      <c r="D11" s="23">
        <f>IF($B$3="All",COUNTIFS(Lifting_Incidents[Date],"&gt;="&amp;DATE(2025,6,1),Lifting_Incidents[Date],"&lt;"&amp;EDATE(DATE(2025,6,1),1)),COUNTIFS(Lifting_Incidents[Date],"&gt;="&amp;DATE(2025,6,1),Lifting_Incidents[Date],"&lt;"&amp;EDATE(DATE(2025,6,1),1),Lifting_Incidents[Region/District],$B$3))</f>
        <v>40</v>
      </c>
    </row>
    <row r="12" spans="1:12" ht="24.6">
      <c r="A12" s="26" t="s">
        <v>26</v>
      </c>
      <c r="B12" s="21">
        <f>IF($B$3="All",COUNTIFS(Lifting_Incidents[Date],"&gt;="&amp;DATE(2025,7,1),Lifting_Incidents[Date],"&lt;"&amp;EDATE(DATE(2025,7,1),1),Lifting_Incidents[Crane? (Y/N)],"Yes"),COUNTIFS(Lifting_Incidents[Date],"&gt;="&amp;DATE(2025,7,1),Lifting_Incidents[Date],"&lt;"&amp;EDATE(DATE(2025,7,1),1),Lifting_Incidents[Crane? (Y/N)],"Yes",Lifting_Incidents[Region/District],$B$3))</f>
        <v>24</v>
      </c>
      <c r="C12" s="22">
        <f>IF($B$3="All",COUNTIFS(Lifting_Incidents[Date],"&gt;="&amp;DATE(2025,7,1),Lifting_Incidents[Date],"&lt;"&amp;EDATE(DATE(2025,7,1),1),Lifting_Incidents[Other Lifting Device? (Y/N)],"Yes"),COUNTIFS(Lifting_Incidents[Date],"&gt;="&amp;DATE(2025,7,1),Lifting_Incidents[Date],"&lt;"&amp;EDATE(DATE(2025,7,1),1),Lifting_Incidents[Other Lifting Device? (Y/N)],"Yes",Lifting_Incidents[Region/District],$B$3))</f>
        <v>8</v>
      </c>
      <c r="D12" s="23">
        <f>IF($B$3="All",COUNTIFS(Lifting_Incidents[Date],"&gt;="&amp;DATE(2025,7,1),Lifting_Incidents[Date],"&lt;"&amp;EDATE(DATE(2025,7,1),1)),COUNTIFS(Lifting_Incidents[Date],"&gt;="&amp;DATE(2025,7,1),Lifting_Incidents[Date],"&lt;"&amp;EDATE(DATE(2025,7,1),1),Lifting_Incidents[Region/District],$B$3))</f>
        <v>32</v>
      </c>
    </row>
    <row r="13" spans="1:12" ht="24.6">
      <c r="A13" s="26" t="s">
        <v>27</v>
      </c>
      <c r="B13" s="21">
        <f>IF($B$3="All",COUNTIFS(Lifting_Incidents[Date],"&gt;="&amp;DATE(2025,8,1),Lifting_Incidents[Date],"&lt;"&amp;EDATE(DATE(2025,8,1),1),Lifting_Incidents[Crane? (Y/N)],"Yes"),COUNTIFS(Lifting_Incidents[Date],"&gt;="&amp;DATE(2025,8,1),Lifting_Incidents[Date],"&lt;"&amp;EDATE(DATE(2025,8,1),1),Lifting_Incidents[Crane? (Y/N)],"Yes",Lifting_Incidents[Region/District],$B$3))</f>
        <v>26</v>
      </c>
      <c r="C13" s="22">
        <f>IF($B$3="All",COUNTIFS(Lifting_Incidents[Date],"&gt;="&amp;DATE(2025,8,1),Lifting_Incidents[Date],"&lt;"&amp;EDATE(DATE(2025,8,1),1),Lifting_Incidents[Other Lifting Device? (Y/N)],"Yes"),COUNTIFS(Lifting_Incidents[Date],"&gt;="&amp;DATE(2025,8,1),Lifting_Incidents[Date],"&lt;"&amp;EDATE(DATE(2025,8,1),1),Lifting_Incidents[Other Lifting Device? (Y/N)],"Yes",Lifting_Incidents[Region/District],$B$3))</f>
        <v>4</v>
      </c>
      <c r="D13" s="23">
        <f>IF($B$3="All",COUNTIFS(Lifting_Incidents[Date],"&gt;="&amp;DATE(2025,8,1),Lifting_Incidents[Date],"&lt;"&amp;EDATE(DATE(2025,8,1),1)),COUNTIFS(Lifting_Incidents[Date],"&gt;="&amp;DATE(2025,8,1),Lifting_Incidents[Date],"&lt;"&amp;EDATE(DATE(2025,8,1),1),Lifting_Incidents[Region/District],$B$3))</f>
        <v>30</v>
      </c>
    </row>
    <row r="14" spans="1:12" ht="24.6">
      <c r="A14" s="26" t="s">
        <v>28</v>
      </c>
      <c r="B14" s="21">
        <f>IF($B$3="All",COUNTIFS(Lifting_Incidents[Date],"&gt;="&amp;DATE(2025,9,1),Lifting_Incidents[Date],"&lt;"&amp;EDATE(DATE(2025,9,1),1),Lifting_Incidents[Crane? (Y/N)],"Yes"),COUNTIFS(Lifting_Incidents[Date],"&gt;="&amp;DATE(2025,9,1),Lifting_Incidents[Date],"&lt;"&amp;EDATE(DATE(2025,9,1),1),Lifting_Incidents[Crane? (Y/N)],"Yes",Lifting_Incidents[Region/District],$B$3))</f>
        <v>25</v>
      </c>
      <c r="C14" s="22">
        <f>IF($B$3="All",COUNTIFS(Lifting_Incidents[Date],"&gt;="&amp;DATE(2025,9,1),Lifting_Incidents[Date],"&lt;"&amp;EDATE(DATE(2025,9,1),1),Lifting_Incidents[Other Lifting Device? (Y/N)],"Yes"),COUNTIFS(Lifting_Incidents[Date],"&gt;="&amp;DATE(2025,9,1),Lifting_Incidents[Date],"&lt;"&amp;EDATE(DATE(2025,9,1),1),Lifting_Incidents[Other Lifting Device? (Y/N)],"Yes",Lifting_Incidents[Region/District],$B$3))</f>
        <v>5</v>
      </c>
      <c r="D14" s="23">
        <f>IF($B$3="All",COUNTIFS(Lifting_Incidents[Date],"&gt;="&amp;DATE(2025,9,1),Lifting_Incidents[Date],"&lt;"&amp;EDATE(DATE(2025,9,1),1)),COUNTIFS(Lifting_Incidents[Date],"&gt;="&amp;DATE(2025,9,1),Lifting_Incidents[Date],"&lt;"&amp;EDATE(DATE(2025,9,1),1),Lifting_Incidents[Region/District],$B$3))</f>
        <v>30</v>
      </c>
    </row>
    <row r="15" spans="1:12" ht="24.6">
      <c r="A15" s="26" t="s">
        <v>29</v>
      </c>
      <c r="B15" s="21">
        <f>IF($B$3="All",COUNTIFS(Lifting_Incidents[Date],"&gt;="&amp;DATE(2025,10,1),Lifting_Incidents[Date],"&lt;"&amp;EDATE(DATE(2025,10,1),1),Lifting_Incidents[Crane? (Y/N)],"Yes"),COUNTIFS(Lifting_Incidents[Date],"&gt;="&amp;DATE(2025,10,1),Lifting_Incidents[Date],"&lt;"&amp;EDATE(DATE(2025,10,1),1),Lifting_Incidents[Crane? (Y/N)],"Yes",Lifting_Incidents[Region/District],$B$3))</f>
        <v>30</v>
      </c>
      <c r="C15" s="22">
        <f>IF($B$3="All",COUNTIFS(Lifting_Incidents[Date],"&gt;="&amp;DATE(2025,10,1),Lifting_Incidents[Date],"&lt;"&amp;EDATE(DATE(2025,10,1),1),Lifting_Incidents[Other Lifting Device? (Y/N)],"Yes"),COUNTIFS(Lifting_Incidents[Date],"&gt;="&amp;DATE(2025,10,1),Lifting_Incidents[Date],"&lt;"&amp;EDATE(DATE(2025,10,1),1),Lifting_Incidents[Other Lifting Device? (Y/N)],"Yes",Lifting_Incidents[Region/District],$B$3))</f>
        <v>3</v>
      </c>
      <c r="D15" s="23">
        <f>IF($B$3="All",COUNTIFS(Lifting_Incidents[Date],"&gt;="&amp;DATE(2025,10,1),Lifting_Incidents[Date],"&lt;"&amp;EDATE(DATE(2025,10,1),1)),COUNTIFS(Lifting_Incidents[Date],"&gt;="&amp;DATE(2025,10,1),Lifting_Incidents[Date],"&lt;"&amp;EDATE(DATE(2025,10,1),1),Lifting_Incidents[Region/District],$B$3))</f>
        <v>33</v>
      </c>
    </row>
    <row r="16" spans="1:12" ht="22.5" customHeight="1">
      <c r="A16" s="26" t="s">
        <v>30</v>
      </c>
      <c r="B16" s="21">
        <f>IF($B$3="All",COUNTIFS(Lifting_Incidents[Date],"&gt;="&amp;DATE(2025,11,1),Lifting_Incidents[Date],"&lt;"&amp;EDATE(DATE(2025,11,1),1),Lifting_Incidents[Crane? (Y/N)],"Yes"),COUNTIFS(Lifting_Incidents[Date],"&gt;="&amp;DATE(2025,11,1),Lifting_Incidents[Date],"&lt;"&amp;EDATE(DATE(2025,11,1),1),Lifting_Incidents[Crane? (Y/N)],"Yes",Lifting_Incidents[Region/District],$B$3))</f>
        <v>18</v>
      </c>
      <c r="C16" s="22">
        <f>IF($B$3="All",COUNTIFS(Lifting_Incidents[Date],"&gt;="&amp;DATE(2025,11,1),Lifting_Incidents[Date],"&lt;"&amp;EDATE(DATE(2025,11,1),1),Lifting_Incidents[Other Lifting Device? (Y/N)],"Yes"),COUNTIFS(Lifting_Incidents[Date],"&gt;="&amp;DATE(2025,11,1),Lifting_Incidents[Date],"&lt;"&amp;EDATE(DATE(2025,11,1),1),Lifting_Incidents[Other Lifting Device? (Y/N)],"Yes",Lifting_Incidents[Region/District],$B$3))</f>
        <v>9</v>
      </c>
      <c r="D16" s="23">
        <f>IF($B$3="All",COUNTIFS(Lifting_Incidents[Date],"&gt;="&amp;DATE(2025,11,1),Lifting_Incidents[Date],"&lt;"&amp;EDATE(DATE(2025,11,1),1)),COUNTIFS(Lifting_Incidents[Date],"&gt;="&amp;DATE(2025,11,1),Lifting_Incidents[Date],"&lt;"&amp;EDATE(DATE(2025,11,1),1),Lifting_Incidents[Region/District],$B$3))</f>
        <v>27</v>
      </c>
    </row>
    <row r="17" spans="1:4" ht="22.5" customHeight="1">
      <c r="A17" s="26" t="s">
        <v>1</v>
      </c>
      <c r="B17" s="21">
        <f>IF($B$3="All",COUNTIFS(Lifting_Incidents[Date],"&gt;="&amp;DATE(2025,12,1),Lifting_Incidents[Date],"&lt;"&amp;EDATE(DATE(2025,12,1),1),Lifting_Incidents[Crane? (Y/N)],"Yes"),COUNTIFS(Lifting_Incidents[Date],"&gt;="&amp;DATE(2025,12,1),Lifting_Incidents[Date],"&lt;"&amp;EDATE(DATE(2025,12,1),1),Lifting_Incidents[Crane? (Y/N)],"Yes",Lifting_Incidents[Region/District],$B$3))</f>
        <v>14</v>
      </c>
      <c r="C17" s="22">
        <f>IF($B$3="All",COUNTIFS(Lifting_Incidents[Date],"&gt;="&amp;DATE(2025,12,1),Lifting_Incidents[Date],"&lt;"&amp;EDATE(DATE(2025,12,1),1),Lifting_Incidents[Other Lifting Device? (Y/N)],"Yes"),COUNTIFS(Lifting_Incidents[Date],"&gt;="&amp;DATE(2025,12,1),Lifting_Incidents[Date],"&lt;"&amp;EDATE(DATE(2025,12,1),1),Lifting_Incidents[Other Lifting Device? (Y/N)],"Yes",Lifting_Incidents[Region/District],$B$3))</f>
        <v>6</v>
      </c>
      <c r="D17" s="23">
        <f>IF($B$3="All",COUNTIFS(Lifting_Incidents[Date],"&gt;="&amp;DATE(2025,12,1),Lifting_Incidents[Date],"&lt;"&amp;EDATE(DATE(2025,12,1),1)),COUNTIFS(Lifting_Incidents[Date],"&gt;="&amp;DATE(2025,12,1),Lifting_Incidents[Date],"&lt;"&amp;EDATE(DATE(2025,12,1),1),Lifting_Incidents[Region/District],$B$3))</f>
        <v>20</v>
      </c>
    </row>
    <row r="18" spans="1:4" ht="22.5" customHeight="1">
      <c r="A18" s="26" t="s">
        <v>31</v>
      </c>
      <c r="B18" s="21">
        <f>IF($B$3="All",COUNTIFS(Lifting_Incidents[Date],"&gt;="&amp;DATE(2026,1,1),Lifting_Incidents[Date],"&lt;"&amp;EDATE(DATE(2026,1,1),1),Lifting_Incidents[Crane? (Y/N)],"Yes"),COUNTIFS(Lifting_Incidents[Date],"&gt;="&amp;DATE(2026,1,1),Lifting_Incidents[Date],"&lt;"&amp;EDATE(DATE(2026,1,1),1),Lifting_Incidents[Crane? (Y/N)],"Yes",Lifting_Incidents[Region/District],$B$3))</f>
        <v>14</v>
      </c>
      <c r="C18" s="22">
        <f>IF($B$3="All",COUNTIFS(Lifting_Incidents[Date],"&gt;="&amp;DATE(2026,1,1),Lifting_Incidents[Date],"&lt;"&amp;EDATE(DATE(2026,1,1),1),Lifting_Incidents[Other Lifting Device? (Y/N)],"Yes"),COUNTIFS(Lifting_Incidents[Date],"&gt;="&amp;DATE(2026,1,1),Lifting_Incidents[Date],"&lt;"&amp;EDATE(DATE(2026,1,1),1),Lifting_Incidents[Other Lifting Device? (Y/N)],"Yes",Lifting_Incidents[Region/District],$B$3))</f>
        <v>8</v>
      </c>
      <c r="D18" s="23">
        <f>IF($B$3="All",COUNTIFS(Lifting_Incidents[Date],"&gt;="&amp;DATE(2026,1,1),Lifting_Incidents[Date],"&lt;"&amp;EDATE(DATE(2026,1,1),1)),COUNTIFS(Lifting_Incidents[Date],"&gt;="&amp;DATE(2026,1,1),Lifting_Incidents[Date],"&lt;"&amp;EDATE(DATE(2026,1,1),1),Lifting_Incidents[Region/District],$B$3))</f>
        <v>22</v>
      </c>
    </row>
    <row r="19" spans="1:4" ht="24.75" customHeight="1">
      <c r="A19" s="26" t="s">
        <v>32</v>
      </c>
      <c r="B19" s="21">
        <f>IF($B$3="All",COUNTIFS(Lifting_Incidents[Date],"&gt;="&amp;DATE(2026,2,1),Lifting_Incidents[Date],"&lt;"&amp;EDATE(DATE(2026,2,1),1),Lifting_Incidents[Crane? (Y/N)],"Yes"),COUNTIFS(Lifting_Incidents[Date],"&gt;="&amp;DATE(2026,2,1),Lifting_Incidents[Date],"&lt;"&amp;EDATE(DATE(2026,2,1),1),Lifting_Incidents[Crane? (Y/N)],"Yes",Lifting_Incidents[Region/District],$B$3))</f>
        <v>24</v>
      </c>
      <c r="C19" s="22">
        <f>IF($B$3="All",COUNTIFS(Lifting_Incidents[Date],"&gt;="&amp;DATE(2026,2,1),Lifting_Incidents[Date],"&lt;"&amp;EDATE(DATE(2026,2,1),1),Lifting_Incidents[Other Lifting Device? (Y/N)],"Yes"),COUNTIFS(Lifting_Incidents[Date],"&gt;="&amp;DATE(2026,2,1),Lifting_Incidents[Date],"&lt;"&amp;EDATE(DATE(2026,2,1),1),Lifting_Incidents[Other Lifting Device? (Y/N)],"Yes",Lifting_Incidents[Region/District],$B$3))</f>
        <v>10</v>
      </c>
      <c r="D19" s="23">
        <f>IF($B$3="All",COUNTIFS(Lifting_Incidents[Date],"&gt;="&amp;DATE(2026,2,1),Lifting_Incidents[Date],"&lt;"&amp;EDATE(DATE(2026,2,1),1)),COUNTIFS(Lifting_Incidents[Date],"&gt;="&amp;DATE(2026,2,1),Lifting_Incidents[Date],"&lt;"&amp;EDATE(DATE(2026,2,1),1),Lifting_Incidents[Region/District],$B$3))</f>
        <v>34</v>
      </c>
    </row>
    <row r="20" spans="1:4" ht="24.75" customHeight="1">
      <c r="A20" s="26" t="s">
        <v>33</v>
      </c>
      <c r="B20" s="21">
        <f>IF($B$3="All",COUNTIFS(Lifting_Incidents[Date],"&gt;="&amp;DATE(2026,3,1),Lifting_Incidents[Date],"&lt;"&amp;EDATE(DATE(2026,3,1),1),Lifting_Incidents[Crane? (Y/N)],"Yes"),COUNTIFS(Lifting_Incidents[Date],"&gt;="&amp;DATE(2026,3,1),Lifting_Incidents[Date],"&lt;"&amp;EDATE(DATE(2026,3,1),1),Lifting_Incidents[Crane? (Y/N)],"Yes",Lifting_Incidents[Region/District],$B$3))</f>
        <v>32</v>
      </c>
      <c r="C20" s="22">
        <f>IF($B$3="All",COUNTIFS(Lifting_Incidents[Date],"&gt;="&amp;DATE(2026,3,1),Lifting_Incidents[Date],"&lt;"&amp;EDATE(DATE(2026,3,1),1),Lifting_Incidents[Other Lifting Device? (Y/N)],"Yes"),COUNTIFS(Lifting_Incidents[Date],"&gt;="&amp;DATE(2026,3,1),Lifting_Incidents[Date],"&lt;"&amp;EDATE(DATE(2026,3,1),1),Lifting_Incidents[Other Lifting Device? (Y/N)],"Yes",Lifting_Incidents[Region/District],$B$3))</f>
        <v>8</v>
      </c>
      <c r="D20" s="23">
        <f>IF($B$3="All",COUNTIFS(Lifting_Incidents[Date],"&gt;="&amp;DATE(2026,3,1),Lifting_Incidents[Date],"&lt;"&amp;EDATE(DATE(2026,3,1),1)),COUNTIFS(Lifting_Incidents[Date],"&gt;="&amp;DATE(2026,3,1),Lifting_Incidents[Date],"&lt;"&amp;EDATE(DATE(2026,3,1),1),Lifting_Incidents[Region/District],$B$3))</f>
        <v>40</v>
      </c>
    </row>
    <row r="21" spans="1:4" ht="24.75" customHeight="1">
      <c r="A21" s="26" t="s">
        <v>34</v>
      </c>
      <c r="B21" s="21">
        <f>IF($B$3="All",COUNTIFS(Lifting_Incidents[Date],"&gt;="&amp;DATE(2026,4,1),Lifting_Incidents[Date],"&lt;"&amp;EDATE(DATE(2026,4,1),1),Lifting_Incidents[Crane? (Y/N)],"Yes"),COUNTIFS(Lifting_Incidents[Date],"&gt;="&amp;DATE(2026,4,1),Lifting_Incidents[Date],"&lt;"&amp;EDATE(DATE(2026,4,1),1),Lifting_Incidents[Crane? (Y/N)],"Yes",Lifting_Incidents[Region/District],$B$3))</f>
        <v>21</v>
      </c>
      <c r="C21" s="22">
        <f>IF($B$3="All",COUNTIFS(Lifting_Incidents[Date],"&gt;="&amp;DATE(2026,4,1),Lifting_Incidents[Date],"&lt;"&amp;EDATE(DATE(2026,4,1),1),Lifting_Incidents[Other Lifting Device? (Y/N)],"Yes"),COUNTIFS(Lifting_Incidents[Date],"&gt;="&amp;DATE(2026,4,1),Lifting_Incidents[Date],"&lt;"&amp;EDATE(DATE(2026,4,1),1),Lifting_Incidents[Other Lifting Device? (Y/N)],"Yes",Lifting_Incidents[Region/District],$B$3))</f>
        <v>10</v>
      </c>
      <c r="D21" s="23">
        <f>IF($B$3="All",COUNTIFS(Lifting_Incidents[Date],"&gt;="&amp;DATE(2026,4,1),Lifting_Incidents[Date],"&lt;"&amp;EDATE(DATE(2026,4,1),1)),COUNTIFS(Lifting_Incidents[Date],"&gt;="&amp;DATE(2026,4,1),Lifting_Incidents[Date],"&lt;"&amp;EDATE(DATE(2026,4,1),1),Lifting_Incidents[Region/District],$B$3))</f>
        <v>31</v>
      </c>
    </row>
    <row r="22" spans="1:4" ht="24.75" customHeight="1">
      <c r="A22" s="26" t="s">
        <v>35</v>
      </c>
      <c r="B22" s="21">
        <f>IF($B$3="All",COUNTIFS(Lifting_Incidents[Date],"&gt;="&amp;DATE(2026,5,1),Lifting_Incidents[Date],"&lt;"&amp;EDATE(DATE(2026,5,1),1),Lifting_Incidents[Crane? (Y/N)],"Yes"),COUNTIFS(Lifting_Incidents[Date],"&gt;="&amp;DATE(2026,5,1),Lifting_Incidents[Date],"&lt;"&amp;EDATE(DATE(2026,5,1),1),Lifting_Incidents[Crane? (Y/N)],"Yes",Lifting_Incidents[Region/District],$B$3))</f>
        <v>41</v>
      </c>
      <c r="C22" s="22">
        <f>IF($B$3="All",COUNTIFS(Lifting_Incidents[Date],"&gt;="&amp;DATE(2026,5,1),Lifting_Incidents[Date],"&lt;"&amp;EDATE(DATE(2026,5,1),1),Lifting_Incidents[Other Lifting Device? (Y/N)],"Yes"),COUNTIFS(Lifting_Incidents[Date],"&gt;="&amp;DATE(2026,5,1),Lifting_Incidents[Date],"&lt;"&amp;EDATE(DATE(2026,5,1),1),Lifting_Incidents[Other Lifting Device? (Y/N)],"Yes",Lifting_Incidents[Region/District],$B$3))</f>
        <v>4</v>
      </c>
      <c r="D22" s="23">
        <f>IF($B$3="All",COUNTIFS(Lifting_Incidents[Date],"&gt;="&amp;DATE(2026,5,1),Lifting_Incidents[Date],"&lt;"&amp;EDATE(DATE(2026,5,1),1)),COUNTIFS(Lifting_Incidents[Date],"&gt;="&amp;DATE(2026,5,1),Lifting_Incidents[Date],"&lt;"&amp;EDATE(DATE(2026,5,1),1),Lifting_Incidents[Region/District],$B$3))</f>
        <v>45</v>
      </c>
    </row>
    <row r="23" spans="1:4" ht="24.75" customHeight="1">
      <c r="A23" s="26" t="s">
        <v>36</v>
      </c>
      <c r="B23" s="21">
        <f>IF($B$3="All",COUNTIFS(Lifting_Incidents[Date],"&gt;="&amp;DATE(2026,6,1),Lifting_Incidents[Date],"&lt;"&amp;EDATE(DATE(2026,6,1),1),Lifting_Incidents[Crane? (Y/N)],"Yes"),COUNTIFS(Lifting_Incidents[Date],"&gt;="&amp;DATE(2026,6,1),Lifting_Incidents[Date],"&lt;"&amp;EDATE(DATE(2026,6,1),1),Lifting_Incidents[Crane? (Y/N)],"Yes",Lifting_Incidents[Region/District],$B$3))</f>
        <v>26</v>
      </c>
      <c r="C23" s="22">
        <f>IF($B$3="All",COUNTIFS(Lifting_Incidents[Date],"&gt;="&amp;DATE(2026,6,1),Lifting_Incidents[Date],"&lt;"&amp;EDATE(DATE(2026,6,1),1),Lifting_Incidents[Other Lifting Device? (Y/N)],"Yes"),COUNTIFS(Lifting_Incidents[Date],"&gt;="&amp;DATE(2026,6,1),Lifting_Incidents[Date],"&lt;"&amp;EDATE(DATE(2026,6,1),1),Lifting_Incidents[Other Lifting Device? (Y/N)],"Yes",Lifting_Incidents[Region/District],$B$3))</f>
        <v>10</v>
      </c>
      <c r="D23" s="23">
        <f>IF($B$3="All",COUNTIFS(Lifting_Incidents[Date],"&gt;="&amp;DATE(2026,6,1),Lifting_Incidents[Date],"&lt;"&amp;EDATE(DATE(2026,6,1),1)),COUNTIFS(Lifting_Incidents[Date],"&gt;="&amp;DATE(2026,6,1),Lifting_Incidents[Date],"&lt;"&amp;EDATE(DATE(2026,6,1),1),Lifting_Incidents[Region/District],$B$3))</f>
        <v>36</v>
      </c>
    </row>
    <row r="24" spans="1:4" ht="24.75" customHeight="1">
      <c r="A24" s="26" t="s">
        <v>37</v>
      </c>
      <c r="B24" s="21">
        <f>IF($B$3="All",COUNTIFS(Lifting_Incidents[Date],"&gt;="&amp;DATE(2026,7,1),Lifting_Incidents[Date],"&lt;"&amp;EDATE(DATE(2026,7,1),1),Lifting_Incidents[Crane? (Y/N)],"Yes"),COUNTIFS(Lifting_Incidents[Date],"&gt;="&amp;DATE(2026,7,1),Lifting_Incidents[Date],"&lt;"&amp;EDATE(DATE(2026,7,1),1),Lifting_Incidents[Crane? (Y/N)],"Yes",Lifting_Incidents[Region/District],$B$3))</f>
        <v>27</v>
      </c>
      <c r="C24" s="22">
        <f>IF($B$3="All",COUNTIFS(Lifting_Incidents[Date],"&gt;="&amp;DATE(2026,7,1),Lifting_Incidents[Date],"&lt;"&amp;EDATE(DATE(2026,7,1),1),Lifting_Incidents[Other Lifting Device? (Y/N)],"Yes"),COUNTIFS(Lifting_Incidents[Date],"&gt;="&amp;DATE(2026,7,1),Lifting_Incidents[Date],"&lt;"&amp;EDATE(DATE(2026,7,1),1),Lifting_Incidents[Other Lifting Device? (Y/N)],"Yes",Lifting_Incidents[Region/District],$B$3))</f>
        <v>8</v>
      </c>
      <c r="D24" s="23">
        <f>IF($B$3="All",COUNTIFS(Lifting_Incidents[Date],"&gt;="&amp;DATE(2026,7,1),Lifting_Incidents[Date],"&lt;"&amp;EDATE(DATE(2026,7,1),1)),COUNTIFS(Lifting_Incidents[Date],"&gt;="&amp;DATE(2026,7,1),Lifting_Incidents[Date],"&lt;"&amp;EDATE(DATE(2026,7,1),1),Lifting_Incidents[Region/District],$B$3))</f>
        <v>35</v>
      </c>
    </row>
    <row r="25" spans="1:4" ht="24.75" customHeight="1">
      <c r="A25" s="26" t="s">
        <v>13</v>
      </c>
      <c r="B25" s="21">
        <f>IF($B$3="All",COUNTIFS(Lifting_Incidents[Date],"&gt;="&amp;DATE(2026,8,1),Lifting_Incidents[Date],"&lt;"&amp;EDATE(DATE(2026,8,1),1),Lifting_Incidents[Crane? (Y/N)],"Yes"),COUNTIFS(Lifting_Incidents[Date],"&gt;="&amp;DATE(2026,8,1),Lifting_Incidents[Date],"&lt;"&amp;EDATE(DATE(2026,8,1),1),Lifting_Incidents[Crane? (Y/N)],"Yes",Lifting_Incidents[Region/District],$B$3))</f>
        <v>20</v>
      </c>
      <c r="C25" s="22">
        <f>IF($B$3="All",COUNTIFS(Lifting_Incidents[Date],"&gt;="&amp;DATE(2026,8,1),Lifting_Incidents[Date],"&lt;"&amp;EDATE(DATE(2026,8,1),1),Lifting_Incidents[Other Lifting Device? (Y/N)],"Yes"),COUNTIFS(Lifting_Incidents[Date],"&gt;="&amp;DATE(2026,8,1),Lifting_Incidents[Date],"&lt;"&amp;EDATE(DATE(2026,8,1),1),Lifting_Incidents[Other Lifting Device? (Y/N)],"Yes",Lifting_Incidents[Region/District],$B$3))</f>
        <v>12</v>
      </c>
      <c r="D25" s="23">
        <f>IF($B$3="All",COUNTIFS(Lifting_Incidents[Date],"&gt;="&amp;DATE(2026,8,1),Lifting_Incidents[Date],"&lt;"&amp;EDATE(DATE(2026,8,1),1)),COUNTIFS(Lifting_Incidents[Date],"&gt;="&amp;DATE(2026,8,1),Lifting_Incidents[Date],"&lt;"&amp;EDATE(DATE(2026,8,1),1),Lifting_Incidents[Region/District],$B$3))</f>
        <v>32</v>
      </c>
    </row>
    <row r="26" spans="1:4" ht="24.75" customHeight="1">
      <c r="A26" s="26" t="s">
        <v>1493</v>
      </c>
      <c r="B26" s="27">
        <f>IF($B$3="All",COUNTIFS(Lifting_Incidents[Date],"&gt;="&amp;DATE(2026,9,1),Lifting_Incidents[Date],"&lt;"&amp;EDATE(DATE(2026,9,1),1),Lifting_Incidents[Crane? (Y/N)],"Yes"),COUNTIFS(Lifting_Incidents[Date],"&gt;="&amp;DATE(2026,9,1),Lifting_Incidents[Date],"&lt;"&amp;EDATE(DATE(2026,9,1),1),Lifting_Incidents[Crane? (Y/N)],"Yes",Lifting_Incidents[Region/District],$B$3))</f>
        <v>25</v>
      </c>
      <c r="C26" s="22">
        <f>IF($B$3="All",COUNTIFS(Lifting_Incidents[Date],"&gt;="&amp;DATE(2026,9,1),Lifting_Incidents[Date],"&lt;"&amp;EDATE(DATE(2026,9,1),1),Lifting_Incidents[Other Lifting Device? (Y/N)],"Yes"),COUNTIFS(Lifting_Incidents[Date],"&gt;="&amp;DATE(2026,9,1),Lifting_Incidents[Date],"&lt;"&amp;EDATE(DATE(2026,9,1),1),Lifting_Incidents[Other Lifting Device? (Y/N)],"Yes",Lifting_Incidents[Region/District],$B$3))</f>
        <v>4</v>
      </c>
      <c r="D26" s="28">
        <f>IF($B$3="All",COUNTIFS(Lifting_Incidents[Date],"&gt;="&amp;DATE(2026,9,1),Lifting_Incidents[Date],"&lt;"&amp;EDATE(DATE(2026,9,1),1)),COUNTIFS(Lifting_Incidents[Date],"&gt;="&amp;DATE(2026,9,1),Lifting_Incidents[Date],"&lt;"&amp;EDATE(DATE(2026,9,1),1),Lifting_Incidents[Region/District],$B$3))</f>
        <v>29</v>
      </c>
    </row>
    <row r="27" spans="1:4" ht="24.75" customHeight="1">
      <c r="A27" s="160" t="s">
        <v>1636</v>
      </c>
      <c r="B27" s="161">
        <f>SUM(B6:B17)</f>
        <v>308</v>
      </c>
      <c r="C27" s="162">
        <f>SUM(C6:C17)</f>
        <v>87</v>
      </c>
      <c r="D27" s="161">
        <f>SUM(D6:D17)</f>
        <v>395</v>
      </c>
    </row>
    <row r="28" spans="1:4" ht="22.5" customHeight="1">
      <c r="A28" s="163" t="s">
        <v>1637</v>
      </c>
      <c r="B28" s="164">
        <f>SUM(B18:B26)</f>
        <v>230</v>
      </c>
      <c r="C28" s="164">
        <f>SUM(C18:C26)</f>
        <v>74</v>
      </c>
      <c r="D28" s="165">
        <f>SUM(D18:D26)</f>
        <v>304</v>
      </c>
    </row>
    <row r="29" spans="1:4" ht="22.5" customHeight="1">
      <c r="A29" s="157" t="s">
        <v>1638</v>
      </c>
      <c r="B29" s="158">
        <f>SUM(B27:B28)</f>
        <v>538</v>
      </c>
      <c r="C29" s="158">
        <f>SUM(C27:C28)</f>
        <v>161</v>
      </c>
      <c r="D29" s="159">
        <f>SUM(D27:D28)</f>
        <v>699</v>
      </c>
    </row>
    <row r="30" spans="1:4" ht="22.5" customHeight="1">
      <c r="A30" s="31"/>
      <c r="B30" s="29"/>
      <c r="C30" s="30"/>
      <c r="D30" s="32"/>
    </row>
    <row r="31" spans="1:4" ht="22.5" customHeight="1">
      <c r="A31" s="31"/>
      <c r="B31" s="29"/>
      <c r="C31" s="30"/>
      <c r="D31" s="32"/>
    </row>
    <row r="32" spans="1:4" ht="21" customHeight="1">
      <c r="B32" s="33"/>
      <c r="C32" s="34"/>
      <c r="D32" s="35"/>
    </row>
    <row r="33" spans="1:26" ht="18" customHeight="1">
      <c r="A33" s="36" t="s">
        <v>38</v>
      </c>
      <c r="F33" s="36" t="s">
        <v>39</v>
      </c>
      <c r="J33" s="36"/>
      <c r="Q33" s="171" t="s">
        <v>40</v>
      </c>
      <c r="T33" s="171"/>
      <c r="X33" s="171" t="s">
        <v>41</v>
      </c>
      <c r="Z33" s="36"/>
    </row>
    <row r="34" spans="1:26" ht="18" customHeight="1">
      <c r="Z34" s="37"/>
    </row>
    <row r="35" spans="1:26" ht="18" customHeight="1"/>
    <row r="36" spans="1:26" ht="18" customHeight="1"/>
    <row r="37" spans="1:26" ht="22.5" customHeight="1"/>
    <row r="38" spans="1:26" ht="18" customHeight="1"/>
    <row r="39" spans="1:26" ht="18" customHeight="1"/>
    <row r="40" spans="1:26" ht="18" customHeight="1"/>
    <row r="41" spans="1:26" ht="18" customHeight="1"/>
    <row r="42" spans="1:26" ht="18" customHeight="1"/>
    <row r="43" spans="1:26" ht="18" customHeight="1"/>
    <row r="44" spans="1:26" ht="18" customHeight="1"/>
    <row r="45" spans="1:26" ht="18" customHeight="1"/>
    <row r="46" spans="1:26" ht="18" customHeight="1"/>
    <row r="47" spans="1:26" ht="18" customHeight="1"/>
    <row r="48" spans="1:26"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29.25" customHeight="1"/>
    <row r="81" spans="1:13" ht="12" customHeight="1"/>
    <row r="82" spans="1:13" ht="12" customHeight="1"/>
    <row r="83" spans="1:13" ht="12.75" customHeight="1">
      <c r="A83" s="38" t="s">
        <v>42</v>
      </c>
      <c r="B83" s="24"/>
      <c r="C83" s="24"/>
      <c r="D83" s="24"/>
      <c r="E83" s="24"/>
      <c r="F83" s="24"/>
      <c r="G83" s="24"/>
      <c r="H83" s="24"/>
      <c r="I83" s="24"/>
      <c r="J83" s="24"/>
      <c r="K83" s="24"/>
      <c r="L83" s="24"/>
      <c r="M83" s="24"/>
    </row>
    <row r="84" spans="1:13" ht="12" customHeight="1">
      <c r="A84" s="24"/>
      <c r="B84" s="39" t="s">
        <v>43</v>
      </c>
      <c r="C84" s="24"/>
      <c r="D84" s="24"/>
      <c r="E84" s="24"/>
      <c r="F84" s="24"/>
      <c r="G84" s="24"/>
      <c r="H84" s="24"/>
      <c r="I84" s="24"/>
      <c r="J84" s="24"/>
      <c r="K84" s="24"/>
      <c r="L84" s="24"/>
      <c r="M84" s="24"/>
    </row>
    <row r="85" spans="1:13" ht="12" customHeight="1">
      <c r="A85" s="24"/>
      <c r="B85" s="39" t="s">
        <v>44</v>
      </c>
      <c r="C85" s="24"/>
      <c r="D85" s="24"/>
      <c r="E85" s="24"/>
      <c r="F85" s="24"/>
      <c r="G85" s="24"/>
      <c r="H85" s="24"/>
      <c r="I85" s="24"/>
      <c r="J85" s="24"/>
      <c r="K85" s="24"/>
      <c r="L85" s="24"/>
      <c r="M85" s="24"/>
    </row>
    <row r="86" spans="1:13" ht="12" customHeight="1">
      <c r="A86" s="24"/>
      <c r="B86" s="39" t="s">
        <v>45</v>
      </c>
      <c r="C86" s="24"/>
      <c r="D86" s="24"/>
      <c r="E86" s="24"/>
      <c r="F86" s="24"/>
      <c r="G86" s="24"/>
      <c r="H86" s="24"/>
      <c r="I86" s="24"/>
      <c r="J86" s="24"/>
      <c r="K86" s="24"/>
      <c r="L86" s="24"/>
      <c r="M86" s="24"/>
    </row>
    <row r="87" spans="1:13" ht="12.75" customHeight="1">
      <c r="B87" s="39" t="s">
        <v>46</v>
      </c>
      <c r="C87" s="24"/>
      <c r="D87" s="24"/>
      <c r="E87" s="24"/>
      <c r="F87" s="24"/>
      <c r="G87" s="24"/>
      <c r="H87" s="24"/>
      <c r="I87" s="24"/>
      <c r="J87" s="24"/>
      <c r="K87" s="24"/>
      <c r="L87" s="24"/>
      <c r="M87" s="24"/>
    </row>
    <row r="88" spans="1:13" ht="12" customHeight="1">
      <c r="A88" s="24"/>
      <c r="B88" s="39" t="s">
        <v>47</v>
      </c>
      <c r="C88" s="24"/>
      <c r="D88" s="24"/>
      <c r="E88" s="24"/>
      <c r="F88" s="24"/>
      <c r="G88" s="24"/>
      <c r="H88" s="24"/>
      <c r="I88" s="24"/>
      <c r="J88" s="24"/>
      <c r="K88" s="24"/>
      <c r="L88" s="24"/>
      <c r="M88" s="24"/>
    </row>
    <row r="89" spans="1:13" ht="12" customHeight="1">
      <c r="A89" s="24"/>
      <c r="B89" s="39" t="s">
        <v>48</v>
      </c>
      <c r="C89" s="24"/>
      <c r="D89" s="24"/>
      <c r="E89" s="24"/>
      <c r="F89" s="24"/>
      <c r="G89" s="24"/>
      <c r="H89" s="24"/>
      <c r="I89" s="24"/>
      <c r="J89" s="24"/>
      <c r="K89" s="24"/>
      <c r="L89" s="24"/>
      <c r="M89" s="24"/>
    </row>
    <row r="90" spans="1:13" ht="12" customHeight="1">
      <c r="A90" s="24"/>
      <c r="B90" s="39" t="s">
        <v>49</v>
      </c>
      <c r="C90" s="24"/>
      <c r="D90" s="24"/>
      <c r="E90" s="24"/>
      <c r="F90" s="24"/>
      <c r="G90" s="24"/>
      <c r="H90" s="24"/>
      <c r="I90" s="24"/>
      <c r="J90" s="24"/>
      <c r="K90" s="24"/>
      <c r="L90" s="24"/>
      <c r="M90" s="24"/>
    </row>
    <row r="91" spans="1:13" ht="12" customHeight="1">
      <c r="A91" s="24"/>
      <c r="B91" s="39" t="s">
        <v>50</v>
      </c>
      <c r="C91" s="24"/>
      <c r="D91" s="24"/>
      <c r="E91" s="24"/>
      <c r="F91" s="24"/>
      <c r="G91" s="24"/>
      <c r="H91" s="24"/>
      <c r="I91" s="24"/>
      <c r="J91" s="24"/>
      <c r="K91" s="24"/>
      <c r="L91" s="24"/>
      <c r="M91" s="24"/>
    </row>
    <row r="92" spans="1:13" ht="12" customHeight="1">
      <c r="A92" s="40"/>
      <c r="B92" s="39" t="s">
        <v>51</v>
      </c>
      <c r="C92" s="24"/>
      <c r="D92" s="24"/>
      <c r="E92" s="24"/>
      <c r="F92" s="24"/>
      <c r="G92" s="24"/>
      <c r="H92" s="24"/>
      <c r="I92" s="24"/>
      <c r="J92" s="24"/>
      <c r="K92" s="24"/>
      <c r="L92" s="24"/>
      <c r="M92" s="24"/>
    </row>
    <row r="93" spans="1:13" ht="12" customHeight="1">
      <c r="A93" s="40"/>
      <c r="B93" s="39" t="s">
        <v>52</v>
      </c>
      <c r="C93" s="24"/>
      <c r="D93" s="24"/>
      <c r="E93" s="24"/>
      <c r="F93" s="24"/>
      <c r="G93" s="24"/>
      <c r="H93" s="24"/>
      <c r="I93" s="24"/>
      <c r="J93" s="24"/>
      <c r="K93" s="24"/>
      <c r="L93" s="24"/>
      <c r="M93" s="24"/>
    </row>
    <row r="94" spans="1:13" ht="12" customHeight="1">
      <c r="A94" s="40"/>
      <c r="B94" s="39" t="s">
        <v>53</v>
      </c>
      <c r="C94" s="24"/>
      <c r="D94" s="24"/>
      <c r="E94" s="24"/>
      <c r="F94" s="24"/>
      <c r="G94" s="24"/>
      <c r="H94" s="24"/>
      <c r="I94" s="24"/>
      <c r="J94" s="24"/>
      <c r="K94" s="24"/>
      <c r="L94" s="24"/>
      <c r="M94" s="24"/>
    </row>
    <row r="95" spans="1:13" ht="12.75" customHeight="1">
      <c r="A95" s="38" t="s">
        <v>54</v>
      </c>
      <c r="C95" s="24"/>
      <c r="D95" s="24"/>
      <c r="E95" s="24"/>
      <c r="F95" s="24"/>
      <c r="G95" s="24"/>
      <c r="H95" s="24"/>
      <c r="I95" s="24"/>
      <c r="J95" s="24"/>
      <c r="K95" s="24"/>
      <c r="L95" s="24"/>
      <c r="M95" s="24"/>
    </row>
    <row r="96" spans="1:13" ht="12" customHeight="1">
      <c r="A96" s="24"/>
      <c r="B96" s="39" t="s">
        <v>55</v>
      </c>
      <c r="C96" s="24"/>
      <c r="D96" s="24"/>
      <c r="E96" s="24"/>
      <c r="F96" s="24"/>
      <c r="G96" s="24"/>
      <c r="H96" s="24"/>
      <c r="I96" s="24"/>
      <c r="J96" s="24"/>
      <c r="K96" s="24"/>
      <c r="L96" s="24"/>
      <c r="M96" s="24"/>
    </row>
    <row r="97" spans="1:13" ht="12" customHeight="1">
      <c r="A97" s="24"/>
      <c r="B97" s="39" t="s">
        <v>56</v>
      </c>
      <c r="C97" s="24"/>
      <c r="D97" s="24"/>
      <c r="E97" s="24"/>
      <c r="F97" s="24"/>
      <c r="G97" s="24"/>
      <c r="H97" s="24"/>
      <c r="I97" s="24"/>
      <c r="J97" s="24"/>
      <c r="K97" s="24"/>
      <c r="L97" s="24"/>
      <c r="M97" s="24"/>
    </row>
    <row r="98" spans="1:13" ht="12" customHeight="1">
      <c r="A98" s="24"/>
      <c r="B98" s="39" t="s">
        <v>57</v>
      </c>
      <c r="C98" s="24"/>
      <c r="D98" s="24"/>
      <c r="E98" s="24"/>
      <c r="F98" s="24"/>
      <c r="G98" s="24"/>
      <c r="H98" s="24"/>
      <c r="I98" s="24"/>
      <c r="J98" s="24"/>
      <c r="K98" s="24"/>
      <c r="L98" s="24"/>
      <c r="M98" s="24"/>
    </row>
    <row r="99" spans="1:13" ht="12.75" customHeight="1">
      <c r="A99" s="24"/>
      <c r="B99" s="39" t="s">
        <v>58</v>
      </c>
      <c r="C99" s="24"/>
      <c r="D99" s="24"/>
      <c r="E99" s="24"/>
      <c r="F99" s="24"/>
      <c r="G99" s="24"/>
      <c r="H99" s="24"/>
      <c r="I99" s="24"/>
      <c r="J99" s="24"/>
      <c r="K99" s="24"/>
      <c r="L99" s="24"/>
      <c r="M99" s="24"/>
    </row>
    <row r="100" spans="1:13" ht="12" customHeight="1">
      <c r="A100" s="24"/>
      <c r="B100" s="39" t="s">
        <v>59</v>
      </c>
      <c r="C100" s="24"/>
      <c r="D100" s="24"/>
      <c r="E100" s="24"/>
      <c r="F100" s="24"/>
      <c r="G100" s="24"/>
      <c r="H100" s="24"/>
      <c r="I100" s="24"/>
      <c r="J100" s="24"/>
      <c r="K100" s="24"/>
      <c r="L100" s="24"/>
      <c r="M100" s="24"/>
    </row>
    <row r="101" spans="1:13" ht="12" customHeight="1">
      <c r="A101" s="24"/>
      <c r="B101" s="39" t="s">
        <v>60</v>
      </c>
      <c r="C101" s="24"/>
      <c r="D101" s="24"/>
      <c r="E101" s="24"/>
      <c r="F101" s="24"/>
      <c r="G101" s="24"/>
      <c r="H101" s="24"/>
      <c r="I101" s="24"/>
      <c r="J101" s="24"/>
      <c r="K101" s="24"/>
      <c r="L101" s="24"/>
      <c r="M101" s="24"/>
    </row>
    <row r="102" spans="1:13" ht="12" customHeight="1">
      <c r="A102" s="24"/>
      <c r="B102" s="39" t="s">
        <v>61</v>
      </c>
      <c r="C102" s="24"/>
      <c r="D102" s="24"/>
      <c r="E102" s="24"/>
      <c r="F102" s="24"/>
      <c r="G102" s="24"/>
      <c r="H102" s="24"/>
      <c r="I102" s="24"/>
      <c r="J102" s="24"/>
      <c r="K102" s="24"/>
      <c r="L102" s="24"/>
      <c r="M102" s="24"/>
    </row>
    <row r="103" spans="1:13" ht="12" customHeight="1">
      <c r="A103" s="24"/>
      <c r="B103" s="39" t="s">
        <v>62</v>
      </c>
      <c r="C103" s="24"/>
      <c r="D103" s="24"/>
      <c r="E103" s="24"/>
      <c r="F103" s="24"/>
      <c r="G103" s="24"/>
      <c r="H103" s="24"/>
      <c r="I103" s="24"/>
      <c r="J103" s="24"/>
      <c r="K103" s="24"/>
      <c r="L103" s="24"/>
      <c r="M103" s="24"/>
    </row>
    <row r="107" spans="1:13" ht="15.75" customHeight="1"/>
  </sheetData>
  <mergeCells count="1">
    <mergeCell ref="A4:D4"/>
  </mergeCells>
  <phoneticPr fontId="41" type="noConversion"/>
  <pageMargins left="0.25" right="0.25" top="0.75" bottom="0.75" header="0.511811023622047" footer="0.511811023622047"/>
  <pageSetup scale="38" orientation="landscape" horizontalDpi="300" verticalDpi="300"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B9BD5"/>
  </sheetPr>
  <dimension ref="A1:T700"/>
  <sheetViews>
    <sheetView zoomScale="76" zoomScaleNormal="76" workbookViewId="0">
      <selection activeCell="H700" sqref="H700"/>
    </sheetView>
  </sheetViews>
  <sheetFormatPr defaultColWidth="9.109375" defaultRowHeight="13.2"/>
  <cols>
    <col min="1" max="1" width="16.44140625" style="41" customWidth="1"/>
    <col min="2" max="2" width="13.88671875" style="41" customWidth="1"/>
    <col min="3" max="3" width="15.44140625" style="41" customWidth="1"/>
    <col min="4" max="4" width="24.5546875" style="41" customWidth="1"/>
    <col min="5" max="5" width="83.6640625" style="42" customWidth="1"/>
    <col min="6" max="6" width="25.6640625" style="42" customWidth="1"/>
    <col min="7" max="7" width="18.88671875" style="42" customWidth="1"/>
    <col min="8" max="8" width="17.5546875" style="42" customWidth="1"/>
    <col min="9" max="9" width="16.5546875" style="42" customWidth="1"/>
    <col min="10" max="10" width="11.44140625" style="42" customWidth="1"/>
    <col min="11" max="11" width="12.109375" style="43" customWidth="1"/>
    <col min="12" max="12" width="13.109375" style="43" customWidth="1"/>
    <col min="13" max="13" width="13.44140625" style="43" customWidth="1"/>
    <col min="14" max="14" width="10.109375" style="41" customWidth="1"/>
    <col min="15" max="15" width="10.88671875" style="44" customWidth="1"/>
    <col min="16" max="16" width="16.44140625" style="41" customWidth="1"/>
    <col min="17" max="17" width="12.109375" style="44" customWidth="1"/>
    <col min="18" max="16384" width="9.109375" style="41"/>
  </cols>
  <sheetData>
    <row r="1" spans="1:17" s="48" customFormat="1" ht="21.75" customHeight="1" thickBot="1">
      <c r="A1" s="45" t="s">
        <v>63</v>
      </c>
      <c r="B1" s="45" t="s">
        <v>64</v>
      </c>
      <c r="C1" s="45" t="s">
        <v>65</v>
      </c>
      <c r="D1" s="45" t="s">
        <v>66</v>
      </c>
      <c r="E1" s="45" t="s">
        <v>1597</v>
      </c>
      <c r="F1" s="45" t="s">
        <v>67</v>
      </c>
      <c r="G1" s="45" t="s">
        <v>68</v>
      </c>
      <c r="H1" s="45" t="s">
        <v>69</v>
      </c>
      <c r="I1" s="45" t="s">
        <v>70</v>
      </c>
      <c r="J1" s="45" t="s">
        <v>71</v>
      </c>
      <c r="K1" s="45" t="s">
        <v>72</v>
      </c>
      <c r="L1" s="45" t="s">
        <v>73</v>
      </c>
      <c r="M1" s="46" t="s">
        <v>74</v>
      </c>
      <c r="N1" s="46" t="s">
        <v>75</v>
      </c>
      <c r="O1" s="47" t="s">
        <v>76</v>
      </c>
      <c r="P1" s="112" t="s">
        <v>77</v>
      </c>
      <c r="Q1" s="112" t="s">
        <v>1517</v>
      </c>
    </row>
    <row r="2" spans="1:17" ht="41.25" customHeight="1">
      <c r="A2" s="49" t="s">
        <v>20</v>
      </c>
      <c r="B2" s="49">
        <v>45659</v>
      </c>
      <c r="C2" s="49" t="s">
        <v>78</v>
      </c>
      <c r="D2" s="50" t="s">
        <v>79</v>
      </c>
      <c r="E2" s="51" t="s">
        <v>80</v>
      </c>
      <c r="F2" s="52" t="s">
        <v>81</v>
      </c>
      <c r="G2" s="52" t="s">
        <v>82</v>
      </c>
      <c r="H2" s="52" t="s">
        <v>83</v>
      </c>
      <c r="I2" s="52" t="s">
        <v>84</v>
      </c>
      <c r="J2" s="52" t="s">
        <v>84</v>
      </c>
      <c r="K2" s="52" t="s">
        <v>85</v>
      </c>
      <c r="L2" s="52" t="s">
        <v>86</v>
      </c>
      <c r="M2" s="52" t="s">
        <v>85</v>
      </c>
      <c r="N2" s="52" t="s">
        <v>85</v>
      </c>
      <c r="O2" s="52" t="s">
        <v>87</v>
      </c>
      <c r="P2" s="113" t="s">
        <v>86</v>
      </c>
      <c r="Q2" s="44" t="s">
        <v>85</v>
      </c>
    </row>
    <row r="3" spans="1:17" ht="24.75" customHeight="1">
      <c r="A3" s="49" t="s">
        <v>20</v>
      </c>
      <c r="B3" s="49">
        <v>45661</v>
      </c>
      <c r="C3" s="49" t="s">
        <v>88</v>
      </c>
      <c r="D3" s="50" t="s">
        <v>89</v>
      </c>
      <c r="E3" s="51" t="s">
        <v>90</v>
      </c>
      <c r="F3" s="52" t="s">
        <v>91</v>
      </c>
      <c r="G3" s="52" t="s">
        <v>92</v>
      </c>
      <c r="H3" s="52" t="s">
        <v>93</v>
      </c>
      <c r="I3" s="52" t="s">
        <v>84</v>
      </c>
      <c r="J3" s="52" t="s">
        <v>85</v>
      </c>
      <c r="K3" s="52" t="s">
        <v>84</v>
      </c>
      <c r="L3" s="52" t="s">
        <v>94</v>
      </c>
      <c r="M3" s="52" t="s">
        <v>85</v>
      </c>
      <c r="N3" s="52" t="s">
        <v>85</v>
      </c>
      <c r="O3" s="52" t="s">
        <v>87</v>
      </c>
      <c r="P3" s="113" t="s">
        <v>86</v>
      </c>
      <c r="Q3" s="44" t="s">
        <v>85</v>
      </c>
    </row>
    <row r="4" spans="1:17" ht="24.75" customHeight="1">
      <c r="A4" s="49" t="s">
        <v>20</v>
      </c>
      <c r="B4" s="49">
        <v>45661</v>
      </c>
      <c r="C4" s="49" t="s">
        <v>78</v>
      </c>
      <c r="D4" s="50" t="s">
        <v>79</v>
      </c>
      <c r="E4" s="51" t="s">
        <v>95</v>
      </c>
      <c r="F4" s="52" t="s">
        <v>96</v>
      </c>
      <c r="G4" s="52" t="s">
        <v>97</v>
      </c>
      <c r="H4" s="52" t="s">
        <v>93</v>
      </c>
      <c r="I4" s="52" t="s">
        <v>85</v>
      </c>
      <c r="J4" s="52" t="s">
        <v>84</v>
      </c>
      <c r="K4" s="52" t="s">
        <v>85</v>
      </c>
      <c r="L4" s="52" t="s">
        <v>86</v>
      </c>
      <c r="M4" s="52" t="s">
        <v>85</v>
      </c>
      <c r="N4" s="52" t="s">
        <v>85</v>
      </c>
      <c r="O4" s="52" t="s">
        <v>87</v>
      </c>
      <c r="P4" s="113" t="s">
        <v>86</v>
      </c>
      <c r="Q4" s="113" t="s">
        <v>85</v>
      </c>
    </row>
    <row r="5" spans="1:17" ht="24.75" customHeight="1">
      <c r="A5" s="49" t="s">
        <v>20</v>
      </c>
      <c r="B5" s="49">
        <v>45663</v>
      </c>
      <c r="C5" s="49" t="s">
        <v>78</v>
      </c>
      <c r="D5" s="50" t="s">
        <v>98</v>
      </c>
      <c r="E5" s="51" t="s">
        <v>99</v>
      </c>
      <c r="F5" s="52" t="s">
        <v>100</v>
      </c>
      <c r="G5" s="52" t="s">
        <v>101</v>
      </c>
      <c r="H5" s="52" t="s">
        <v>102</v>
      </c>
      <c r="I5" s="52" t="s">
        <v>85</v>
      </c>
      <c r="J5" s="52" t="s">
        <v>84</v>
      </c>
      <c r="K5" s="52" t="s">
        <v>85</v>
      </c>
      <c r="L5" s="52" t="s">
        <v>86</v>
      </c>
      <c r="M5" s="52" t="s">
        <v>85</v>
      </c>
      <c r="N5" s="52" t="s">
        <v>85</v>
      </c>
      <c r="O5" s="44" t="s">
        <v>87</v>
      </c>
      <c r="P5" s="113" t="s">
        <v>86</v>
      </c>
      <c r="Q5" s="113" t="s">
        <v>85</v>
      </c>
    </row>
    <row r="6" spans="1:17" ht="37.5" customHeight="1">
      <c r="A6" s="49" t="s">
        <v>20</v>
      </c>
      <c r="B6" s="49">
        <v>45668</v>
      </c>
      <c r="C6" s="49" t="s">
        <v>78</v>
      </c>
      <c r="D6" s="50" t="s">
        <v>79</v>
      </c>
      <c r="E6" s="51" t="s">
        <v>103</v>
      </c>
      <c r="F6" s="52" t="s">
        <v>91</v>
      </c>
      <c r="G6" s="52" t="s">
        <v>104</v>
      </c>
      <c r="H6" s="52" t="s">
        <v>102</v>
      </c>
      <c r="I6" s="52" t="s">
        <v>84</v>
      </c>
      <c r="J6" s="52" t="s">
        <v>84</v>
      </c>
      <c r="K6" s="52" t="s">
        <v>85</v>
      </c>
      <c r="L6" s="52" t="s">
        <v>86</v>
      </c>
      <c r="M6" s="52" t="s">
        <v>85</v>
      </c>
      <c r="N6" s="52" t="s">
        <v>85</v>
      </c>
      <c r="O6" s="44" t="s">
        <v>87</v>
      </c>
      <c r="P6" s="44" t="s">
        <v>1497</v>
      </c>
      <c r="Q6" s="113" t="s">
        <v>85</v>
      </c>
    </row>
    <row r="7" spans="1:17" ht="49.5" customHeight="1">
      <c r="A7" s="49" t="s">
        <v>20</v>
      </c>
      <c r="B7" s="49">
        <v>45673</v>
      </c>
      <c r="C7" s="49" t="s">
        <v>106</v>
      </c>
      <c r="D7" s="50" t="s">
        <v>79</v>
      </c>
      <c r="E7" s="51" t="s">
        <v>107</v>
      </c>
      <c r="F7" s="52" t="s">
        <v>81</v>
      </c>
      <c r="G7" s="52" t="s">
        <v>104</v>
      </c>
      <c r="H7" s="52" t="s">
        <v>102</v>
      </c>
      <c r="I7" s="52" t="s">
        <v>85</v>
      </c>
      <c r="J7" s="52" t="s">
        <v>84</v>
      </c>
      <c r="K7" s="52" t="s">
        <v>85</v>
      </c>
      <c r="L7" s="52" t="s">
        <v>86</v>
      </c>
      <c r="M7" s="52" t="s">
        <v>85</v>
      </c>
      <c r="N7" s="52" t="s">
        <v>85</v>
      </c>
      <c r="O7" s="44" t="s">
        <v>87</v>
      </c>
      <c r="P7" s="113" t="s">
        <v>86</v>
      </c>
      <c r="Q7" s="113" t="s">
        <v>85</v>
      </c>
    </row>
    <row r="8" spans="1:17" ht="37.5" customHeight="1">
      <c r="A8" s="49" t="s">
        <v>20</v>
      </c>
      <c r="B8" s="49">
        <v>45673</v>
      </c>
      <c r="C8" s="49" t="s">
        <v>78</v>
      </c>
      <c r="D8" s="50" t="s">
        <v>98</v>
      </c>
      <c r="E8" s="51" t="s">
        <v>108</v>
      </c>
      <c r="F8" s="52" t="s">
        <v>109</v>
      </c>
      <c r="G8" s="52" t="s">
        <v>110</v>
      </c>
      <c r="H8" s="52" t="s">
        <v>93</v>
      </c>
      <c r="I8" s="52" t="s">
        <v>84</v>
      </c>
      <c r="J8" s="52" t="s">
        <v>85</v>
      </c>
      <c r="K8" s="52" t="s">
        <v>84</v>
      </c>
      <c r="L8" s="52" t="s">
        <v>111</v>
      </c>
      <c r="M8" s="52" t="s">
        <v>85</v>
      </c>
      <c r="N8" s="52" t="s">
        <v>85</v>
      </c>
      <c r="O8" s="44" t="s">
        <v>87</v>
      </c>
      <c r="P8" s="113" t="s">
        <v>86</v>
      </c>
      <c r="Q8" s="113" t="s">
        <v>85</v>
      </c>
    </row>
    <row r="9" spans="1:17" ht="24.75" customHeight="1">
      <c r="A9" s="49" t="s">
        <v>20</v>
      </c>
      <c r="B9" s="49">
        <v>45673</v>
      </c>
      <c r="C9" s="49" t="s">
        <v>78</v>
      </c>
      <c r="D9" s="50" t="s">
        <v>98</v>
      </c>
      <c r="E9" s="51" t="s">
        <v>112</v>
      </c>
      <c r="F9" s="52" t="s">
        <v>109</v>
      </c>
      <c r="G9" s="52" t="s">
        <v>113</v>
      </c>
      <c r="H9" s="52" t="s">
        <v>114</v>
      </c>
      <c r="I9" s="52" t="s">
        <v>85</v>
      </c>
      <c r="J9" s="52" t="s">
        <v>84</v>
      </c>
      <c r="K9" s="52" t="s">
        <v>85</v>
      </c>
      <c r="L9" s="52" t="s">
        <v>86</v>
      </c>
      <c r="M9" s="52" t="s">
        <v>85</v>
      </c>
      <c r="N9" s="52" t="s">
        <v>85</v>
      </c>
      <c r="O9" s="44" t="s">
        <v>87</v>
      </c>
      <c r="P9" s="113" t="s">
        <v>86</v>
      </c>
      <c r="Q9" s="113" t="s">
        <v>85</v>
      </c>
    </row>
    <row r="10" spans="1:17" ht="37.5" customHeight="1">
      <c r="A10" s="49" t="s">
        <v>20</v>
      </c>
      <c r="B10" s="49">
        <v>45673</v>
      </c>
      <c r="C10" s="49" t="s">
        <v>78</v>
      </c>
      <c r="D10" s="50" t="s">
        <v>98</v>
      </c>
      <c r="E10" s="51" t="s">
        <v>115</v>
      </c>
      <c r="F10" s="52" t="s">
        <v>91</v>
      </c>
      <c r="G10" s="52" t="s">
        <v>116</v>
      </c>
      <c r="H10" s="52" t="s">
        <v>117</v>
      </c>
      <c r="I10" s="52" t="s">
        <v>84</v>
      </c>
      <c r="J10" s="52" t="s">
        <v>84</v>
      </c>
      <c r="K10" s="52" t="s">
        <v>85</v>
      </c>
      <c r="L10" s="52" t="s">
        <v>86</v>
      </c>
      <c r="M10" s="52" t="s">
        <v>85</v>
      </c>
      <c r="N10" s="52" t="s">
        <v>85</v>
      </c>
      <c r="O10" s="52" t="s">
        <v>118</v>
      </c>
      <c r="P10" s="113" t="s">
        <v>86</v>
      </c>
      <c r="Q10" s="113" t="s">
        <v>85</v>
      </c>
    </row>
    <row r="11" spans="1:17" ht="37.5" customHeight="1">
      <c r="A11" s="49" t="s">
        <v>20</v>
      </c>
      <c r="B11" s="49">
        <v>45674</v>
      </c>
      <c r="C11" s="49" t="s">
        <v>106</v>
      </c>
      <c r="D11" s="50" t="s">
        <v>98</v>
      </c>
      <c r="E11" s="51" t="s">
        <v>119</v>
      </c>
      <c r="F11" s="52" t="s">
        <v>100</v>
      </c>
      <c r="G11" s="52" t="s">
        <v>120</v>
      </c>
      <c r="H11" s="52" t="s">
        <v>93</v>
      </c>
      <c r="I11" s="52" t="s">
        <v>84</v>
      </c>
      <c r="J11" s="52" t="s">
        <v>84</v>
      </c>
      <c r="K11" s="52" t="s">
        <v>85</v>
      </c>
      <c r="L11" s="52" t="s">
        <v>86</v>
      </c>
      <c r="M11" s="52" t="s">
        <v>85</v>
      </c>
      <c r="N11" s="52" t="s">
        <v>85</v>
      </c>
      <c r="O11" s="44" t="s">
        <v>87</v>
      </c>
      <c r="P11" s="113" t="s">
        <v>86</v>
      </c>
      <c r="Q11" s="113" t="s">
        <v>85</v>
      </c>
    </row>
    <row r="12" spans="1:17" ht="24.75" customHeight="1">
      <c r="A12" s="49" t="s">
        <v>20</v>
      </c>
      <c r="B12" s="49">
        <v>45674</v>
      </c>
      <c r="C12" s="49" t="s">
        <v>106</v>
      </c>
      <c r="D12" s="50" t="s">
        <v>98</v>
      </c>
      <c r="E12" s="51" t="s">
        <v>121</v>
      </c>
      <c r="F12" s="52" t="s">
        <v>81</v>
      </c>
      <c r="G12" s="52" t="s">
        <v>122</v>
      </c>
      <c r="H12" s="52" t="s">
        <v>102</v>
      </c>
      <c r="I12" s="52" t="s">
        <v>85</v>
      </c>
      <c r="J12" s="52" t="s">
        <v>84</v>
      </c>
      <c r="K12" s="52" t="s">
        <v>85</v>
      </c>
      <c r="L12" s="52" t="s">
        <v>86</v>
      </c>
      <c r="M12" s="52" t="s">
        <v>85</v>
      </c>
      <c r="N12" s="52" t="s">
        <v>85</v>
      </c>
      <c r="O12" s="44" t="s">
        <v>87</v>
      </c>
      <c r="P12" s="113" t="s">
        <v>86</v>
      </c>
      <c r="Q12" s="113" t="s">
        <v>85</v>
      </c>
    </row>
    <row r="13" spans="1:17" ht="37.5" customHeight="1">
      <c r="A13" s="49" t="s">
        <v>20</v>
      </c>
      <c r="B13" s="49">
        <v>45675</v>
      </c>
      <c r="C13" s="49" t="s">
        <v>123</v>
      </c>
      <c r="D13" s="50" t="s">
        <v>98</v>
      </c>
      <c r="E13" s="51" t="s">
        <v>124</v>
      </c>
      <c r="F13" s="52" t="s">
        <v>81</v>
      </c>
      <c r="G13" s="52" t="s">
        <v>125</v>
      </c>
      <c r="H13" s="52" t="s">
        <v>126</v>
      </c>
      <c r="I13" s="52" t="s">
        <v>85</v>
      </c>
      <c r="J13" s="52" t="s">
        <v>84</v>
      </c>
      <c r="K13" s="52" t="s">
        <v>85</v>
      </c>
      <c r="L13" s="52" t="s">
        <v>86</v>
      </c>
      <c r="M13" s="52" t="s">
        <v>85</v>
      </c>
      <c r="N13" s="52" t="s">
        <v>85</v>
      </c>
      <c r="O13" s="44" t="s">
        <v>87</v>
      </c>
      <c r="P13" s="113" t="s">
        <v>86</v>
      </c>
      <c r="Q13" s="113" t="s">
        <v>85</v>
      </c>
    </row>
    <row r="14" spans="1:17" ht="62.25" customHeight="1">
      <c r="A14" s="49" t="s">
        <v>20</v>
      </c>
      <c r="B14" s="49">
        <v>45676</v>
      </c>
      <c r="C14" s="49" t="s">
        <v>88</v>
      </c>
      <c r="D14" s="50" t="s">
        <v>79</v>
      </c>
      <c r="E14" s="51" t="s">
        <v>127</v>
      </c>
      <c r="F14" s="52" t="s">
        <v>81</v>
      </c>
      <c r="G14" s="52" t="s">
        <v>128</v>
      </c>
      <c r="H14" s="52" t="s">
        <v>93</v>
      </c>
      <c r="I14" s="52" t="s">
        <v>84</v>
      </c>
      <c r="J14" s="52" t="s">
        <v>84</v>
      </c>
      <c r="K14" s="52" t="s">
        <v>85</v>
      </c>
      <c r="L14" s="52" t="s">
        <v>86</v>
      </c>
      <c r="M14" s="52" t="s">
        <v>85</v>
      </c>
      <c r="N14" s="52" t="s">
        <v>85</v>
      </c>
      <c r="O14" s="44" t="s">
        <v>87</v>
      </c>
      <c r="P14" s="113" t="s">
        <v>86</v>
      </c>
      <c r="Q14" s="113" t="s">
        <v>85</v>
      </c>
    </row>
    <row r="15" spans="1:17" ht="49.5" customHeight="1">
      <c r="A15" s="49" t="s">
        <v>20</v>
      </c>
      <c r="B15" s="49">
        <v>45679</v>
      </c>
      <c r="C15" s="49" t="s">
        <v>78</v>
      </c>
      <c r="D15" s="50" t="s">
        <v>79</v>
      </c>
      <c r="E15" s="51" t="s">
        <v>129</v>
      </c>
      <c r="F15" s="52" t="s">
        <v>91</v>
      </c>
      <c r="G15" s="52" t="s">
        <v>130</v>
      </c>
      <c r="H15" s="52" t="s">
        <v>93</v>
      </c>
      <c r="I15" s="52" t="s">
        <v>84</v>
      </c>
      <c r="J15" s="52" t="s">
        <v>85</v>
      </c>
      <c r="K15" s="52" t="s">
        <v>84</v>
      </c>
      <c r="L15" s="52" t="s">
        <v>131</v>
      </c>
      <c r="M15" s="52" t="s">
        <v>85</v>
      </c>
      <c r="N15" s="52" t="s">
        <v>85</v>
      </c>
      <c r="O15" s="44" t="s">
        <v>87</v>
      </c>
      <c r="P15" s="113" t="s">
        <v>86</v>
      </c>
      <c r="Q15" s="113" t="s">
        <v>85</v>
      </c>
    </row>
    <row r="16" spans="1:17" ht="37.5" customHeight="1">
      <c r="A16" s="49" t="s">
        <v>20</v>
      </c>
      <c r="B16" s="49">
        <v>45679</v>
      </c>
      <c r="C16" s="49" t="s">
        <v>78</v>
      </c>
      <c r="D16" s="50" t="s">
        <v>79</v>
      </c>
      <c r="E16" s="51" t="s">
        <v>132</v>
      </c>
      <c r="F16" s="52" t="s">
        <v>133</v>
      </c>
      <c r="G16" s="52" t="s">
        <v>134</v>
      </c>
      <c r="H16" s="52" t="s">
        <v>135</v>
      </c>
      <c r="I16" s="52" t="s">
        <v>84</v>
      </c>
      <c r="J16" s="52" t="s">
        <v>84</v>
      </c>
      <c r="K16" s="52" t="s">
        <v>85</v>
      </c>
      <c r="L16" s="52" t="s">
        <v>86</v>
      </c>
      <c r="M16" s="52" t="s">
        <v>85</v>
      </c>
      <c r="N16" s="52" t="s">
        <v>85</v>
      </c>
      <c r="O16" s="44" t="s">
        <v>87</v>
      </c>
      <c r="P16" s="113" t="s">
        <v>86</v>
      </c>
      <c r="Q16" s="113" t="s">
        <v>85</v>
      </c>
    </row>
    <row r="17" spans="1:17" ht="24.75" customHeight="1">
      <c r="A17" s="49" t="s">
        <v>20</v>
      </c>
      <c r="B17" s="49">
        <v>45680</v>
      </c>
      <c r="C17" s="49" t="s">
        <v>106</v>
      </c>
      <c r="D17" s="50" t="s">
        <v>136</v>
      </c>
      <c r="E17" s="51" t="s">
        <v>137</v>
      </c>
      <c r="F17" s="52" t="s">
        <v>81</v>
      </c>
      <c r="G17" s="52" t="s">
        <v>138</v>
      </c>
      <c r="H17" s="52" t="s">
        <v>135</v>
      </c>
      <c r="I17" s="52" t="s">
        <v>85</v>
      </c>
      <c r="J17" s="52" t="s">
        <v>84</v>
      </c>
      <c r="K17" s="52" t="s">
        <v>85</v>
      </c>
      <c r="L17" s="52" t="s">
        <v>86</v>
      </c>
      <c r="M17" s="52" t="s">
        <v>85</v>
      </c>
      <c r="N17" s="52" t="s">
        <v>85</v>
      </c>
      <c r="O17" s="44" t="s">
        <v>87</v>
      </c>
      <c r="P17" s="113" t="s">
        <v>86</v>
      </c>
      <c r="Q17" s="113" t="s">
        <v>85</v>
      </c>
    </row>
    <row r="18" spans="1:17" ht="24.75" customHeight="1">
      <c r="A18" s="49" t="s">
        <v>20</v>
      </c>
      <c r="B18" s="49">
        <v>45680</v>
      </c>
      <c r="C18" s="49" t="s">
        <v>78</v>
      </c>
      <c r="D18" s="50" t="s">
        <v>98</v>
      </c>
      <c r="E18" s="51" t="s">
        <v>139</v>
      </c>
      <c r="F18" s="52" t="s">
        <v>133</v>
      </c>
      <c r="G18" s="52" t="s">
        <v>140</v>
      </c>
      <c r="H18" s="52" t="s">
        <v>102</v>
      </c>
      <c r="I18" s="52" t="s">
        <v>84</v>
      </c>
      <c r="J18" s="52" t="s">
        <v>84</v>
      </c>
      <c r="K18" s="52" t="s">
        <v>85</v>
      </c>
      <c r="L18" s="52" t="s">
        <v>86</v>
      </c>
      <c r="M18" s="52" t="s">
        <v>85</v>
      </c>
      <c r="N18" s="52" t="s">
        <v>85</v>
      </c>
      <c r="O18" s="44" t="s">
        <v>87</v>
      </c>
      <c r="P18" s="113" t="s">
        <v>86</v>
      </c>
      <c r="Q18" s="113" t="s">
        <v>85</v>
      </c>
    </row>
    <row r="19" spans="1:17" ht="24.75" customHeight="1">
      <c r="A19" s="49" t="s">
        <v>20</v>
      </c>
      <c r="B19" s="49">
        <v>45681</v>
      </c>
      <c r="C19" s="49" t="s">
        <v>106</v>
      </c>
      <c r="D19" s="50" t="s">
        <v>79</v>
      </c>
      <c r="E19" s="51" t="s">
        <v>141</v>
      </c>
      <c r="F19" s="52" t="s">
        <v>100</v>
      </c>
      <c r="G19" s="52" t="s">
        <v>142</v>
      </c>
      <c r="H19" s="52" t="s">
        <v>135</v>
      </c>
      <c r="I19" s="52" t="s">
        <v>85</v>
      </c>
      <c r="J19" s="52" t="s">
        <v>85</v>
      </c>
      <c r="K19" s="52" t="s">
        <v>84</v>
      </c>
      <c r="L19" s="52" t="s">
        <v>143</v>
      </c>
      <c r="M19" s="52" t="s">
        <v>85</v>
      </c>
      <c r="N19" s="52" t="s">
        <v>85</v>
      </c>
      <c r="O19" s="44" t="s">
        <v>87</v>
      </c>
      <c r="P19" s="113" t="s">
        <v>86</v>
      </c>
      <c r="Q19" s="113" t="s">
        <v>85</v>
      </c>
    </row>
    <row r="20" spans="1:17" ht="37.5" customHeight="1">
      <c r="A20" s="49" t="s">
        <v>20</v>
      </c>
      <c r="B20" s="49">
        <v>45681</v>
      </c>
      <c r="C20" s="49" t="s">
        <v>78</v>
      </c>
      <c r="D20" s="50" t="s">
        <v>79</v>
      </c>
      <c r="E20" s="51" t="s">
        <v>144</v>
      </c>
      <c r="F20" s="52" t="s">
        <v>100</v>
      </c>
      <c r="G20" s="52" t="s">
        <v>145</v>
      </c>
      <c r="H20" s="52" t="s">
        <v>83</v>
      </c>
      <c r="I20" s="52" t="s">
        <v>84</v>
      </c>
      <c r="J20" s="52" t="s">
        <v>84</v>
      </c>
      <c r="K20" s="52" t="s">
        <v>85</v>
      </c>
      <c r="L20" s="52" t="s">
        <v>86</v>
      </c>
      <c r="M20" s="52" t="s">
        <v>85</v>
      </c>
      <c r="N20" s="52" t="s">
        <v>85</v>
      </c>
      <c r="O20" s="44" t="s">
        <v>87</v>
      </c>
      <c r="P20" s="113" t="s">
        <v>86</v>
      </c>
      <c r="Q20" s="113" t="s">
        <v>85</v>
      </c>
    </row>
    <row r="21" spans="1:17" ht="24.75" customHeight="1">
      <c r="A21" s="49" t="s">
        <v>20</v>
      </c>
      <c r="B21" s="49">
        <v>45682</v>
      </c>
      <c r="C21" s="49" t="s">
        <v>106</v>
      </c>
      <c r="D21" s="50" t="s">
        <v>83</v>
      </c>
      <c r="E21" s="51" t="s">
        <v>146</v>
      </c>
      <c r="F21" s="52" t="s">
        <v>147</v>
      </c>
      <c r="G21" s="52" t="s">
        <v>83</v>
      </c>
      <c r="H21" s="52" t="s">
        <v>83</v>
      </c>
      <c r="I21" s="52" t="s">
        <v>84</v>
      </c>
      <c r="J21" s="52" t="s">
        <v>85</v>
      </c>
      <c r="K21" s="52" t="s">
        <v>84</v>
      </c>
      <c r="L21" s="52" t="s">
        <v>148</v>
      </c>
      <c r="M21" s="52" t="s">
        <v>85</v>
      </c>
      <c r="N21" s="52" t="s">
        <v>85</v>
      </c>
      <c r="O21" s="44" t="s">
        <v>87</v>
      </c>
      <c r="P21" s="113" t="s">
        <v>86</v>
      </c>
      <c r="Q21" s="113" t="s">
        <v>85</v>
      </c>
    </row>
    <row r="22" spans="1:17" ht="37.5" customHeight="1">
      <c r="A22" s="49" t="s">
        <v>20</v>
      </c>
      <c r="B22" s="49">
        <v>45682</v>
      </c>
      <c r="C22" s="49" t="s">
        <v>106</v>
      </c>
      <c r="D22" s="50" t="s">
        <v>136</v>
      </c>
      <c r="E22" s="51" t="s">
        <v>149</v>
      </c>
      <c r="F22" s="52" t="s">
        <v>96</v>
      </c>
      <c r="G22" s="52" t="s">
        <v>150</v>
      </c>
      <c r="H22" s="52" t="s">
        <v>117</v>
      </c>
      <c r="I22" s="52" t="s">
        <v>85</v>
      </c>
      <c r="J22" s="52" t="s">
        <v>84</v>
      </c>
      <c r="K22" s="52" t="s">
        <v>85</v>
      </c>
      <c r="L22" s="52" t="s">
        <v>86</v>
      </c>
      <c r="M22" s="52" t="s">
        <v>85</v>
      </c>
      <c r="N22" s="52" t="s">
        <v>85</v>
      </c>
      <c r="O22" s="52" t="s">
        <v>87</v>
      </c>
      <c r="P22" s="113" t="s">
        <v>86</v>
      </c>
      <c r="Q22" s="113" t="s">
        <v>85</v>
      </c>
    </row>
    <row r="23" spans="1:17" ht="45" customHeight="1">
      <c r="A23" s="49" t="s">
        <v>20</v>
      </c>
      <c r="B23" s="49">
        <v>45683</v>
      </c>
      <c r="C23" s="49" t="s">
        <v>106</v>
      </c>
      <c r="D23" s="50" t="s">
        <v>98</v>
      </c>
      <c r="E23" s="51" t="s">
        <v>151</v>
      </c>
      <c r="F23" s="52" t="s">
        <v>100</v>
      </c>
      <c r="G23" s="52" t="s">
        <v>125</v>
      </c>
      <c r="H23" s="52" t="s">
        <v>126</v>
      </c>
      <c r="I23" s="52" t="s">
        <v>84</v>
      </c>
      <c r="J23" s="52" t="s">
        <v>84</v>
      </c>
      <c r="K23" s="52" t="s">
        <v>85</v>
      </c>
      <c r="L23" s="52" t="s">
        <v>86</v>
      </c>
      <c r="M23" s="52" t="s">
        <v>85</v>
      </c>
      <c r="N23" s="52" t="s">
        <v>85</v>
      </c>
      <c r="O23" s="52" t="s">
        <v>118</v>
      </c>
      <c r="P23" s="113" t="s">
        <v>86</v>
      </c>
      <c r="Q23" s="113" t="s">
        <v>85</v>
      </c>
    </row>
    <row r="24" spans="1:17" ht="24.75" customHeight="1">
      <c r="A24" s="49" t="s">
        <v>20</v>
      </c>
      <c r="B24" s="49">
        <v>45686</v>
      </c>
      <c r="C24" s="49" t="s">
        <v>106</v>
      </c>
      <c r="D24" s="50" t="s">
        <v>83</v>
      </c>
      <c r="E24" s="51" t="s">
        <v>152</v>
      </c>
      <c r="F24" s="52" t="s">
        <v>153</v>
      </c>
      <c r="G24" s="52" t="s">
        <v>154</v>
      </c>
      <c r="H24" s="52" t="s">
        <v>126</v>
      </c>
      <c r="I24" s="52" t="s">
        <v>85</v>
      </c>
      <c r="J24" s="52" t="s">
        <v>85</v>
      </c>
      <c r="K24" s="52" t="s">
        <v>84</v>
      </c>
      <c r="L24" s="52" t="s">
        <v>155</v>
      </c>
      <c r="M24" s="52" t="s">
        <v>85</v>
      </c>
      <c r="N24" s="52" t="s">
        <v>85</v>
      </c>
      <c r="O24" s="52" t="s">
        <v>87</v>
      </c>
      <c r="P24" s="113" t="s">
        <v>86</v>
      </c>
      <c r="Q24" s="113" t="s">
        <v>85</v>
      </c>
    </row>
    <row r="25" spans="1:17" ht="74.25" customHeight="1">
      <c r="A25" s="49" t="s">
        <v>20</v>
      </c>
      <c r="B25" s="49">
        <v>45687</v>
      </c>
      <c r="C25" s="49" t="s">
        <v>78</v>
      </c>
      <c r="D25" s="50" t="s">
        <v>98</v>
      </c>
      <c r="E25" s="51" t="s">
        <v>156</v>
      </c>
      <c r="F25" s="52" t="s">
        <v>91</v>
      </c>
      <c r="G25" s="52" t="s">
        <v>157</v>
      </c>
      <c r="H25" s="52" t="s">
        <v>83</v>
      </c>
      <c r="I25" s="52" t="s">
        <v>85</v>
      </c>
      <c r="J25" s="52" t="s">
        <v>85</v>
      </c>
      <c r="K25" s="52" t="s">
        <v>84</v>
      </c>
      <c r="L25" s="52" t="s">
        <v>158</v>
      </c>
      <c r="M25" s="52" t="s">
        <v>85</v>
      </c>
      <c r="N25" s="52" t="s">
        <v>85</v>
      </c>
      <c r="O25" s="52" t="s">
        <v>118</v>
      </c>
      <c r="P25" s="44" t="s">
        <v>1511</v>
      </c>
      <c r="Q25" s="113" t="s">
        <v>85</v>
      </c>
    </row>
    <row r="26" spans="1:17" ht="24.75" customHeight="1">
      <c r="A26" s="49" t="s">
        <v>20</v>
      </c>
      <c r="B26" s="49">
        <v>45688</v>
      </c>
      <c r="C26" s="49" t="s">
        <v>78</v>
      </c>
      <c r="D26" s="50" t="s">
        <v>98</v>
      </c>
      <c r="E26" s="51" t="s">
        <v>160</v>
      </c>
      <c r="F26" s="52" t="s">
        <v>161</v>
      </c>
      <c r="G26" s="52" t="s">
        <v>162</v>
      </c>
      <c r="H26" s="52" t="s">
        <v>135</v>
      </c>
      <c r="I26" s="52" t="s">
        <v>85</v>
      </c>
      <c r="J26" s="52" t="s">
        <v>84</v>
      </c>
      <c r="K26" s="52" t="s">
        <v>85</v>
      </c>
      <c r="L26" s="52" t="s">
        <v>86</v>
      </c>
      <c r="M26" s="52" t="s">
        <v>85</v>
      </c>
      <c r="N26" s="52" t="s">
        <v>85</v>
      </c>
      <c r="O26" s="44" t="s">
        <v>87</v>
      </c>
      <c r="P26" s="113" t="s">
        <v>86</v>
      </c>
      <c r="Q26" s="113" t="s">
        <v>85</v>
      </c>
    </row>
    <row r="27" spans="1:17" ht="87" customHeight="1">
      <c r="A27" s="49" t="s">
        <v>20</v>
      </c>
      <c r="B27" s="49">
        <v>45688</v>
      </c>
      <c r="C27" s="49" t="s">
        <v>78</v>
      </c>
      <c r="D27" s="50" t="s">
        <v>98</v>
      </c>
      <c r="E27" s="51" t="s">
        <v>163</v>
      </c>
      <c r="F27" s="52" t="s">
        <v>91</v>
      </c>
      <c r="G27" s="52" t="s">
        <v>104</v>
      </c>
      <c r="H27" s="52" t="s">
        <v>102</v>
      </c>
      <c r="I27" s="52" t="s">
        <v>85</v>
      </c>
      <c r="J27" s="52" t="s">
        <v>84</v>
      </c>
      <c r="K27" s="52" t="s">
        <v>85</v>
      </c>
      <c r="L27" s="52" t="s">
        <v>86</v>
      </c>
      <c r="M27" s="52" t="s">
        <v>85</v>
      </c>
      <c r="N27" s="52" t="s">
        <v>84</v>
      </c>
      <c r="O27" s="44" t="s">
        <v>87</v>
      </c>
      <c r="P27" s="113" t="s">
        <v>86</v>
      </c>
      <c r="Q27" s="113" t="s">
        <v>85</v>
      </c>
    </row>
    <row r="28" spans="1:17" ht="37.5" customHeight="1">
      <c r="A28" s="49" t="s">
        <v>21</v>
      </c>
      <c r="B28" s="49">
        <v>45690</v>
      </c>
      <c r="C28" s="49" t="s">
        <v>78</v>
      </c>
      <c r="D28" s="50" t="s">
        <v>98</v>
      </c>
      <c r="E28" s="51" t="s">
        <v>164</v>
      </c>
      <c r="F28" s="52" t="s">
        <v>81</v>
      </c>
      <c r="G28" s="52" t="s">
        <v>165</v>
      </c>
      <c r="H28" s="52" t="s">
        <v>135</v>
      </c>
      <c r="I28" s="52" t="s">
        <v>85</v>
      </c>
      <c r="J28" s="52" t="s">
        <v>84</v>
      </c>
      <c r="K28" s="52" t="s">
        <v>85</v>
      </c>
      <c r="L28" s="52" t="s">
        <v>86</v>
      </c>
      <c r="M28" s="52" t="s">
        <v>85</v>
      </c>
      <c r="N28" s="52" t="s">
        <v>85</v>
      </c>
      <c r="O28" s="44" t="s">
        <v>87</v>
      </c>
      <c r="P28" s="113" t="s">
        <v>86</v>
      </c>
      <c r="Q28" s="113" t="s">
        <v>85</v>
      </c>
    </row>
    <row r="29" spans="1:17" ht="49.5" customHeight="1">
      <c r="A29" s="49" t="s">
        <v>21</v>
      </c>
      <c r="B29" s="49">
        <v>45691</v>
      </c>
      <c r="C29" s="49" t="s">
        <v>106</v>
      </c>
      <c r="D29" s="50" t="s">
        <v>98</v>
      </c>
      <c r="E29" s="51" t="s">
        <v>166</v>
      </c>
      <c r="F29" s="52" t="s">
        <v>133</v>
      </c>
      <c r="G29" s="52" t="s">
        <v>167</v>
      </c>
      <c r="H29" s="52" t="s">
        <v>135</v>
      </c>
      <c r="I29" s="52" t="s">
        <v>85</v>
      </c>
      <c r="J29" s="52" t="s">
        <v>84</v>
      </c>
      <c r="K29" s="52" t="s">
        <v>85</v>
      </c>
      <c r="L29" s="52" t="s">
        <v>86</v>
      </c>
      <c r="M29" s="52" t="s">
        <v>85</v>
      </c>
      <c r="N29" s="52" t="s">
        <v>85</v>
      </c>
      <c r="O29" s="44" t="s">
        <v>87</v>
      </c>
      <c r="P29" s="113" t="s">
        <v>86</v>
      </c>
      <c r="Q29" s="113" t="s">
        <v>85</v>
      </c>
    </row>
    <row r="30" spans="1:17" ht="37.5" customHeight="1">
      <c r="A30" s="49" t="s">
        <v>21</v>
      </c>
      <c r="B30" s="49">
        <v>45691</v>
      </c>
      <c r="C30" s="49" t="s">
        <v>106</v>
      </c>
      <c r="D30" s="50" t="s">
        <v>98</v>
      </c>
      <c r="E30" s="51" t="s">
        <v>168</v>
      </c>
      <c r="F30" s="52" t="s">
        <v>100</v>
      </c>
      <c r="G30" s="52" t="s">
        <v>169</v>
      </c>
      <c r="H30" s="52" t="s">
        <v>83</v>
      </c>
      <c r="I30" s="52" t="s">
        <v>84</v>
      </c>
      <c r="J30" s="52" t="s">
        <v>84</v>
      </c>
      <c r="K30" s="52" t="s">
        <v>85</v>
      </c>
      <c r="L30" s="52" t="s">
        <v>86</v>
      </c>
      <c r="M30" s="52" t="s">
        <v>85</v>
      </c>
      <c r="N30" s="52" t="s">
        <v>85</v>
      </c>
      <c r="O30" s="44" t="s">
        <v>87</v>
      </c>
      <c r="P30" s="113" t="s">
        <v>86</v>
      </c>
      <c r="Q30" s="113" t="s">
        <v>85</v>
      </c>
    </row>
    <row r="31" spans="1:17" ht="62.25" customHeight="1">
      <c r="A31" s="49" t="s">
        <v>21</v>
      </c>
      <c r="B31" s="49">
        <v>45692</v>
      </c>
      <c r="C31" s="49" t="s">
        <v>106</v>
      </c>
      <c r="D31" s="50" t="s">
        <v>79</v>
      </c>
      <c r="E31" s="51" t="s">
        <v>170</v>
      </c>
      <c r="F31" s="52" t="s">
        <v>153</v>
      </c>
      <c r="G31" s="52" t="s">
        <v>171</v>
      </c>
      <c r="H31" s="52" t="s">
        <v>93</v>
      </c>
      <c r="I31" s="52" t="s">
        <v>85</v>
      </c>
      <c r="J31" s="52" t="s">
        <v>85</v>
      </c>
      <c r="K31" s="52" t="s">
        <v>84</v>
      </c>
      <c r="L31" s="52" t="s">
        <v>172</v>
      </c>
      <c r="M31" s="52" t="s">
        <v>85</v>
      </c>
      <c r="N31" s="52" t="s">
        <v>85</v>
      </c>
      <c r="O31" s="44" t="s">
        <v>87</v>
      </c>
      <c r="P31" s="113" t="s">
        <v>86</v>
      </c>
      <c r="Q31" s="113" t="s">
        <v>85</v>
      </c>
    </row>
    <row r="32" spans="1:17" ht="49.5" customHeight="1">
      <c r="A32" s="49" t="s">
        <v>21</v>
      </c>
      <c r="B32" s="49">
        <v>45692</v>
      </c>
      <c r="C32" s="49" t="s">
        <v>123</v>
      </c>
      <c r="D32" s="50" t="s">
        <v>98</v>
      </c>
      <c r="E32" s="51" t="s">
        <v>173</v>
      </c>
      <c r="F32" s="52" t="s">
        <v>161</v>
      </c>
      <c r="G32" s="52" t="s">
        <v>174</v>
      </c>
      <c r="H32" s="52" t="s">
        <v>175</v>
      </c>
      <c r="I32" s="52" t="s">
        <v>85</v>
      </c>
      <c r="J32" s="52" t="s">
        <v>84</v>
      </c>
      <c r="K32" s="52" t="s">
        <v>85</v>
      </c>
      <c r="L32" s="52" t="s">
        <v>86</v>
      </c>
      <c r="M32" s="52" t="s">
        <v>85</v>
      </c>
      <c r="N32" s="52" t="s">
        <v>85</v>
      </c>
      <c r="O32" s="52" t="s">
        <v>118</v>
      </c>
      <c r="P32" s="44" t="s">
        <v>1497</v>
      </c>
      <c r="Q32" s="113" t="s">
        <v>85</v>
      </c>
    </row>
    <row r="33" spans="1:17" ht="49.5" customHeight="1">
      <c r="A33" s="49" t="s">
        <v>21</v>
      </c>
      <c r="B33" s="49">
        <v>45692</v>
      </c>
      <c r="C33" s="49" t="s">
        <v>78</v>
      </c>
      <c r="D33" s="50" t="s">
        <v>98</v>
      </c>
      <c r="E33" s="51" t="s">
        <v>176</v>
      </c>
      <c r="F33" s="52" t="s">
        <v>81</v>
      </c>
      <c r="G33" s="52" t="s">
        <v>177</v>
      </c>
      <c r="H33" s="52" t="s">
        <v>126</v>
      </c>
      <c r="I33" s="52" t="s">
        <v>85</v>
      </c>
      <c r="J33" s="52" t="s">
        <v>84</v>
      </c>
      <c r="K33" s="52" t="s">
        <v>85</v>
      </c>
      <c r="L33" s="52" t="s">
        <v>86</v>
      </c>
      <c r="M33" s="52" t="s">
        <v>85</v>
      </c>
      <c r="N33" s="52" t="s">
        <v>85</v>
      </c>
      <c r="O33" s="52" t="s">
        <v>118</v>
      </c>
      <c r="P33" s="44" t="s">
        <v>1504</v>
      </c>
      <c r="Q33" s="113" t="s">
        <v>85</v>
      </c>
    </row>
    <row r="34" spans="1:17" s="129" customFormat="1" ht="75" customHeight="1">
      <c r="A34" s="123" t="s">
        <v>21</v>
      </c>
      <c r="B34" s="123">
        <v>45693</v>
      </c>
      <c r="C34" s="123" t="s">
        <v>106</v>
      </c>
      <c r="D34" s="124" t="s">
        <v>83</v>
      </c>
      <c r="E34" s="125" t="s">
        <v>179</v>
      </c>
      <c r="F34" s="126" t="s">
        <v>96</v>
      </c>
      <c r="G34" s="126" t="s">
        <v>180</v>
      </c>
      <c r="H34" s="126" t="s">
        <v>135</v>
      </c>
      <c r="I34" s="126" t="s">
        <v>85</v>
      </c>
      <c r="J34" s="126" t="s">
        <v>84</v>
      </c>
      <c r="K34" s="126" t="s">
        <v>85</v>
      </c>
      <c r="L34" s="126" t="s">
        <v>86</v>
      </c>
      <c r="M34" s="126" t="s">
        <v>85</v>
      </c>
      <c r="N34" s="126" t="s">
        <v>85</v>
      </c>
      <c r="O34" s="126" t="s">
        <v>87</v>
      </c>
      <c r="P34" s="128" t="s">
        <v>86</v>
      </c>
      <c r="Q34" s="128" t="s">
        <v>84</v>
      </c>
    </row>
    <row r="35" spans="1:17" ht="37.5" customHeight="1">
      <c r="A35" s="49" t="s">
        <v>21</v>
      </c>
      <c r="B35" s="49">
        <v>45693</v>
      </c>
      <c r="C35" s="49" t="s">
        <v>78</v>
      </c>
      <c r="D35" s="50" t="s">
        <v>98</v>
      </c>
      <c r="E35" s="51" t="s">
        <v>181</v>
      </c>
      <c r="F35" s="52" t="s">
        <v>133</v>
      </c>
      <c r="G35" s="52" t="s">
        <v>182</v>
      </c>
      <c r="H35" s="52" t="s">
        <v>135</v>
      </c>
      <c r="I35" s="52" t="s">
        <v>85</v>
      </c>
      <c r="J35" s="52" t="s">
        <v>85</v>
      </c>
      <c r="K35" s="52" t="s">
        <v>84</v>
      </c>
      <c r="L35" s="52" t="s">
        <v>183</v>
      </c>
      <c r="M35" s="52" t="s">
        <v>85</v>
      </c>
      <c r="N35" s="52" t="s">
        <v>85</v>
      </c>
      <c r="O35" s="52" t="s">
        <v>87</v>
      </c>
      <c r="P35" s="44" t="s">
        <v>1505</v>
      </c>
      <c r="Q35" s="113" t="s">
        <v>85</v>
      </c>
    </row>
    <row r="36" spans="1:17" s="129" customFormat="1" ht="37.5" customHeight="1">
      <c r="A36" s="123" t="s">
        <v>21</v>
      </c>
      <c r="B36" s="123">
        <v>45694</v>
      </c>
      <c r="C36" s="123" t="s">
        <v>106</v>
      </c>
      <c r="D36" s="124" t="s">
        <v>98</v>
      </c>
      <c r="E36" s="125" t="s">
        <v>185</v>
      </c>
      <c r="F36" s="126" t="s">
        <v>100</v>
      </c>
      <c r="G36" s="126" t="s">
        <v>186</v>
      </c>
      <c r="H36" s="126" t="s">
        <v>102</v>
      </c>
      <c r="I36" s="126" t="s">
        <v>84</v>
      </c>
      <c r="J36" s="126" t="s">
        <v>84</v>
      </c>
      <c r="K36" s="126" t="s">
        <v>85</v>
      </c>
      <c r="L36" s="126" t="s">
        <v>86</v>
      </c>
      <c r="M36" s="126" t="s">
        <v>85</v>
      </c>
      <c r="N36" s="126" t="s">
        <v>85</v>
      </c>
      <c r="O36" s="126" t="s">
        <v>87</v>
      </c>
      <c r="P36" s="127" t="s">
        <v>1501</v>
      </c>
      <c r="Q36" s="128" t="s">
        <v>84</v>
      </c>
    </row>
    <row r="37" spans="1:17" ht="37.5" customHeight="1">
      <c r="A37" s="49" t="s">
        <v>21</v>
      </c>
      <c r="B37" s="49">
        <v>45694</v>
      </c>
      <c r="C37" s="49" t="s">
        <v>106</v>
      </c>
      <c r="D37" s="50" t="s">
        <v>136</v>
      </c>
      <c r="E37" s="51" t="s">
        <v>188</v>
      </c>
      <c r="F37" s="52" t="s">
        <v>100</v>
      </c>
      <c r="G37" s="52" t="s">
        <v>189</v>
      </c>
      <c r="H37" s="52" t="s">
        <v>135</v>
      </c>
      <c r="I37" s="52" t="s">
        <v>85</v>
      </c>
      <c r="J37" s="52" t="s">
        <v>84</v>
      </c>
      <c r="K37" s="52" t="s">
        <v>85</v>
      </c>
      <c r="L37" s="52" t="s">
        <v>86</v>
      </c>
      <c r="M37" s="52" t="s">
        <v>85</v>
      </c>
      <c r="N37" s="52" t="s">
        <v>85</v>
      </c>
      <c r="O37" s="52" t="s">
        <v>87</v>
      </c>
      <c r="P37" s="113" t="s">
        <v>86</v>
      </c>
      <c r="Q37" s="113" t="s">
        <v>85</v>
      </c>
    </row>
    <row r="38" spans="1:17" ht="49.5" customHeight="1">
      <c r="A38" s="49" t="s">
        <v>21</v>
      </c>
      <c r="B38" s="49">
        <v>45695</v>
      </c>
      <c r="C38" s="49" t="s">
        <v>190</v>
      </c>
      <c r="D38" s="50" t="s">
        <v>98</v>
      </c>
      <c r="E38" s="51" t="s">
        <v>191</v>
      </c>
      <c r="F38" s="52" t="s">
        <v>109</v>
      </c>
      <c r="G38" s="52" t="s">
        <v>192</v>
      </c>
      <c r="H38" s="52" t="s">
        <v>126</v>
      </c>
      <c r="I38" s="52" t="s">
        <v>85</v>
      </c>
      <c r="J38" s="52" t="s">
        <v>85</v>
      </c>
      <c r="K38" s="52" t="s">
        <v>84</v>
      </c>
      <c r="L38" s="52" t="s">
        <v>193</v>
      </c>
      <c r="M38" s="52" t="s">
        <v>85</v>
      </c>
      <c r="N38" s="52" t="s">
        <v>85</v>
      </c>
      <c r="O38" s="52" t="s">
        <v>118</v>
      </c>
      <c r="P38" s="113" t="s">
        <v>86</v>
      </c>
      <c r="Q38" s="113" t="s">
        <v>85</v>
      </c>
    </row>
    <row r="39" spans="1:17" ht="62.25" customHeight="1">
      <c r="A39" s="49" t="s">
        <v>21</v>
      </c>
      <c r="B39" s="49">
        <v>45697</v>
      </c>
      <c r="C39" s="49" t="s">
        <v>106</v>
      </c>
      <c r="D39" s="50" t="s">
        <v>79</v>
      </c>
      <c r="E39" s="51" t="s">
        <v>194</v>
      </c>
      <c r="F39" s="52" t="s">
        <v>153</v>
      </c>
      <c r="G39" s="52" t="s">
        <v>195</v>
      </c>
      <c r="H39" s="52" t="s">
        <v>135</v>
      </c>
      <c r="I39" s="52" t="s">
        <v>84</v>
      </c>
      <c r="J39" s="52" t="s">
        <v>85</v>
      </c>
      <c r="K39" s="52" t="s">
        <v>84</v>
      </c>
      <c r="L39" s="52" t="s">
        <v>196</v>
      </c>
      <c r="M39" s="52" t="s">
        <v>85</v>
      </c>
      <c r="N39" s="52" t="s">
        <v>85</v>
      </c>
      <c r="O39" s="44" t="s">
        <v>87</v>
      </c>
      <c r="P39" s="113" t="s">
        <v>86</v>
      </c>
      <c r="Q39" s="113" t="s">
        <v>85</v>
      </c>
    </row>
    <row r="40" spans="1:17" s="129" customFormat="1" ht="49.5" customHeight="1">
      <c r="A40" s="123" t="s">
        <v>21</v>
      </c>
      <c r="B40" s="123">
        <v>45697</v>
      </c>
      <c r="C40" s="123" t="s">
        <v>106</v>
      </c>
      <c r="D40" s="124" t="s">
        <v>79</v>
      </c>
      <c r="E40" s="125" t="s">
        <v>197</v>
      </c>
      <c r="F40" s="126" t="s">
        <v>153</v>
      </c>
      <c r="G40" s="126" t="s">
        <v>198</v>
      </c>
      <c r="H40" s="126" t="s">
        <v>93</v>
      </c>
      <c r="I40" s="126" t="s">
        <v>85</v>
      </c>
      <c r="J40" s="126" t="s">
        <v>85</v>
      </c>
      <c r="K40" s="126" t="s">
        <v>84</v>
      </c>
      <c r="L40" s="126" t="s">
        <v>199</v>
      </c>
      <c r="M40" s="126" t="s">
        <v>85</v>
      </c>
      <c r="N40" s="126" t="s">
        <v>85</v>
      </c>
      <c r="O40" s="127" t="s">
        <v>87</v>
      </c>
      <c r="P40" s="113" t="s">
        <v>86</v>
      </c>
      <c r="Q40" s="128" t="s">
        <v>84</v>
      </c>
    </row>
    <row r="41" spans="1:17" ht="37.5" customHeight="1">
      <c r="A41" s="49" t="s">
        <v>21</v>
      </c>
      <c r="B41" s="49">
        <v>45697</v>
      </c>
      <c r="C41" s="49" t="s">
        <v>106</v>
      </c>
      <c r="D41" s="50" t="s">
        <v>79</v>
      </c>
      <c r="E41" s="51" t="s">
        <v>200</v>
      </c>
      <c r="F41" s="52" t="s">
        <v>100</v>
      </c>
      <c r="G41" s="52" t="s">
        <v>201</v>
      </c>
      <c r="H41" s="52" t="s">
        <v>102</v>
      </c>
      <c r="I41" s="52" t="s">
        <v>85</v>
      </c>
      <c r="J41" s="52" t="s">
        <v>84</v>
      </c>
      <c r="K41" s="52" t="s">
        <v>85</v>
      </c>
      <c r="L41" s="52" t="s">
        <v>86</v>
      </c>
      <c r="M41" s="52" t="s">
        <v>85</v>
      </c>
      <c r="N41" s="52" t="s">
        <v>85</v>
      </c>
      <c r="O41" s="44" t="s">
        <v>87</v>
      </c>
      <c r="P41" s="113" t="s">
        <v>86</v>
      </c>
      <c r="Q41" s="113" t="s">
        <v>85</v>
      </c>
    </row>
    <row r="42" spans="1:17" ht="62.25" customHeight="1">
      <c r="A42" s="49" t="s">
        <v>21</v>
      </c>
      <c r="B42" s="49">
        <v>45698</v>
      </c>
      <c r="C42" s="49" t="s">
        <v>106</v>
      </c>
      <c r="D42" s="50" t="s">
        <v>79</v>
      </c>
      <c r="E42" s="51" t="s">
        <v>202</v>
      </c>
      <c r="F42" s="52" t="s">
        <v>153</v>
      </c>
      <c r="G42" s="52" t="s">
        <v>203</v>
      </c>
      <c r="H42" s="52" t="s">
        <v>83</v>
      </c>
      <c r="I42" s="52" t="s">
        <v>85</v>
      </c>
      <c r="J42" s="52" t="s">
        <v>84</v>
      </c>
      <c r="K42" s="52" t="s">
        <v>85</v>
      </c>
      <c r="L42" s="52" t="s">
        <v>86</v>
      </c>
      <c r="M42" s="52" t="s">
        <v>85</v>
      </c>
      <c r="N42" s="52" t="s">
        <v>85</v>
      </c>
      <c r="O42" s="44" t="s">
        <v>87</v>
      </c>
      <c r="P42" s="113" t="s">
        <v>86</v>
      </c>
      <c r="Q42" s="113" t="s">
        <v>85</v>
      </c>
    </row>
    <row r="43" spans="1:17" ht="62.25" customHeight="1">
      <c r="A43" s="49" t="s">
        <v>21</v>
      </c>
      <c r="B43" s="49">
        <v>45699</v>
      </c>
      <c r="C43" s="49" t="s">
        <v>106</v>
      </c>
      <c r="D43" s="50" t="s">
        <v>136</v>
      </c>
      <c r="E43" s="51" t="s">
        <v>204</v>
      </c>
      <c r="F43" s="52" t="s">
        <v>205</v>
      </c>
      <c r="G43" s="52" t="s">
        <v>206</v>
      </c>
      <c r="H43" s="52" t="s">
        <v>93</v>
      </c>
      <c r="I43" s="52" t="s">
        <v>85</v>
      </c>
      <c r="J43" s="52" t="s">
        <v>85</v>
      </c>
      <c r="K43" s="52" t="s">
        <v>84</v>
      </c>
      <c r="L43" s="52" t="s">
        <v>207</v>
      </c>
      <c r="M43" s="52" t="s">
        <v>84</v>
      </c>
      <c r="N43" s="52" t="s">
        <v>85</v>
      </c>
      <c r="O43" s="52" t="s">
        <v>118</v>
      </c>
      <c r="P43" s="113" t="s">
        <v>86</v>
      </c>
      <c r="Q43" s="113" t="s">
        <v>85</v>
      </c>
    </row>
    <row r="44" spans="1:17" ht="62.25" customHeight="1">
      <c r="A44" s="49" t="s">
        <v>21</v>
      </c>
      <c r="B44" s="49">
        <v>45699</v>
      </c>
      <c r="C44" s="49" t="s">
        <v>106</v>
      </c>
      <c r="D44" s="50" t="s">
        <v>79</v>
      </c>
      <c r="E44" s="51" t="s">
        <v>208</v>
      </c>
      <c r="F44" s="52" t="s">
        <v>81</v>
      </c>
      <c r="G44" s="52" t="s">
        <v>209</v>
      </c>
      <c r="H44" s="52" t="s">
        <v>135</v>
      </c>
      <c r="I44" s="52" t="s">
        <v>85</v>
      </c>
      <c r="J44" s="52" t="s">
        <v>84</v>
      </c>
      <c r="K44" s="52" t="s">
        <v>85</v>
      </c>
      <c r="L44" s="52" t="s">
        <v>86</v>
      </c>
      <c r="M44" s="52" t="s">
        <v>85</v>
      </c>
      <c r="N44" s="52" t="s">
        <v>85</v>
      </c>
      <c r="O44" s="44" t="s">
        <v>87</v>
      </c>
      <c r="P44" s="44" t="s">
        <v>1497</v>
      </c>
      <c r="Q44" s="113" t="s">
        <v>85</v>
      </c>
    </row>
    <row r="45" spans="1:17" ht="49.5" customHeight="1">
      <c r="A45" s="49" t="s">
        <v>21</v>
      </c>
      <c r="B45" s="49">
        <v>45699</v>
      </c>
      <c r="C45" s="49" t="s">
        <v>106</v>
      </c>
      <c r="D45" s="50" t="s">
        <v>136</v>
      </c>
      <c r="E45" s="51" t="s">
        <v>210</v>
      </c>
      <c r="F45" s="52" t="s">
        <v>81</v>
      </c>
      <c r="G45" s="52" t="s">
        <v>211</v>
      </c>
      <c r="H45" s="52" t="s">
        <v>102</v>
      </c>
      <c r="I45" s="52" t="s">
        <v>85</v>
      </c>
      <c r="J45" s="52" t="s">
        <v>84</v>
      </c>
      <c r="K45" s="52" t="s">
        <v>85</v>
      </c>
      <c r="L45" s="52" t="s">
        <v>86</v>
      </c>
      <c r="M45" s="52" t="s">
        <v>85</v>
      </c>
      <c r="N45" s="52" t="s">
        <v>85</v>
      </c>
      <c r="O45" s="44" t="s">
        <v>87</v>
      </c>
      <c r="P45" s="44" t="s">
        <v>1498</v>
      </c>
      <c r="Q45" s="113" t="s">
        <v>85</v>
      </c>
    </row>
    <row r="46" spans="1:17" ht="37.5" customHeight="1">
      <c r="A46" s="49" t="s">
        <v>21</v>
      </c>
      <c r="B46" s="49">
        <v>45700</v>
      </c>
      <c r="C46" s="49" t="s">
        <v>106</v>
      </c>
      <c r="D46" s="50" t="s">
        <v>98</v>
      </c>
      <c r="E46" s="51" t="s">
        <v>213</v>
      </c>
      <c r="F46" s="52" t="s">
        <v>133</v>
      </c>
      <c r="G46" s="52" t="s">
        <v>214</v>
      </c>
      <c r="H46" s="52" t="s">
        <v>135</v>
      </c>
      <c r="I46" s="52" t="s">
        <v>84</v>
      </c>
      <c r="J46" s="52" t="s">
        <v>85</v>
      </c>
      <c r="K46" s="52" t="s">
        <v>84</v>
      </c>
      <c r="L46" s="52" t="s">
        <v>215</v>
      </c>
      <c r="M46" s="52" t="s">
        <v>85</v>
      </c>
      <c r="N46" s="52" t="s">
        <v>85</v>
      </c>
      <c r="O46" s="44" t="s">
        <v>87</v>
      </c>
      <c r="P46" s="113" t="s">
        <v>86</v>
      </c>
      <c r="Q46" s="113" t="s">
        <v>85</v>
      </c>
    </row>
    <row r="47" spans="1:17" ht="37.5" customHeight="1">
      <c r="A47" s="49" t="s">
        <v>21</v>
      </c>
      <c r="B47" s="49">
        <v>45700</v>
      </c>
      <c r="C47" s="49" t="s">
        <v>106</v>
      </c>
      <c r="D47" s="50" t="s">
        <v>136</v>
      </c>
      <c r="E47" s="51" t="s">
        <v>216</v>
      </c>
      <c r="F47" s="52" t="s">
        <v>100</v>
      </c>
      <c r="G47" s="52" t="s">
        <v>217</v>
      </c>
      <c r="H47" s="52" t="s">
        <v>93</v>
      </c>
      <c r="I47" s="52" t="s">
        <v>85</v>
      </c>
      <c r="J47" s="52" t="s">
        <v>84</v>
      </c>
      <c r="K47" s="52" t="s">
        <v>85</v>
      </c>
      <c r="L47" s="52" t="s">
        <v>86</v>
      </c>
      <c r="M47" s="52" t="s">
        <v>85</v>
      </c>
      <c r="N47" s="52" t="s">
        <v>85</v>
      </c>
      <c r="O47" s="44" t="s">
        <v>87</v>
      </c>
      <c r="P47" s="113" t="s">
        <v>86</v>
      </c>
      <c r="Q47" s="113" t="s">
        <v>85</v>
      </c>
    </row>
    <row r="48" spans="1:17" ht="37.5" customHeight="1">
      <c r="A48" s="49" t="s">
        <v>21</v>
      </c>
      <c r="B48" s="49">
        <v>45700</v>
      </c>
      <c r="C48" s="49" t="s">
        <v>106</v>
      </c>
      <c r="D48" s="50" t="s">
        <v>79</v>
      </c>
      <c r="E48" s="51" t="s">
        <v>218</v>
      </c>
      <c r="F48" s="52" t="s">
        <v>109</v>
      </c>
      <c r="G48" s="52" t="s">
        <v>219</v>
      </c>
      <c r="H48" s="52" t="s">
        <v>135</v>
      </c>
      <c r="I48" s="52" t="s">
        <v>85</v>
      </c>
      <c r="J48" s="52" t="s">
        <v>84</v>
      </c>
      <c r="K48" s="52" t="s">
        <v>85</v>
      </c>
      <c r="L48" s="52" t="s">
        <v>86</v>
      </c>
      <c r="M48" s="52" t="s">
        <v>85</v>
      </c>
      <c r="N48" s="52" t="s">
        <v>85</v>
      </c>
      <c r="O48" s="44" t="s">
        <v>87</v>
      </c>
      <c r="P48" s="113" t="s">
        <v>86</v>
      </c>
      <c r="Q48" s="113" t="s">
        <v>85</v>
      </c>
    </row>
    <row r="49" spans="1:17" ht="62.25" customHeight="1">
      <c r="A49" s="49" t="s">
        <v>21</v>
      </c>
      <c r="B49" s="49">
        <v>45700</v>
      </c>
      <c r="C49" s="49" t="s">
        <v>220</v>
      </c>
      <c r="D49" s="50" t="s">
        <v>98</v>
      </c>
      <c r="E49" s="51" t="s">
        <v>221</v>
      </c>
      <c r="F49" s="52" t="s">
        <v>100</v>
      </c>
      <c r="G49" s="52" t="s">
        <v>222</v>
      </c>
      <c r="H49" s="52" t="s">
        <v>135</v>
      </c>
      <c r="I49" s="52" t="s">
        <v>85</v>
      </c>
      <c r="J49" s="52" t="s">
        <v>84</v>
      </c>
      <c r="K49" s="52" t="s">
        <v>85</v>
      </c>
      <c r="L49" s="52" t="s">
        <v>86</v>
      </c>
      <c r="M49" s="52" t="s">
        <v>85</v>
      </c>
      <c r="N49" s="52" t="s">
        <v>85</v>
      </c>
      <c r="O49" s="52" t="s">
        <v>118</v>
      </c>
      <c r="P49" s="113" t="s">
        <v>86</v>
      </c>
      <c r="Q49" s="113" t="s">
        <v>85</v>
      </c>
    </row>
    <row r="50" spans="1:17" ht="62.25" customHeight="1">
      <c r="A50" s="49" t="s">
        <v>21</v>
      </c>
      <c r="B50" s="49">
        <v>45701</v>
      </c>
      <c r="C50" s="49" t="s">
        <v>106</v>
      </c>
      <c r="D50" s="50" t="s">
        <v>79</v>
      </c>
      <c r="E50" s="51" t="s">
        <v>223</v>
      </c>
      <c r="F50" s="52" t="s">
        <v>153</v>
      </c>
      <c r="G50" s="52" t="s">
        <v>224</v>
      </c>
      <c r="H50" s="52" t="s">
        <v>93</v>
      </c>
      <c r="I50" s="52" t="s">
        <v>84</v>
      </c>
      <c r="J50" s="52" t="s">
        <v>85</v>
      </c>
      <c r="K50" s="52" t="s">
        <v>84</v>
      </c>
      <c r="L50" s="52" t="s">
        <v>225</v>
      </c>
      <c r="M50" s="52" t="s">
        <v>85</v>
      </c>
      <c r="N50" s="52" t="s">
        <v>85</v>
      </c>
      <c r="O50" s="44" t="s">
        <v>87</v>
      </c>
      <c r="P50" s="113" t="s">
        <v>86</v>
      </c>
      <c r="Q50" s="113" t="s">
        <v>85</v>
      </c>
    </row>
    <row r="51" spans="1:17" ht="49.5" customHeight="1">
      <c r="A51" s="49" t="s">
        <v>21</v>
      </c>
      <c r="B51" s="49">
        <v>45703</v>
      </c>
      <c r="C51" s="49" t="s">
        <v>106</v>
      </c>
      <c r="D51" s="50" t="s">
        <v>79</v>
      </c>
      <c r="E51" s="51" t="s">
        <v>226</v>
      </c>
      <c r="F51" s="52" t="s">
        <v>100</v>
      </c>
      <c r="G51" s="52" t="s">
        <v>227</v>
      </c>
      <c r="H51" s="52" t="s">
        <v>135</v>
      </c>
      <c r="I51" s="52" t="s">
        <v>85</v>
      </c>
      <c r="J51" s="52" t="s">
        <v>84</v>
      </c>
      <c r="K51" s="52" t="s">
        <v>85</v>
      </c>
      <c r="L51" s="52" t="s">
        <v>86</v>
      </c>
      <c r="M51" s="52" t="s">
        <v>85</v>
      </c>
      <c r="N51" s="52" t="s">
        <v>85</v>
      </c>
      <c r="O51" s="44" t="s">
        <v>87</v>
      </c>
      <c r="P51" s="113" t="s">
        <v>86</v>
      </c>
      <c r="Q51" s="113" t="s">
        <v>85</v>
      </c>
    </row>
    <row r="52" spans="1:17" ht="87" customHeight="1">
      <c r="A52" s="49" t="s">
        <v>21</v>
      </c>
      <c r="B52" s="49">
        <v>45704</v>
      </c>
      <c r="C52" s="49" t="s">
        <v>78</v>
      </c>
      <c r="D52" s="50" t="s">
        <v>89</v>
      </c>
      <c r="E52" s="51" t="s">
        <v>228</v>
      </c>
      <c r="F52" s="52" t="s">
        <v>96</v>
      </c>
      <c r="G52" s="52" t="s">
        <v>150</v>
      </c>
      <c r="H52" s="52" t="s">
        <v>117</v>
      </c>
      <c r="I52" s="52" t="s">
        <v>85</v>
      </c>
      <c r="J52" s="52" t="s">
        <v>84</v>
      </c>
      <c r="K52" s="52" t="s">
        <v>85</v>
      </c>
      <c r="L52" s="52" t="s">
        <v>86</v>
      </c>
      <c r="M52" s="52" t="s">
        <v>85</v>
      </c>
      <c r="N52" s="52" t="s">
        <v>85</v>
      </c>
      <c r="O52" s="44" t="s">
        <v>87</v>
      </c>
      <c r="P52" s="113" t="s">
        <v>86</v>
      </c>
      <c r="Q52" s="113" t="s">
        <v>85</v>
      </c>
    </row>
    <row r="53" spans="1:17" ht="75" customHeight="1">
      <c r="A53" s="49" t="s">
        <v>21</v>
      </c>
      <c r="B53" s="49">
        <v>45705</v>
      </c>
      <c r="C53" s="49" t="s">
        <v>106</v>
      </c>
      <c r="D53" s="50" t="s">
        <v>136</v>
      </c>
      <c r="E53" s="51" t="s">
        <v>229</v>
      </c>
      <c r="F53" s="52" t="s">
        <v>91</v>
      </c>
      <c r="G53" s="52" t="s">
        <v>230</v>
      </c>
      <c r="H53" s="52" t="s">
        <v>83</v>
      </c>
      <c r="I53" s="52" t="s">
        <v>85</v>
      </c>
      <c r="J53" s="52" t="s">
        <v>85</v>
      </c>
      <c r="K53" s="52" t="s">
        <v>84</v>
      </c>
      <c r="L53" s="52" t="s">
        <v>231</v>
      </c>
      <c r="M53" s="52" t="s">
        <v>85</v>
      </c>
      <c r="N53" s="52" t="s">
        <v>85</v>
      </c>
      <c r="O53" s="44" t="s">
        <v>87</v>
      </c>
      <c r="P53" s="113" t="s">
        <v>86</v>
      </c>
      <c r="Q53" s="113" t="s">
        <v>85</v>
      </c>
    </row>
    <row r="54" spans="1:17" ht="99" customHeight="1">
      <c r="A54" s="49" t="s">
        <v>21</v>
      </c>
      <c r="B54" s="49">
        <v>45706</v>
      </c>
      <c r="C54" s="49" t="s">
        <v>190</v>
      </c>
      <c r="D54" s="50" t="s">
        <v>79</v>
      </c>
      <c r="E54" s="51" t="s">
        <v>232</v>
      </c>
      <c r="F54" s="52" t="s">
        <v>109</v>
      </c>
      <c r="G54" s="52" t="s">
        <v>233</v>
      </c>
      <c r="H54" s="52" t="s">
        <v>126</v>
      </c>
      <c r="I54" s="52" t="s">
        <v>85</v>
      </c>
      <c r="J54" s="52" t="s">
        <v>84</v>
      </c>
      <c r="K54" s="52" t="s">
        <v>85</v>
      </c>
      <c r="L54" s="52" t="s">
        <v>86</v>
      </c>
      <c r="M54" s="52" t="s">
        <v>84</v>
      </c>
      <c r="N54" s="52" t="s">
        <v>85</v>
      </c>
      <c r="O54" s="52" t="s">
        <v>118</v>
      </c>
      <c r="P54" s="44" t="s">
        <v>1498</v>
      </c>
      <c r="Q54" s="113" t="s">
        <v>85</v>
      </c>
    </row>
    <row r="55" spans="1:17" ht="49.5" customHeight="1">
      <c r="A55" s="49" t="s">
        <v>21</v>
      </c>
      <c r="B55" s="49">
        <v>45707</v>
      </c>
      <c r="C55" s="49" t="s">
        <v>190</v>
      </c>
      <c r="D55" s="50" t="s">
        <v>79</v>
      </c>
      <c r="E55" s="51" t="s">
        <v>234</v>
      </c>
      <c r="F55" s="52" t="s">
        <v>109</v>
      </c>
      <c r="G55" s="52" t="s">
        <v>235</v>
      </c>
      <c r="H55" s="52" t="s">
        <v>126</v>
      </c>
      <c r="I55" s="52" t="s">
        <v>85</v>
      </c>
      <c r="J55" s="52" t="s">
        <v>84</v>
      </c>
      <c r="K55" s="52" t="s">
        <v>85</v>
      </c>
      <c r="L55" s="52" t="s">
        <v>86</v>
      </c>
      <c r="M55" s="52" t="s">
        <v>85</v>
      </c>
      <c r="N55" s="52" t="s">
        <v>85</v>
      </c>
      <c r="O55" s="52" t="s">
        <v>118</v>
      </c>
      <c r="P55" s="44" t="s">
        <v>1498</v>
      </c>
      <c r="Q55" s="113" t="s">
        <v>85</v>
      </c>
    </row>
    <row r="56" spans="1:17" ht="87" customHeight="1">
      <c r="A56" s="49" t="s">
        <v>21</v>
      </c>
      <c r="B56" s="49">
        <v>45710</v>
      </c>
      <c r="C56" s="49" t="s">
        <v>106</v>
      </c>
      <c r="D56" s="50" t="s">
        <v>136</v>
      </c>
      <c r="E56" s="51" t="s">
        <v>236</v>
      </c>
      <c r="F56" s="52" t="s">
        <v>100</v>
      </c>
      <c r="G56" s="52" t="s">
        <v>237</v>
      </c>
      <c r="H56" s="52" t="s">
        <v>126</v>
      </c>
      <c r="I56" s="52" t="s">
        <v>85</v>
      </c>
      <c r="J56" s="52" t="s">
        <v>84</v>
      </c>
      <c r="K56" s="52" t="s">
        <v>85</v>
      </c>
      <c r="L56" s="52" t="s">
        <v>86</v>
      </c>
      <c r="M56" s="52" t="s">
        <v>85</v>
      </c>
      <c r="N56" s="52" t="s">
        <v>85</v>
      </c>
      <c r="O56" s="52" t="s">
        <v>87</v>
      </c>
      <c r="P56" s="44" t="s">
        <v>1498</v>
      </c>
      <c r="Q56" s="113" t="s">
        <v>85</v>
      </c>
    </row>
    <row r="57" spans="1:17" ht="37.5" customHeight="1">
      <c r="A57" s="49" t="s">
        <v>21</v>
      </c>
      <c r="B57" s="49">
        <v>45711</v>
      </c>
      <c r="C57" s="49" t="s">
        <v>106</v>
      </c>
      <c r="D57" s="50" t="s">
        <v>136</v>
      </c>
      <c r="E57" s="51" t="s">
        <v>238</v>
      </c>
      <c r="F57" s="52" t="s">
        <v>100</v>
      </c>
      <c r="G57" s="52" t="s">
        <v>239</v>
      </c>
      <c r="H57" s="52" t="s">
        <v>135</v>
      </c>
      <c r="I57" s="52" t="s">
        <v>84</v>
      </c>
      <c r="J57" s="52" t="s">
        <v>84</v>
      </c>
      <c r="K57" s="52" t="s">
        <v>85</v>
      </c>
      <c r="L57" s="52" t="s">
        <v>86</v>
      </c>
      <c r="M57" s="52" t="s">
        <v>85</v>
      </c>
      <c r="N57" s="52" t="s">
        <v>85</v>
      </c>
      <c r="O57" s="52" t="s">
        <v>87</v>
      </c>
      <c r="P57" s="113" t="s">
        <v>86</v>
      </c>
      <c r="Q57" s="113" t="s">
        <v>85</v>
      </c>
    </row>
    <row r="58" spans="1:17" ht="37.5" customHeight="1">
      <c r="A58" s="49" t="s">
        <v>21</v>
      </c>
      <c r="B58" s="49">
        <v>45711</v>
      </c>
      <c r="C58" s="49" t="s">
        <v>106</v>
      </c>
      <c r="D58" s="50" t="s">
        <v>240</v>
      </c>
      <c r="E58" s="51" t="s">
        <v>241</v>
      </c>
      <c r="F58" s="52" t="s">
        <v>153</v>
      </c>
      <c r="G58" s="52" t="s">
        <v>242</v>
      </c>
      <c r="H58" s="52" t="s">
        <v>135</v>
      </c>
      <c r="I58" s="52" t="s">
        <v>84</v>
      </c>
      <c r="J58" s="52" t="s">
        <v>85</v>
      </c>
      <c r="K58" s="52" t="s">
        <v>84</v>
      </c>
      <c r="L58" s="52" t="s">
        <v>243</v>
      </c>
      <c r="M58" s="52" t="s">
        <v>85</v>
      </c>
      <c r="N58" s="52" t="s">
        <v>85</v>
      </c>
      <c r="O58" s="52" t="s">
        <v>87</v>
      </c>
      <c r="P58" s="113" t="s">
        <v>86</v>
      </c>
      <c r="Q58" s="113" t="s">
        <v>85</v>
      </c>
    </row>
    <row r="59" spans="1:17" ht="84" customHeight="1">
      <c r="A59" s="49" t="s">
        <v>21</v>
      </c>
      <c r="B59" s="49">
        <v>45712</v>
      </c>
      <c r="C59" s="49" t="s">
        <v>220</v>
      </c>
      <c r="D59" s="50" t="s">
        <v>89</v>
      </c>
      <c r="E59" s="51" t="s">
        <v>244</v>
      </c>
      <c r="F59" s="52" t="s">
        <v>161</v>
      </c>
      <c r="G59" s="52" t="s">
        <v>245</v>
      </c>
      <c r="H59" s="52" t="s">
        <v>135</v>
      </c>
      <c r="I59" s="52" t="s">
        <v>85</v>
      </c>
      <c r="J59" s="52" t="s">
        <v>84</v>
      </c>
      <c r="K59" s="52" t="s">
        <v>85</v>
      </c>
      <c r="L59" s="52" t="s">
        <v>86</v>
      </c>
      <c r="M59" s="52" t="s">
        <v>85</v>
      </c>
      <c r="N59" s="52" t="s">
        <v>85</v>
      </c>
      <c r="O59" s="52" t="s">
        <v>118</v>
      </c>
      <c r="P59" s="113" t="s">
        <v>86</v>
      </c>
      <c r="Q59" s="113" t="s">
        <v>85</v>
      </c>
    </row>
    <row r="60" spans="1:17" ht="83.25" customHeight="1">
      <c r="A60" s="49" t="s">
        <v>21</v>
      </c>
      <c r="B60" s="49">
        <v>45712</v>
      </c>
      <c r="C60" s="49" t="s">
        <v>106</v>
      </c>
      <c r="D60" s="50" t="s">
        <v>79</v>
      </c>
      <c r="E60" s="51" t="s">
        <v>246</v>
      </c>
      <c r="F60" s="52" t="s">
        <v>100</v>
      </c>
      <c r="G60" s="52" t="s">
        <v>247</v>
      </c>
      <c r="H60" s="52" t="s">
        <v>93</v>
      </c>
      <c r="I60" s="52" t="s">
        <v>85</v>
      </c>
      <c r="J60" s="52" t="s">
        <v>84</v>
      </c>
      <c r="K60" s="52" t="s">
        <v>85</v>
      </c>
      <c r="L60" s="52" t="s">
        <v>86</v>
      </c>
      <c r="M60" s="52" t="s">
        <v>85</v>
      </c>
      <c r="N60" s="52" t="s">
        <v>85</v>
      </c>
      <c r="O60" s="52" t="s">
        <v>87</v>
      </c>
      <c r="P60" s="113" t="s">
        <v>86</v>
      </c>
      <c r="Q60" s="113" t="s">
        <v>85</v>
      </c>
    </row>
    <row r="61" spans="1:17" ht="175.5" customHeight="1">
      <c r="A61" s="49" t="s">
        <v>21</v>
      </c>
      <c r="B61" s="49">
        <v>45712</v>
      </c>
      <c r="C61" s="49" t="s">
        <v>88</v>
      </c>
      <c r="D61" s="50" t="s">
        <v>89</v>
      </c>
      <c r="E61" s="51" t="s">
        <v>248</v>
      </c>
      <c r="F61" s="52" t="s">
        <v>249</v>
      </c>
      <c r="G61" s="52" t="s">
        <v>250</v>
      </c>
      <c r="H61" s="52" t="s">
        <v>251</v>
      </c>
      <c r="I61" s="52" t="s">
        <v>84</v>
      </c>
      <c r="J61" s="52" t="s">
        <v>85</v>
      </c>
      <c r="K61" s="52" t="s">
        <v>84</v>
      </c>
      <c r="L61" s="53" t="s">
        <v>252</v>
      </c>
      <c r="M61" s="52" t="s">
        <v>85</v>
      </c>
      <c r="N61" s="52" t="s">
        <v>85</v>
      </c>
      <c r="O61" s="52" t="s">
        <v>87</v>
      </c>
      <c r="P61" s="113" t="s">
        <v>86</v>
      </c>
      <c r="Q61" s="113" t="s">
        <v>85</v>
      </c>
    </row>
    <row r="62" spans="1:17" ht="37.5" customHeight="1">
      <c r="A62" s="49" t="s">
        <v>21</v>
      </c>
      <c r="B62" s="49">
        <v>45713</v>
      </c>
      <c r="C62" s="49" t="s">
        <v>106</v>
      </c>
      <c r="D62" s="50" t="s">
        <v>83</v>
      </c>
      <c r="E62" s="51" t="s">
        <v>253</v>
      </c>
      <c r="F62" s="52" t="s">
        <v>109</v>
      </c>
      <c r="G62" s="52" t="s">
        <v>254</v>
      </c>
      <c r="H62" s="52" t="s">
        <v>135</v>
      </c>
      <c r="I62" s="52" t="s">
        <v>85</v>
      </c>
      <c r="J62" s="52" t="s">
        <v>84</v>
      </c>
      <c r="K62" s="52" t="s">
        <v>85</v>
      </c>
      <c r="L62" s="52" t="s">
        <v>86</v>
      </c>
      <c r="M62" s="52" t="s">
        <v>85</v>
      </c>
      <c r="N62" s="52" t="s">
        <v>85</v>
      </c>
      <c r="O62" s="52" t="s">
        <v>87</v>
      </c>
      <c r="P62" s="44" t="s">
        <v>1499</v>
      </c>
      <c r="Q62" s="113" t="s">
        <v>85</v>
      </c>
    </row>
    <row r="63" spans="1:17" ht="49.5" customHeight="1">
      <c r="A63" s="49" t="s">
        <v>21</v>
      </c>
      <c r="B63" s="49">
        <v>45713</v>
      </c>
      <c r="C63" s="49" t="s">
        <v>106</v>
      </c>
      <c r="D63" s="50" t="s">
        <v>98</v>
      </c>
      <c r="E63" s="51" t="s">
        <v>256</v>
      </c>
      <c r="F63" s="52" t="s">
        <v>109</v>
      </c>
      <c r="G63" s="52" t="s">
        <v>257</v>
      </c>
      <c r="H63" s="52" t="s">
        <v>126</v>
      </c>
      <c r="I63" s="52" t="s">
        <v>85</v>
      </c>
      <c r="J63" s="52" t="s">
        <v>84</v>
      </c>
      <c r="K63" s="52" t="s">
        <v>85</v>
      </c>
      <c r="L63" s="52" t="s">
        <v>86</v>
      </c>
      <c r="M63" s="52" t="s">
        <v>85</v>
      </c>
      <c r="N63" s="52" t="s">
        <v>85</v>
      </c>
      <c r="O63" s="52" t="s">
        <v>118</v>
      </c>
      <c r="P63" s="44" t="s">
        <v>1497</v>
      </c>
      <c r="Q63" s="113" t="s">
        <v>85</v>
      </c>
    </row>
    <row r="64" spans="1:17" ht="37.5" customHeight="1">
      <c r="A64" s="49" t="s">
        <v>21</v>
      </c>
      <c r="B64" s="49">
        <v>45713</v>
      </c>
      <c r="C64" s="49" t="s">
        <v>78</v>
      </c>
      <c r="D64" s="50" t="s">
        <v>136</v>
      </c>
      <c r="E64" s="51" t="s">
        <v>258</v>
      </c>
      <c r="F64" s="52" t="s">
        <v>109</v>
      </c>
      <c r="G64" s="52" t="s">
        <v>259</v>
      </c>
      <c r="H64" s="52" t="s">
        <v>135</v>
      </c>
      <c r="I64" s="52" t="s">
        <v>85</v>
      </c>
      <c r="J64" s="52" t="s">
        <v>84</v>
      </c>
      <c r="K64" s="52" t="s">
        <v>85</v>
      </c>
      <c r="L64" s="52" t="s">
        <v>86</v>
      </c>
      <c r="M64" s="52" t="s">
        <v>85</v>
      </c>
      <c r="N64" s="52" t="s">
        <v>85</v>
      </c>
      <c r="O64" s="44" t="s">
        <v>87</v>
      </c>
      <c r="P64" s="44" t="s">
        <v>1498</v>
      </c>
      <c r="Q64" s="113" t="s">
        <v>85</v>
      </c>
    </row>
    <row r="65" spans="1:17" ht="37.5" customHeight="1">
      <c r="A65" s="49" t="s">
        <v>22</v>
      </c>
      <c r="B65" s="49">
        <v>45718</v>
      </c>
      <c r="C65" s="49" t="s">
        <v>106</v>
      </c>
      <c r="D65" s="50" t="s">
        <v>98</v>
      </c>
      <c r="E65" s="51" t="s">
        <v>260</v>
      </c>
      <c r="F65" s="52" t="s">
        <v>100</v>
      </c>
      <c r="G65" s="52" t="s">
        <v>233</v>
      </c>
      <c r="H65" s="52" t="s">
        <v>126</v>
      </c>
      <c r="I65" s="52" t="s">
        <v>85</v>
      </c>
      <c r="J65" s="52" t="s">
        <v>84</v>
      </c>
      <c r="K65" s="52" t="s">
        <v>85</v>
      </c>
      <c r="L65" s="52" t="s">
        <v>86</v>
      </c>
      <c r="M65" s="52" t="s">
        <v>85</v>
      </c>
      <c r="N65" s="52" t="s">
        <v>85</v>
      </c>
      <c r="O65" s="52" t="s">
        <v>118</v>
      </c>
      <c r="P65" s="113" t="s">
        <v>86</v>
      </c>
      <c r="Q65" s="113" t="s">
        <v>85</v>
      </c>
    </row>
    <row r="66" spans="1:17" ht="62.25" customHeight="1">
      <c r="A66" s="49" t="s">
        <v>22</v>
      </c>
      <c r="B66" s="49">
        <v>45719</v>
      </c>
      <c r="C66" s="49" t="s">
        <v>78</v>
      </c>
      <c r="D66" s="50" t="s">
        <v>79</v>
      </c>
      <c r="E66" s="51" t="s">
        <v>261</v>
      </c>
      <c r="F66" s="52" t="s">
        <v>100</v>
      </c>
      <c r="G66" s="52" t="s">
        <v>262</v>
      </c>
      <c r="H66" s="52" t="s">
        <v>93</v>
      </c>
      <c r="I66" s="52" t="s">
        <v>84</v>
      </c>
      <c r="J66" s="52" t="s">
        <v>85</v>
      </c>
      <c r="K66" s="52" t="s">
        <v>84</v>
      </c>
      <c r="L66" s="52" t="s">
        <v>263</v>
      </c>
      <c r="M66" s="52" t="s">
        <v>85</v>
      </c>
      <c r="N66" s="52" t="s">
        <v>85</v>
      </c>
      <c r="O66" s="44" t="s">
        <v>87</v>
      </c>
      <c r="P66" s="113" t="s">
        <v>86</v>
      </c>
      <c r="Q66" s="113" t="s">
        <v>85</v>
      </c>
    </row>
    <row r="67" spans="1:17" ht="87" customHeight="1">
      <c r="A67" s="49" t="s">
        <v>22</v>
      </c>
      <c r="B67" s="49">
        <v>45720</v>
      </c>
      <c r="C67" s="49" t="s">
        <v>78</v>
      </c>
      <c r="D67" s="50" t="s">
        <v>89</v>
      </c>
      <c r="E67" s="51" t="s">
        <v>264</v>
      </c>
      <c r="F67" s="52" t="s">
        <v>96</v>
      </c>
      <c r="G67" s="52" t="s">
        <v>265</v>
      </c>
      <c r="H67" s="52" t="s">
        <v>135</v>
      </c>
      <c r="I67" s="52" t="s">
        <v>85</v>
      </c>
      <c r="J67" s="52" t="s">
        <v>84</v>
      </c>
      <c r="K67" s="52" t="s">
        <v>85</v>
      </c>
      <c r="L67" s="52" t="s">
        <v>86</v>
      </c>
      <c r="M67" s="52" t="s">
        <v>85</v>
      </c>
      <c r="N67" s="52" t="s">
        <v>85</v>
      </c>
      <c r="O67" s="44" t="s">
        <v>87</v>
      </c>
      <c r="P67" s="113" t="s">
        <v>86</v>
      </c>
      <c r="Q67" s="113" t="s">
        <v>85</v>
      </c>
    </row>
    <row r="68" spans="1:17" ht="75" customHeight="1">
      <c r="A68" s="49" t="s">
        <v>22</v>
      </c>
      <c r="B68" s="49">
        <v>45721</v>
      </c>
      <c r="C68" s="49" t="s">
        <v>88</v>
      </c>
      <c r="D68" s="50" t="s">
        <v>89</v>
      </c>
      <c r="E68" s="51" t="s">
        <v>266</v>
      </c>
      <c r="F68" s="52" t="s">
        <v>133</v>
      </c>
      <c r="G68" s="54" t="s">
        <v>267</v>
      </c>
      <c r="H68" s="52" t="s">
        <v>93</v>
      </c>
      <c r="I68" s="52" t="s">
        <v>84</v>
      </c>
      <c r="J68" s="52" t="s">
        <v>85</v>
      </c>
      <c r="K68" s="52" t="s">
        <v>84</v>
      </c>
      <c r="L68" s="52" t="s">
        <v>263</v>
      </c>
      <c r="M68" s="52" t="s">
        <v>85</v>
      </c>
      <c r="N68" s="52" t="s">
        <v>85</v>
      </c>
      <c r="O68" s="44" t="s">
        <v>87</v>
      </c>
      <c r="P68" s="113" t="s">
        <v>86</v>
      </c>
      <c r="Q68" s="113" t="s">
        <v>85</v>
      </c>
    </row>
    <row r="69" spans="1:17" ht="62.25" customHeight="1">
      <c r="A69" s="49" t="s">
        <v>22</v>
      </c>
      <c r="B69" s="49">
        <v>45722</v>
      </c>
      <c r="C69" s="49" t="s">
        <v>106</v>
      </c>
      <c r="D69" s="50" t="s">
        <v>79</v>
      </c>
      <c r="E69" s="51" t="s">
        <v>268</v>
      </c>
      <c r="F69" s="52" t="s">
        <v>81</v>
      </c>
      <c r="G69" s="52" t="s">
        <v>269</v>
      </c>
      <c r="H69" s="52" t="s">
        <v>135</v>
      </c>
      <c r="I69" s="52" t="s">
        <v>85</v>
      </c>
      <c r="J69" s="52" t="s">
        <v>84</v>
      </c>
      <c r="K69" s="52" t="s">
        <v>85</v>
      </c>
      <c r="L69" s="52" t="s">
        <v>86</v>
      </c>
      <c r="M69" s="52" t="s">
        <v>85</v>
      </c>
      <c r="N69" s="52" t="s">
        <v>85</v>
      </c>
      <c r="O69" s="44" t="s">
        <v>87</v>
      </c>
      <c r="P69" s="44" t="s">
        <v>1498</v>
      </c>
      <c r="Q69" s="113" t="s">
        <v>85</v>
      </c>
    </row>
    <row r="70" spans="1:17" ht="75" customHeight="1">
      <c r="A70" s="49" t="s">
        <v>22</v>
      </c>
      <c r="B70" s="49">
        <v>45722</v>
      </c>
      <c r="C70" s="49" t="s">
        <v>106</v>
      </c>
      <c r="D70" s="50" t="s">
        <v>79</v>
      </c>
      <c r="E70" s="51" t="s">
        <v>270</v>
      </c>
      <c r="F70" s="52" t="s">
        <v>153</v>
      </c>
      <c r="G70" s="52" t="s">
        <v>262</v>
      </c>
      <c r="H70" s="52" t="s">
        <v>93</v>
      </c>
      <c r="I70" s="52" t="s">
        <v>85</v>
      </c>
      <c r="J70" s="52" t="s">
        <v>85</v>
      </c>
      <c r="K70" s="52" t="s">
        <v>84</v>
      </c>
      <c r="L70" s="52" t="s">
        <v>143</v>
      </c>
      <c r="M70" s="52" t="s">
        <v>85</v>
      </c>
      <c r="N70" s="52" t="s">
        <v>85</v>
      </c>
      <c r="O70" s="44" t="s">
        <v>87</v>
      </c>
      <c r="P70" s="113" t="s">
        <v>86</v>
      </c>
      <c r="Q70" s="113" t="s">
        <v>85</v>
      </c>
    </row>
    <row r="71" spans="1:17" ht="62.25" customHeight="1">
      <c r="A71" s="49" t="s">
        <v>22</v>
      </c>
      <c r="B71" s="49">
        <v>45722</v>
      </c>
      <c r="C71" s="49" t="s">
        <v>78</v>
      </c>
      <c r="D71" s="50" t="s">
        <v>89</v>
      </c>
      <c r="E71" s="51" t="s">
        <v>271</v>
      </c>
      <c r="F71" s="52" t="s">
        <v>133</v>
      </c>
      <c r="G71" s="52" t="s">
        <v>272</v>
      </c>
      <c r="H71" s="52" t="s">
        <v>135</v>
      </c>
      <c r="I71" s="52" t="s">
        <v>84</v>
      </c>
      <c r="J71" s="52" t="s">
        <v>84</v>
      </c>
      <c r="K71" s="52" t="s">
        <v>85</v>
      </c>
      <c r="L71" s="52" t="s">
        <v>86</v>
      </c>
      <c r="M71" s="52" t="s">
        <v>85</v>
      </c>
      <c r="N71" s="52" t="s">
        <v>85</v>
      </c>
      <c r="O71" s="44" t="s">
        <v>87</v>
      </c>
      <c r="P71" s="113" t="s">
        <v>86</v>
      </c>
      <c r="Q71" s="113" t="s">
        <v>85</v>
      </c>
    </row>
    <row r="72" spans="1:17" ht="75" customHeight="1">
      <c r="A72" s="49" t="s">
        <v>22</v>
      </c>
      <c r="B72" s="49">
        <v>45723</v>
      </c>
      <c r="C72" s="49" t="s">
        <v>106</v>
      </c>
      <c r="D72" s="50" t="s">
        <v>83</v>
      </c>
      <c r="E72" s="51" t="s">
        <v>273</v>
      </c>
      <c r="F72" s="52" t="s">
        <v>96</v>
      </c>
      <c r="G72" s="52" t="s">
        <v>274</v>
      </c>
      <c r="H72" s="52" t="s">
        <v>135</v>
      </c>
      <c r="I72" s="52" t="s">
        <v>85</v>
      </c>
      <c r="J72" s="52" t="s">
        <v>84</v>
      </c>
      <c r="K72" s="52" t="s">
        <v>85</v>
      </c>
      <c r="L72" s="52" t="s">
        <v>86</v>
      </c>
      <c r="M72" s="52" t="s">
        <v>85</v>
      </c>
      <c r="N72" s="52" t="s">
        <v>85</v>
      </c>
      <c r="O72" s="44" t="s">
        <v>87</v>
      </c>
      <c r="P72" s="113" t="s">
        <v>86</v>
      </c>
      <c r="Q72" s="113" t="s">
        <v>85</v>
      </c>
    </row>
    <row r="73" spans="1:17" ht="62.25" customHeight="1">
      <c r="A73" s="49" t="s">
        <v>22</v>
      </c>
      <c r="B73" s="49">
        <v>45723</v>
      </c>
      <c r="C73" s="49" t="s">
        <v>106</v>
      </c>
      <c r="D73" s="50" t="s">
        <v>136</v>
      </c>
      <c r="E73" s="51" t="s">
        <v>275</v>
      </c>
      <c r="F73" s="52" t="s">
        <v>96</v>
      </c>
      <c r="G73" s="52" t="s">
        <v>276</v>
      </c>
      <c r="H73" s="52" t="s">
        <v>102</v>
      </c>
      <c r="I73" s="52" t="s">
        <v>85</v>
      </c>
      <c r="J73" s="52" t="s">
        <v>84</v>
      </c>
      <c r="K73" s="52" t="s">
        <v>85</v>
      </c>
      <c r="L73" s="52" t="s">
        <v>86</v>
      </c>
      <c r="M73" s="52" t="s">
        <v>85</v>
      </c>
      <c r="N73" s="52" t="s">
        <v>85</v>
      </c>
      <c r="O73" s="44" t="s">
        <v>87</v>
      </c>
      <c r="P73" s="113" t="s">
        <v>86</v>
      </c>
      <c r="Q73" s="113" t="s">
        <v>85</v>
      </c>
    </row>
    <row r="74" spans="1:17" ht="87" customHeight="1">
      <c r="A74" s="49" t="s">
        <v>22</v>
      </c>
      <c r="B74" s="49">
        <v>45724</v>
      </c>
      <c r="C74" s="49" t="s">
        <v>106</v>
      </c>
      <c r="D74" s="50" t="s">
        <v>79</v>
      </c>
      <c r="E74" s="51" t="s">
        <v>277</v>
      </c>
      <c r="F74" s="52" t="s">
        <v>133</v>
      </c>
      <c r="G74" s="52" t="s">
        <v>262</v>
      </c>
      <c r="H74" s="52" t="s">
        <v>93</v>
      </c>
      <c r="I74" s="52" t="s">
        <v>84</v>
      </c>
      <c r="J74" s="52" t="s">
        <v>85</v>
      </c>
      <c r="K74" s="52" t="s">
        <v>84</v>
      </c>
      <c r="L74" s="52" t="s">
        <v>143</v>
      </c>
      <c r="M74" s="52" t="s">
        <v>85</v>
      </c>
      <c r="N74" s="52" t="s">
        <v>85</v>
      </c>
      <c r="O74" s="44" t="s">
        <v>87</v>
      </c>
      <c r="P74" s="113" t="s">
        <v>86</v>
      </c>
      <c r="Q74" s="113" t="s">
        <v>85</v>
      </c>
    </row>
    <row r="75" spans="1:17" ht="62.25" customHeight="1">
      <c r="A75" s="49" t="s">
        <v>22</v>
      </c>
      <c r="B75" s="49">
        <v>45724</v>
      </c>
      <c r="C75" s="49" t="s">
        <v>106</v>
      </c>
      <c r="D75" s="50" t="s">
        <v>98</v>
      </c>
      <c r="E75" s="51" t="s">
        <v>278</v>
      </c>
      <c r="F75" s="52" t="s">
        <v>133</v>
      </c>
      <c r="G75" s="52" t="s">
        <v>279</v>
      </c>
      <c r="H75" s="52" t="s">
        <v>93</v>
      </c>
      <c r="I75" s="52" t="s">
        <v>85</v>
      </c>
      <c r="J75" s="52" t="s">
        <v>85</v>
      </c>
      <c r="K75" s="52" t="s">
        <v>84</v>
      </c>
      <c r="L75" s="52" t="s">
        <v>280</v>
      </c>
      <c r="M75" s="52" t="s">
        <v>85</v>
      </c>
      <c r="N75" s="52" t="s">
        <v>85</v>
      </c>
      <c r="O75" s="44" t="s">
        <v>87</v>
      </c>
      <c r="P75" s="113" t="s">
        <v>86</v>
      </c>
      <c r="Q75" s="113" t="s">
        <v>85</v>
      </c>
    </row>
    <row r="76" spans="1:17" ht="62.25" customHeight="1">
      <c r="A76" s="49" t="s">
        <v>22</v>
      </c>
      <c r="B76" s="49">
        <v>45725</v>
      </c>
      <c r="C76" s="49" t="s">
        <v>220</v>
      </c>
      <c r="D76" s="50" t="s">
        <v>79</v>
      </c>
      <c r="E76" s="51" t="s">
        <v>281</v>
      </c>
      <c r="F76" s="52" t="s">
        <v>100</v>
      </c>
      <c r="G76" s="52" t="s">
        <v>282</v>
      </c>
      <c r="H76" s="52" t="s">
        <v>135</v>
      </c>
      <c r="I76" s="52" t="s">
        <v>84</v>
      </c>
      <c r="J76" s="52" t="s">
        <v>85</v>
      </c>
      <c r="K76" s="52" t="s">
        <v>84</v>
      </c>
      <c r="L76" s="52" t="s">
        <v>263</v>
      </c>
      <c r="M76" s="52" t="s">
        <v>85</v>
      </c>
      <c r="N76" s="52" t="s">
        <v>85</v>
      </c>
      <c r="O76" s="52" t="s">
        <v>118</v>
      </c>
      <c r="P76" s="113" t="s">
        <v>86</v>
      </c>
      <c r="Q76" s="113" t="s">
        <v>85</v>
      </c>
    </row>
    <row r="77" spans="1:17" ht="62.25" customHeight="1">
      <c r="A77" s="49" t="s">
        <v>22</v>
      </c>
      <c r="B77" s="49">
        <v>45725</v>
      </c>
      <c r="C77" s="49" t="s">
        <v>190</v>
      </c>
      <c r="D77" s="50" t="s">
        <v>79</v>
      </c>
      <c r="E77" s="51" t="s">
        <v>283</v>
      </c>
      <c r="F77" s="52" t="s">
        <v>100</v>
      </c>
      <c r="G77" s="52" t="s">
        <v>284</v>
      </c>
      <c r="H77" s="52" t="s">
        <v>83</v>
      </c>
      <c r="I77" s="52" t="s">
        <v>85</v>
      </c>
      <c r="J77" s="52" t="s">
        <v>84</v>
      </c>
      <c r="K77" s="52" t="s">
        <v>85</v>
      </c>
      <c r="L77" s="52" t="s">
        <v>86</v>
      </c>
      <c r="M77" s="52" t="s">
        <v>85</v>
      </c>
      <c r="N77" s="52" t="s">
        <v>85</v>
      </c>
      <c r="O77" s="52" t="s">
        <v>118</v>
      </c>
      <c r="P77" s="44" t="s">
        <v>1497</v>
      </c>
      <c r="Q77" s="113" t="s">
        <v>85</v>
      </c>
    </row>
    <row r="78" spans="1:17" ht="49.5" customHeight="1">
      <c r="A78" s="49" t="s">
        <v>22</v>
      </c>
      <c r="B78" s="49">
        <v>45726</v>
      </c>
      <c r="C78" s="49" t="s">
        <v>106</v>
      </c>
      <c r="D78" s="50" t="s">
        <v>240</v>
      </c>
      <c r="E78" s="51" t="s">
        <v>285</v>
      </c>
      <c r="F78" s="52" t="s">
        <v>100</v>
      </c>
      <c r="G78" s="52" t="s">
        <v>279</v>
      </c>
      <c r="H78" s="52" t="s">
        <v>93</v>
      </c>
      <c r="I78" s="52" t="s">
        <v>85</v>
      </c>
      <c r="J78" s="52" t="s">
        <v>84</v>
      </c>
      <c r="K78" s="52" t="s">
        <v>85</v>
      </c>
      <c r="L78" s="52" t="s">
        <v>86</v>
      </c>
      <c r="M78" s="52" t="s">
        <v>85</v>
      </c>
      <c r="N78" s="52" t="s">
        <v>85</v>
      </c>
      <c r="O78" s="44" t="s">
        <v>87</v>
      </c>
      <c r="P78" s="113" t="s">
        <v>86</v>
      </c>
      <c r="Q78" s="113" t="s">
        <v>85</v>
      </c>
    </row>
    <row r="79" spans="1:17" ht="49.5" customHeight="1">
      <c r="A79" s="49" t="s">
        <v>22</v>
      </c>
      <c r="B79" s="49">
        <v>45727</v>
      </c>
      <c r="C79" s="49" t="s">
        <v>106</v>
      </c>
      <c r="D79" s="50" t="s">
        <v>79</v>
      </c>
      <c r="E79" s="51" t="s">
        <v>286</v>
      </c>
      <c r="F79" s="52" t="s">
        <v>91</v>
      </c>
      <c r="G79" s="52" t="s">
        <v>97</v>
      </c>
      <c r="H79" s="52" t="s">
        <v>93</v>
      </c>
      <c r="I79" s="52" t="s">
        <v>85</v>
      </c>
      <c r="J79" s="52" t="s">
        <v>85</v>
      </c>
      <c r="K79" s="52" t="s">
        <v>84</v>
      </c>
      <c r="L79" s="52" t="s">
        <v>143</v>
      </c>
      <c r="M79" s="52" t="s">
        <v>85</v>
      </c>
      <c r="N79" s="52" t="s">
        <v>85</v>
      </c>
      <c r="O79" s="44" t="s">
        <v>87</v>
      </c>
      <c r="P79" s="113" t="s">
        <v>86</v>
      </c>
      <c r="Q79" s="113" t="s">
        <v>85</v>
      </c>
    </row>
    <row r="80" spans="1:17" ht="62.25" customHeight="1">
      <c r="A80" s="49" t="s">
        <v>22</v>
      </c>
      <c r="B80" s="49">
        <v>45728</v>
      </c>
      <c r="C80" s="49" t="s">
        <v>106</v>
      </c>
      <c r="D80" s="50" t="s">
        <v>83</v>
      </c>
      <c r="E80" s="51" t="s">
        <v>287</v>
      </c>
      <c r="F80" s="52" t="s">
        <v>133</v>
      </c>
      <c r="G80" s="52" t="s">
        <v>288</v>
      </c>
      <c r="H80" s="52" t="s">
        <v>83</v>
      </c>
      <c r="I80" s="52" t="s">
        <v>84</v>
      </c>
      <c r="J80" s="52" t="s">
        <v>84</v>
      </c>
      <c r="K80" s="52" t="s">
        <v>85</v>
      </c>
      <c r="L80" s="52" t="s">
        <v>86</v>
      </c>
      <c r="M80" s="52" t="s">
        <v>85</v>
      </c>
      <c r="N80" s="52" t="s">
        <v>85</v>
      </c>
      <c r="O80" s="44" t="s">
        <v>87</v>
      </c>
      <c r="P80" s="113" t="s">
        <v>86</v>
      </c>
      <c r="Q80" s="113" t="s">
        <v>85</v>
      </c>
    </row>
    <row r="81" spans="1:17" ht="75" customHeight="1">
      <c r="A81" s="49" t="s">
        <v>22</v>
      </c>
      <c r="B81" s="49">
        <v>45728</v>
      </c>
      <c r="C81" s="49" t="s">
        <v>78</v>
      </c>
      <c r="D81" s="50" t="s">
        <v>136</v>
      </c>
      <c r="E81" s="51" t="s">
        <v>289</v>
      </c>
      <c r="F81" s="52" t="s">
        <v>100</v>
      </c>
      <c r="G81" s="52" t="s">
        <v>290</v>
      </c>
      <c r="H81" s="52" t="s">
        <v>126</v>
      </c>
      <c r="I81" s="52" t="s">
        <v>85</v>
      </c>
      <c r="J81" s="52" t="s">
        <v>84</v>
      </c>
      <c r="K81" s="52" t="s">
        <v>85</v>
      </c>
      <c r="L81" s="52" t="s">
        <v>86</v>
      </c>
      <c r="M81" s="52" t="s">
        <v>85</v>
      </c>
      <c r="N81" s="52" t="s">
        <v>85</v>
      </c>
      <c r="O81" s="44" t="s">
        <v>87</v>
      </c>
      <c r="P81" s="113" t="s">
        <v>86</v>
      </c>
      <c r="Q81" s="113" t="s">
        <v>85</v>
      </c>
    </row>
    <row r="82" spans="1:17" ht="37.5" customHeight="1">
      <c r="A82" s="49" t="s">
        <v>22</v>
      </c>
      <c r="B82" s="49">
        <v>45730</v>
      </c>
      <c r="C82" s="49" t="s">
        <v>88</v>
      </c>
      <c r="D82" s="50" t="s">
        <v>98</v>
      </c>
      <c r="E82" s="51" t="s">
        <v>291</v>
      </c>
      <c r="F82" s="52" t="s">
        <v>100</v>
      </c>
      <c r="G82" s="54" t="s">
        <v>292</v>
      </c>
      <c r="H82" s="52" t="s">
        <v>102</v>
      </c>
      <c r="I82" s="52" t="s">
        <v>85</v>
      </c>
      <c r="J82" s="52" t="s">
        <v>84</v>
      </c>
      <c r="K82" s="52" t="s">
        <v>85</v>
      </c>
      <c r="L82" s="52" t="s">
        <v>86</v>
      </c>
      <c r="M82" s="52" t="s">
        <v>85</v>
      </c>
      <c r="N82" s="52" t="s">
        <v>85</v>
      </c>
      <c r="O82" s="44" t="s">
        <v>87</v>
      </c>
      <c r="P82" s="113" t="s">
        <v>86</v>
      </c>
      <c r="Q82" s="113" t="s">
        <v>85</v>
      </c>
    </row>
    <row r="83" spans="1:17" ht="37.5" customHeight="1">
      <c r="A83" s="49" t="s">
        <v>22</v>
      </c>
      <c r="B83" s="49">
        <v>45730</v>
      </c>
      <c r="C83" s="49" t="s">
        <v>78</v>
      </c>
      <c r="D83" s="50" t="s">
        <v>98</v>
      </c>
      <c r="E83" s="51" t="s">
        <v>293</v>
      </c>
      <c r="F83" s="52" t="s">
        <v>161</v>
      </c>
      <c r="G83" s="54" t="s">
        <v>294</v>
      </c>
      <c r="H83" s="52" t="s">
        <v>102</v>
      </c>
      <c r="I83" s="52" t="s">
        <v>85</v>
      </c>
      <c r="J83" s="52" t="s">
        <v>84</v>
      </c>
      <c r="K83" s="52" t="s">
        <v>85</v>
      </c>
      <c r="L83" s="52" t="s">
        <v>86</v>
      </c>
      <c r="M83" s="52" t="s">
        <v>85</v>
      </c>
      <c r="N83" s="52" t="s">
        <v>85</v>
      </c>
      <c r="O83" s="44" t="s">
        <v>87</v>
      </c>
      <c r="P83" s="113" t="s">
        <v>86</v>
      </c>
      <c r="Q83" s="113" t="s">
        <v>85</v>
      </c>
    </row>
    <row r="84" spans="1:17" ht="37.5" customHeight="1">
      <c r="A84" s="49" t="s">
        <v>22</v>
      </c>
      <c r="B84" s="49">
        <v>45730</v>
      </c>
      <c r="C84" s="49" t="s">
        <v>190</v>
      </c>
      <c r="D84" s="50" t="s">
        <v>79</v>
      </c>
      <c r="E84" s="51" t="s">
        <v>295</v>
      </c>
      <c r="F84" s="52" t="s">
        <v>100</v>
      </c>
      <c r="G84" s="54" t="s">
        <v>296</v>
      </c>
      <c r="H84" s="52" t="s">
        <v>135</v>
      </c>
      <c r="I84" s="52" t="s">
        <v>85</v>
      </c>
      <c r="J84" s="52" t="s">
        <v>84</v>
      </c>
      <c r="K84" s="52" t="s">
        <v>85</v>
      </c>
      <c r="L84" s="52" t="s">
        <v>86</v>
      </c>
      <c r="M84" s="52" t="s">
        <v>85</v>
      </c>
      <c r="N84" s="52" t="s">
        <v>85</v>
      </c>
      <c r="O84" s="52" t="s">
        <v>118</v>
      </c>
      <c r="P84" s="44" t="s">
        <v>1497</v>
      </c>
      <c r="Q84" s="113" t="s">
        <v>85</v>
      </c>
    </row>
    <row r="85" spans="1:17" ht="49.5" customHeight="1">
      <c r="A85" s="49" t="s">
        <v>22</v>
      </c>
      <c r="B85" s="49">
        <v>45731</v>
      </c>
      <c r="C85" s="49" t="s">
        <v>106</v>
      </c>
      <c r="D85" s="50" t="s">
        <v>136</v>
      </c>
      <c r="E85" s="51" t="s">
        <v>297</v>
      </c>
      <c r="F85" s="52" t="s">
        <v>109</v>
      </c>
      <c r="G85" s="52" t="s">
        <v>83</v>
      </c>
      <c r="H85" s="52" t="s">
        <v>83</v>
      </c>
      <c r="I85" s="52" t="s">
        <v>85</v>
      </c>
      <c r="J85" s="52" t="s">
        <v>84</v>
      </c>
      <c r="K85" s="52" t="s">
        <v>85</v>
      </c>
      <c r="L85" s="52" t="s">
        <v>86</v>
      </c>
      <c r="M85" s="52" t="s">
        <v>85</v>
      </c>
      <c r="N85" s="52" t="s">
        <v>85</v>
      </c>
      <c r="O85" s="44" t="s">
        <v>87</v>
      </c>
      <c r="P85" s="44" t="s">
        <v>1498</v>
      </c>
      <c r="Q85" s="113" t="s">
        <v>85</v>
      </c>
    </row>
    <row r="86" spans="1:17" ht="75" customHeight="1">
      <c r="A86" s="49" t="s">
        <v>22</v>
      </c>
      <c r="B86" s="49">
        <v>45733</v>
      </c>
      <c r="C86" s="49" t="s">
        <v>106</v>
      </c>
      <c r="D86" s="50" t="s">
        <v>98</v>
      </c>
      <c r="E86" s="51" t="s">
        <v>298</v>
      </c>
      <c r="F86" s="52" t="s">
        <v>83</v>
      </c>
      <c r="G86" s="52" t="s">
        <v>299</v>
      </c>
      <c r="H86" s="52" t="s">
        <v>135</v>
      </c>
      <c r="I86" s="52" t="s">
        <v>85</v>
      </c>
      <c r="J86" s="52" t="s">
        <v>84</v>
      </c>
      <c r="K86" s="52" t="s">
        <v>85</v>
      </c>
      <c r="L86" s="52" t="s">
        <v>86</v>
      </c>
      <c r="M86" s="52" t="s">
        <v>85</v>
      </c>
      <c r="N86" s="52" t="s">
        <v>85</v>
      </c>
      <c r="O86" s="52" t="s">
        <v>118</v>
      </c>
      <c r="P86" s="113" t="s">
        <v>86</v>
      </c>
      <c r="Q86" s="113" t="s">
        <v>85</v>
      </c>
    </row>
    <row r="87" spans="1:17" ht="37.5" customHeight="1">
      <c r="A87" s="49" t="s">
        <v>22</v>
      </c>
      <c r="B87" s="49">
        <v>45733</v>
      </c>
      <c r="C87" s="49" t="s">
        <v>123</v>
      </c>
      <c r="D87" s="50" t="s">
        <v>89</v>
      </c>
      <c r="E87" s="51" t="s">
        <v>300</v>
      </c>
      <c r="F87" s="52" t="s">
        <v>153</v>
      </c>
      <c r="G87" s="52" t="s">
        <v>279</v>
      </c>
      <c r="H87" s="52" t="s">
        <v>93</v>
      </c>
      <c r="I87" s="52" t="s">
        <v>84</v>
      </c>
      <c r="J87" s="52" t="s">
        <v>84</v>
      </c>
      <c r="K87" s="52" t="s">
        <v>85</v>
      </c>
      <c r="L87" s="52" t="s">
        <v>86</v>
      </c>
      <c r="M87" s="52" t="s">
        <v>85</v>
      </c>
      <c r="N87" s="52" t="s">
        <v>85</v>
      </c>
      <c r="O87" s="52" t="s">
        <v>118</v>
      </c>
      <c r="P87" s="113" t="s">
        <v>86</v>
      </c>
      <c r="Q87" s="113" t="s">
        <v>85</v>
      </c>
    </row>
    <row r="88" spans="1:17" ht="42.75" customHeight="1">
      <c r="A88" s="49" t="s">
        <v>22</v>
      </c>
      <c r="B88" s="49">
        <v>45735</v>
      </c>
      <c r="C88" s="49" t="s">
        <v>220</v>
      </c>
      <c r="D88" s="50" t="s">
        <v>240</v>
      </c>
      <c r="E88" s="51" t="s">
        <v>301</v>
      </c>
      <c r="F88" s="52" t="s">
        <v>109</v>
      </c>
      <c r="G88" s="52" t="s">
        <v>302</v>
      </c>
      <c r="H88" s="52" t="s">
        <v>175</v>
      </c>
      <c r="I88" s="52" t="s">
        <v>85</v>
      </c>
      <c r="J88" s="52" t="s">
        <v>84</v>
      </c>
      <c r="K88" s="52" t="s">
        <v>85</v>
      </c>
      <c r="L88" s="52" t="s">
        <v>86</v>
      </c>
      <c r="M88" s="52" t="s">
        <v>85</v>
      </c>
      <c r="N88" s="52" t="s">
        <v>85</v>
      </c>
      <c r="O88" s="52" t="s">
        <v>118</v>
      </c>
      <c r="P88" s="44" t="s">
        <v>1500</v>
      </c>
      <c r="Q88" s="113" t="s">
        <v>85</v>
      </c>
    </row>
    <row r="89" spans="1:17" ht="62.25" customHeight="1">
      <c r="A89" s="49" t="s">
        <v>22</v>
      </c>
      <c r="B89" s="49">
        <v>45735</v>
      </c>
      <c r="C89" s="49" t="s">
        <v>88</v>
      </c>
      <c r="D89" s="50" t="s">
        <v>89</v>
      </c>
      <c r="E89" s="51" t="s">
        <v>304</v>
      </c>
      <c r="F89" s="52" t="s">
        <v>96</v>
      </c>
      <c r="G89" s="52" t="s">
        <v>116</v>
      </c>
      <c r="H89" s="52" t="s">
        <v>117</v>
      </c>
      <c r="I89" s="52" t="s">
        <v>85</v>
      </c>
      <c r="J89" s="52" t="s">
        <v>84</v>
      </c>
      <c r="K89" s="52" t="s">
        <v>85</v>
      </c>
      <c r="L89" s="52" t="s">
        <v>86</v>
      </c>
      <c r="M89" s="52" t="s">
        <v>85</v>
      </c>
      <c r="N89" s="52" t="s">
        <v>85</v>
      </c>
      <c r="O89" s="52" t="s">
        <v>118</v>
      </c>
      <c r="P89" s="44" t="s">
        <v>1502</v>
      </c>
      <c r="Q89" s="113" t="s">
        <v>85</v>
      </c>
    </row>
    <row r="90" spans="1:17" ht="62.25" customHeight="1">
      <c r="A90" s="49" t="s">
        <v>22</v>
      </c>
      <c r="B90" s="49">
        <v>45736</v>
      </c>
      <c r="C90" s="49" t="s">
        <v>106</v>
      </c>
      <c r="D90" s="50" t="s">
        <v>83</v>
      </c>
      <c r="E90" s="51" t="s">
        <v>306</v>
      </c>
      <c r="F90" s="52" t="s">
        <v>91</v>
      </c>
      <c r="G90" s="52" t="s">
        <v>150</v>
      </c>
      <c r="H90" s="52" t="s">
        <v>117</v>
      </c>
      <c r="I90" s="52" t="s">
        <v>85</v>
      </c>
      <c r="J90" s="52" t="s">
        <v>84</v>
      </c>
      <c r="K90" s="52" t="s">
        <v>85</v>
      </c>
      <c r="L90" s="52" t="s">
        <v>86</v>
      </c>
      <c r="M90" s="52" t="s">
        <v>85</v>
      </c>
      <c r="N90" s="52" t="s">
        <v>85</v>
      </c>
      <c r="O90" s="44" t="s">
        <v>87</v>
      </c>
      <c r="P90" s="44" t="s">
        <v>86</v>
      </c>
      <c r="Q90" s="113" t="s">
        <v>85</v>
      </c>
    </row>
    <row r="91" spans="1:17" ht="62.25" customHeight="1">
      <c r="A91" s="49" t="s">
        <v>22</v>
      </c>
      <c r="B91" s="49">
        <v>45737</v>
      </c>
      <c r="C91" s="49" t="s">
        <v>106</v>
      </c>
      <c r="D91" s="50" t="s">
        <v>136</v>
      </c>
      <c r="E91" s="51" t="s">
        <v>307</v>
      </c>
      <c r="F91" s="52" t="s">
        <v>133</v>
      </c>
      <c r="G91" s="54" t="s">
        <v>308</v>
      </c>
      <c r="H91" s="52" t="s">
        <v>93</v>
      </c>
      <c r="I91" s="52" t="s">
        <v>84</v>
      </c>
      <c r="J91" s="52" t="s">
        <v>85</v>
      </c>
      <c r="K91" s="52" t="s">
        <v>84</v>
      </c>
      <c r="L91" s="52" t="s">
        <v>309</v>
      </c>
      <c r="M91" s="52" t="s">
        <v>85</v>
      </c>
      <c r="N91" s="52" t="s">
        <v>85</v>
      </c>
      <c r="O91" s="52" t="s">
        <v>118</v>
      </c>
      <c r="P91" s="44" t="s">
        <v>86</v>
      </c>
      <c r="Q91" s="113" t="s">
        <v>85</v>
      </c>
    </row>
    <row r="92" spans="1:17" ht="49.5" customHeight="1">
      <c r="A92" s="49" t="s">
        <v>22</v>
      </c>
      <c r="B92" s="49">
        <v>45737</v>
      </c>
      <c r="C92" s="49" t="s">
        <v>88</v>
      </c>
      <c r="D92" s="50" t="s">
        <v>89</v>
      </c>
      <c r="E92" s="51" t="s">
        <v>310</v>
      </c>
      <c r="F92" s="52" t="s">
        <v>133</v>
      </c>
      <c r="G92" s="54" t="s">
        <v>311</v>
      </c>
      <c r="H92" s="52" t="s">
        <v>135</v>
      </c>
      <c r="I92" s="52" t="s">
        <v>84</v>
      </c>
      <c r="J92" s="52" t="s">
        <v>84</v>
      </c>
      <c r="K92" s="52" t="s">
        <v>85</v>
      </c>
      <c r="L92" s="52" t="s">
        <v>86</v>
      </c>
      <c r="M92" s="52" t="s">
        <v>85</v>
      </c>
      <c r="N92" s="52" t="s">
        <v>85</v>
      </c>
      <c r="O92" s="44" t="s">
        <v>87</v>
      </c>
      <c r="P92" s="44" t="s">
        <v>86</v>
      </c>
      <c r="Q92" s="113" t="s">
        <v>85</v>
      </c>
    </row>
    <row r="93" spans="1:17" ht="62.25" customHeight="1">
      <c r="A93" s="49" t="s">
        <v>22</v>
      </c>
      <c r="B93" s="49">
        <v>45738</v>
      </c>
      <c r="C93" s="49" t="s">
        <v>106</v>
      </c>
      <c r="D93" s="50" t="s">
        <v>98</v>
      </c>
      <c r="E93" s="51" t="s">
        <v>312</v>
      </c>
      <c r="F93" s="52" t="s">
        <v>81</v>
      </c>
      <c r="G93" s="54" t="s">
        <v>313</v>
      </c>
      <c r="H93" s="52" t="s">
        <v>126</v>
      </c>
      <c r="I93" s="52" t="s">
        <v>85</v>
      </c>
      <c r="J93" s="52" t="s">
        <v>84</v>
      </c>
      <c r="K93" s="52" t="s">
        <v>85</v>
      </c>
      <c r="L93" s="52" t="s">
        <v>86</v>
      </c>
      <c r="M93" s="52" t="s">
        <v>85</v>
      </c>
      <c r="N93" s="52" t="s">
        <v>85</v>
      </c>
      <c r="O93" s="44" t="s">
        <v>87</v>
      </c>
      <c r="P93" s="44" t="s">
        <v>86</v>
      </c>
      <c r="Q93" s="113" t="s">
        <v>85</v>
      </c>
    </row>
    <row r="94" spans="1:17" ht="75" customHeight="1">
      <c r="A94" s="49" t="s">
        <v>22</v>
      </c>
      <c r="B94" s="49">
        <v>45738</v>
      </c>
      <c r="C94" s="49" t="s">
        <v>106</v>
      </c>
      <c r="D94" s="50" t="s">
        <v>83</v>
      </c>
      <c r="E94" s="51" t="s">
        <v>314</v>
      </c>
      <c r="F94" s="52" t="s">
        <v>161</v>
      </c>
      <c r="G94" s="52" t="s">
        <v>315</v>
      </c>
      <c r="H94" s="52" t="s">
        <v>135</v>
      </c>
      <c r="I94" s="52" t="s">
        <v>85</v>
      </c>
      <c r="J94" s="52" t="s">
        <v>84</v>
      </c>
      <c r="K94" s="52" t="s">
        <v>85</v>
      </c>
      <c r="L94" s="52" t="s">
        <v>86</v>
      </c>
      <c r="M94" s="52" t="s">
        <v>85</v>
      </c>
      <c r="N94" s="52" t="s">
        <v>85</v>
      </c>
      <c r="O94" s="44" t="s">
        <v>87</v>
      </c>
      <c r="P94" s="52" t="s">
        <v>1506</v>
      </c>
      <c r="Q94" s="113" t="s">
        <v>85</v>
      </c>
    </row>
    <row r="95" spans="1:17" ht="112.5" customHeight="1">
      <c r="A95" s="49" t="s">
        <v>22</v>
      </c>
      <c r="B95" s="49">
        <v>45738</v>
      </c>
      <c r="C95" s="49" t="s">
        <v>106</v>
      </c>
      <c r="D95" s="50" t="s">
        <v>98</v>
      </c>
      <c r="E95" s="51" t="s">
        <v>317</v>
      </c>
      <c r="F95" s="52" t="s">
        <v>83</v>
      </c>
      <c r="G95" s="54" t="s">
        <v>318</v>
      </c>
      <c r="H95" s="52" t="s">
        <v>135</v>
      </c>
      <c r="I95" s="52" t="s">
        <v>85</v>
      </c>
      <c r="J95" s="52" t="s">
        <v>85</v>
      </c>
      <c r="K95" s="52" t="s">
        <v>84</v>
      </c>
      <c r="L95" s="52" t="s">
        <v>243</v>
      </c>
      <c r="M95" s="52" t="s">
        <v>85</v>
      </c>
      <c r="N95" s="52" t="s">
        <v>85</v>
      </c>
      <c r="O95" s="44" t="s">
        <v>87</v>
      </c>
      <c r="P95" s="44" t="s">
        <v>86</v>
      </c>
      <c r="Q95" s="113" t="s">
        <v>85</v>
      </c>
    </row>
    <row r="96" spans="1:17" ht="113.25" customHeight="1">
      <c r="A96" s="49" t="s">
        <v>22</v>
      </c>
      <c r="B96" s="49">
        <v>45739</v>
      </c>
      <c r="C96" s="49" t="s">
        <v>106</v>
      </c>
      <c r="D96" s="50" t="s">
        <v>79</v>
      </c>
      <c r="E96" s="51" t="s">
        <v>319</v>
      </c>
      <c r="F96" s="52" t="s">
        <v>100</v>
      </c>
      <c r="G96" s="54" t="s">
        <v>320</v>
      </c>
      <c r="H96" s="52" t="s">
        <v>102</v>
      </c>
      <c r="I96" s="52" t="s">
        <v>84</v>
      </c>
      <c r="J96" s="52" t="s">
        <v>84</v>
      </c>
      <c r="K96" s="52" t="s">
        <v>85</v>
      </c>
      <c r="L96" s="52" t="s">
        <v>86</v>
      </c>
      <c r="M96" s="52" t="s">
        <v>85</v>
      </c>
      <c r="N96" s="52" t="s">
        <v>84</v>
      </c>
      <c r="O96" s="44" t="s">
        <v>87</v>
      </c>
      <c r="P96" s="44" t="s">
        <v>1498</v>
      </c>
      <c r="Q96" s="113" t="s">
        <v>85</v>
      </c>
    </row>
    <row r="97" spans="1:17" ht="37.5" customHeight="1">
      <c r="A97" s="49" t="s">
        <v>22</v>
      </c>
      <c r="B97" s="49">
        <v>45739</v>
      </c>
      <c r="C97" s="49" t="s">
        <v>78</v>
      </c>
      <c r="D97" s="50" t="s">
        <v>98</v>
      </c>
      <c r="E97" s="51" t="s">
        <v>321</v>
      </c>
      <c r="F97" s="52" t="s">
        <v>91</v>
      </c>
      <c r="G97" s="52" t="s">
        <v>322</v>
      </c>
      <c r="H97" s="52" t="s">
        <v>83</v>
      </c>
      <c r="I97" s="52" t="s">
        <v>84</v>
      </c>
      <c r="J97" s="52" t="s">
        <v>85</v>
      </c>
      <c r="K97" s="52" t="s">
        <v>84</v>
      </c>
      <c r="L97" s="52" t="s">
        <v>323</v>
      </c>
      <c r="M97" s="52" t="s">
        <v>85</v>
      </c>
      <c r="N97" s="52" t="s">
        <v>85</v>
      </c>
      <c r="O97" s="52" t="s">
        <v>118</v>
      </c>
      <c r="P97" s="44" t="s">
        <v>86</v>
      </c>
      <c r="Q97" s="113" t="s">
        <v>85</v>
      </c>
    </row>
    <row r="98" spans="1:17" ht="75" customHeight="1">
      <c r="A98" s="49" t="s">
        <v>22</v>
      </c>
      <c r="B98" s="49">
        <v>45743</v>
      </c>
      <c r="C98" s="49" t="s">
        <v>106</v>
      </c>
      <c r="D98" s="50" t="s">
        <v>79</v>
      </c>
      <c r="E98" s="51" t="s">
        <v>324</v>
      </c>
      <c r="F98" s="52" t="s">
        <v>153</v>
      </c>
      <c r="G98" s="52" t="s">
        <v>150</v>
      </c>
      <c r="H98" s="52" t="s">
        <v>117</v>
      </c>
      <c r="I98" s="52" t="s">
        <v>85</v>
      </c>
      <c r="J98" s="52" t="s">
        <v>84</v>
      </c>
      <c r="K98" s="52" t="s">
        <v>85</v>
      </c>
      <c r="L98" s="52" t="s">
        <v>86</v>
      </c>
      <c r="M98" s="52" t="s">
        <v>85</v>
      </c>
      <c r="N98" s="52" t="s">
        <v>85</v>
      </c>
      <c r="O98" s="44" t="s">
        <v>87</v>
      </c>
      <c r="P98" s="44" t="s">
        <v>86</v>
      </c>
      <c r="Q98" s="113" t="s">
        <v>85</v>
      </c>
    </row>
    <row r="99" spans="1:17" ht="87" customHeight="1">
      <c r="A99" s="49" t="s">
        <v>22</v>
      </c>
      <c r="B99" s="49">
        <v>45743</v>
      </c>
      <c r="C99" s="49" t="s">
        <v>88</v>
      </c>
      <c r="D99" s="50" t="s">
        <v>89</v>
      </c>
      <c r="E99" s="51" t="s">
        <v>325</v>
      </c>
      <c r="F99" s="52" t="s">
        <v>153</v>
      </c>
      <c r="G99" s="52" t="s">
        <v>326</v>
      </c>
      <c r="H99" s="52" t="s">
        <v>93</v>
      </c>
      <c r="I99" s="52" t="s">
        <v>85</v>
      </c>
      <c r="J99" s="52" t="s">
        <v>85</v>
      </c>
      <c r="K99" s="52" t="s">
        <v>84</v>
      </c>
      <c r="L99" s="52" t="s">
        <v>327</v>
      </c>
      <c r="M99" s="52" t="s">
        <v>85</v>
      </c>
      <c r="N99" s="52" t="s">
        <v>85</v>
      </c>
      <c r="O99" s="52" t="s">
        <v>118</v>
      </c>
      <c r="P99" s="44" t="s">
        <v>86</v>
      </c>
      <c r="Q99" s="113" t="s">
        <v>85</v>
      </c>
    </row>
    <row r="100" spans="1:17" ht="62.25" customHeight="1">
      <c r="A100" s="49" t="s">
        <v>22</v>
      </c>
      <c r="B100" s="49">
        <v>45744</v>
      </c>
      <c r="C100" s="49" t="s">
        <v>123</v>
      </c>
      <c r="D100" s="50" t="s">
        <v>79</v>
      </c>
      <c r="E100" s="51" t="s">
        <v>328</v>
      </c>
      <c r="F100" s="52" t="s">
        <v>161</v>
      </c>
      <c r="G100" s="54" t="s">
        <v>329</v>
      </c>
      <c r="H100" s="52" t="s">
        <v>135</v>
      </c>
      <c r="I100" s="52" t="s">
        <v>84</v>
      </c>
      <c r="J100" s="52" t="s">
        <v>84</v>
      </c>
      <c r="K100" s="52" t="s">
        <v>85</v>
      </c>
      <c r="L100" s="52" t="s">
        <v>86</v>
      </c>
      <c r="M100" s="52" t="s">
        <v>85</v>
      </c>
      <c r="N100" s="52" t="s">
        <v>85</v>
      </c>
      <c r="O100" s="52" t="s">
        <v>118</v>
      </c>
      <c r="P100" s="44" t="s">
        <v>86</v>
      </c>
      <c r="Q100" s="113" t="s">
        <v>85</v>
      </c>
    </row>
    <row r="101" spans="1:17" ht="87" customHeight="1">
      <c r="A101" s="49" t="s">
        <v>22</v>
      </c>
      <c r="B101" s="49">
        <v>45745</v>
      </c>
      <c r="C101" s="49" t="s">
        <v>78</v>
      </c>
      <c r="D101" s="50" t="s">
        <v>79</v>
      </c>
      <c r="E101" s="51" t="s">
        <v>330</v>
      </c>
      <c r="F101" s="52" t="s">
        <v>100</v>
      </c>
      <c r="G101" s="54" t="s">
        <v>331</v>
      </c>
      <c r="H101" s="52" t="s">
        <v>93</v>
      </c>
      <c r="I101" s="52" t="s">
        <v>84</v>
      </c>
      <c r="J101" s="52" t="s">
        <v>85</v>
      </c>
      <c r="K101" s="52" t="s">
        <v>84</v>
      </c>
      <c r="L101" s="52" t="s">
        <v>263</v>
      </c>
      <c r="M101" s="52" t="s">
        <v>85</v>
      </c>
      <c r="N101" s="52" t="s">
        <v>85</v>
      </c>
      <c r="O101" s="44" t="s">
        <v>87</v>
      </c>
      <c r="P101" s="44" t="s">
        <v>86</v>
      </c>
      <c r="Q101" s="113" t="s">
        <v>85</v>
      </c>
    </row>
    <row r="102" spans="1:17" ht="87" customHeight="1">
      <c r="A102" s="49" t="s">
        <v>22</v>
      </c>
      <c r="B102" s="49">
        <v>45747</v>
      </c>
      <c r="C102" s="49" t="s">
        <v>78</v>
      </c>
      <c r="D102" s="50" t="s">
        <v>79</v>
      </c>
      <c r="E102" s="51" t="s">
        <v>332</v>
      </c>
      <c r="F102" s="52" t="s">
        <v>96</v>
      </c>
      <c r="G102" s="52" t="s">
        <v>150</v>
      </c>
      <c r="H102" s="52" t="s">
        <v>117</v>
      </c>
      <c r="I102" s="52" t="s">
        <v>84</v>
      </c>
      <c r="J102" s="52" t="s">
        <v>84</v>
      </c>
      <c r="K102" s="52" t="s">
        <v>85</v>
      </c>
      <c r="L102" s="52" t="s">
        <v>86</v>
      </c>
      <c r="M102" s="52" t="s">
        <v>85</v>
      </c>
      <c r="N102" s="52" t="s">
        <v>85</v>
      </c>
      <c r="O102" s="44" t="s">
        <v>87</v>
      </c>
      <c r="P102" s="44" t="s">
        <v>86</v>
      </c>
      <c r="Q102" s="113" t="s">
        <v>85</v>
      </c>
    </row>
    <row r="103" spans="1:17" ht="49.5" customHeight="1">
      <c r="A103" s="49" t="s">
        <v>23</v>
      </c>
      <c r="B103" s="49">
        <v>45749</v>
      </c>
      <c r="C103" s="49" t="s">
        <v>88</v>
      </c>
      <c r="D103" s="50" t="s">
        <v>98</v>
      </c>
      <c r="E103" s="51" t="s">
        <v>333</v>
      </c>
      <c r="F103" s="52" t="s">
        <v>96</v>
      </c>
      <c r="G103" s="52" t="s">
        <v>150</v>
      </c>
      <c r="H103" s="52" t="s">
        <v>117</v>
      </c>
      <c r="I103" s="52" t="s">
        <v>85</v>
      </c>
      <c r="J103" s="52" t="s">
        <v>84</v>
      </c>
      <c r="K103" s="52" t="s">
        <v>85</v>
      </c>
      <c r="L103" s="52" t="s">
        <v>86</v>
      </c>
      <c r="M103" s="52" t="s">
        <v>85</v>
      </c>
      <c r="N103" s="52" t="s">
        <v>85</v>
      </c>
      <c r="O103" s="52" t="s">
        <v>118</v>
      </c>
      <c r="P103" s="44" t="s">
        <v>86</v>
      </c>
      <c r="Q103" s="113" t="s">
        <v>85</v>
      </c>
    </row>
    <row r="104" spans="1:17" ht="62.25" customHeight="1">
      <c r="A104" s="49" t="s">
        <v>23</v>
      </c>
      <c r="B104" s="49">
        <v>45750</v>
      </c>
      <c r="C104" s="49" t="s">
        <v>78</v>
      </c>
      <c r="D104" s="50" t="s">
        <v>136</v>
      </c>
      <c r="E104" s="51" t="s">
        <v>334</v>
      </c>
      <c r="F104" s="52" t="s">
        <v>109</v>
      </c>
      <c r="G104" s="52" t="s">
        <v>125</v>
      </c>
      <c r="H104" s="52" t="s">
        <v>126</v>
      </c>
      <c r="I104" s="52" t="s">
        <v>85</v>
      </c>
      <c r="J104" s="52" t="s">
        <v>84</v>
      </c>
      <c r="K104" s="52" t="s">
        <v>85</v>
      </c>
      <c r="L104" s="52" t="s">
        <v>86</v>
      </c>
      <c r="M104" s="52" t="s">
        <v>85</v>
      </c>
      <c r="N104" s="52" t="s">
        <v>85</v>
      </c>
      <c r="O104" s="44" t="s">
        <v>87</v>
      </c>
      <c r="P104" s="44" t="s">
        <v>86</v>
      </c>
      <c r="Q104" s="113" t="s">
        <v>85</v>
      </c>
    </row>
    <row r="105" spans="1:17" ht="62.25" customHeight="1">
      <c r="A105" s="49" t="s">
        <v>23</v>
      </c>
      <c r="B105" s="49">
        <v>45750</v>
      </c>
      <c r="C105" s="49" t="s">
        <v>78</v>
      </c>
      <c r="D105" s="50" t="s">
        <v>79</v>
      </c>
      <c r="E105" s="51" t="s">
        <v>335</v>
      </c>
      <c r="F105" s="52" t="s">
        <v>81</v>
      </c>
      <c r="G105" s="52" t="s">
        <v>336</v>
      </c>
      <c r="H105" s="52" t="s">
        <v>83</v>
      </c>
      <c r="I105" s="52" t="s">
        <v>84</v>
      </c>
      <c r="J105" s="52" t="s">
        <v>85</v>
      </c>
      <c r="K105" s="52" t="s">
        <v>84</v>
      </c>
      <c r="L105" s="52" t="s">
        <v>337</v>
      </c>
      <c r="M105" s="52" t="s">
        <v>85</v>
      </c>
      <c r="N105" s="52" t="s">
        <v>85</v>
      </c>
      <c r="O105" s="44" t="s">
        <v>87</v>
      </c>
      <c r="P105" s="44" t="s">
        <v>86</v>
      </c>
      <c r="Q105" s="113" t="s">
        <v>85</v>
      </c>
    </row>
    <row r="106" spans="1:17" ht="62.25" customHeight="1">
      <c r="A106" s="49" t="s">
        <v>23</v>
      </c>
      <c r="B106" s="49">
        <v>45753</v>
      </c>
      <c r="C106" s="49" t="s">
        <v>106</v>
      </c>
      <c r="D106" s="50" t="s">
        <v>79</v>
      </c>
      <c r="E106" s="51" t="s">
        <v>338</v>
      </c>
      <c r="F106" s="52" t="s">
        <v>83</v>
      </c>
      <c r="G106" s="52" t="s">
        <v>150</v>
      </c>
      <c r="H106" s="52" t="s">
        <v>117</v>
      </c>
      <c r="I106" s="52" t="s">
        <v>84</v>
      </c>
      <c r="J106" s="52" t="s">
        <v>84</v>
      </c>
      <c r="K106" s="52" t="s">
        <v>85</v>
      </c>
      <c r="L106" s="52" t="s">
        <v>86</v>
      </c>
      <c r="M106" s="52" t="s">
        <v>85</v>
      </c>
      <c r="N106" s="52" t="s">
        <v>85</v>
      </c>
      <c r="O106" s="44" t="s">
        <v>87</v>
      </c>
      <c r="P106" s="44" t="s">
        <v>86</v>
      </c>
      <c r="Q106" s="113" t="s">
        <v>85</v>
      </c>
    </row>
    <row r="107" spans="1:17" ht="87" customHeight="1">
      <c r="A107" s="49" t="s">
        <v>23</v>
      </c>
      <c r="B107" s="49">
        <v>45753</v>
      </c>
      <c r="C107" s="49" t="s">
        <v>123</v>
      </c>
      <c r="D107" s="50" t="s">
        <v>79</v>
      </c>
      <c r="E107" s="51" t="s">
        <v>339</v>
      </c>
      <c r="F107" s="52" t="s">
        <v>91</v>
      </c>
      <c r="G107" s="52" t="s">
        <v>340</v>
      </c>
      <c r="H107" s="52" t="s">
        <v>135</v>
      </c>
      <c r="I107" s="52" t="s">
        <v>85</v>
      </c>
      <c r="J107" s="52" t="s">
        <v>84</v>
      </c>
      <c r="K107" s="52" t="s">
        <v>85</v>
      </c>
      <c r="L107" s="52" t="s">
        <v>86</v>
      </c>
      <c r="M107" s="52" t="s">
        <v>84</v>
      </c>
      <c r="N107" s="52" t="s">
        <v>85</v>
      </c>
      <c r="O107" s="52" t="s">
        <v>118</v>
      </c>
      <c r="P107" s="44" t="s">
        <v>86</v>
      </c>
      <c r="Q107" s="113" t="s">
        <v>85</v>
      </c>
    </row>
    <row r="108" spans="1:17" ht="49.5" customHeight="1">
      <c r="A108" s="49" t="s">
        <v>23</v>
      </c>
      <c r="B108" s="49">
        <v>45755</v>
      </c>
      <c r="C108" s="49" t="s">
        <v>106</v>
      </c>
      <c r="D108" s="50" t="s">
        <v>240</v>
      </c>
      <c r="E108" s="51" t="s">
        <v>341</v>
      </c>
      <c r="F108" s="52" t="s">
        <v>133</v>
      </c>
      <c r="G108" s="52" t="s">
        <v>342</v>
      </c>
      <c r="H108" s="52" t="s">
        <v>93</v>
      </c>
      <c r="I108" s="52" t="s">
        <v>84</v>
      </c>
      <c r="J108" s="52" t="s">
        <v>84</v>
      </c>
      <c r="K108" s="52" t="s">
        <v>85</v>
      </c>
      <c r="L108" s="52" t="s">
        <v>86</v>
      </c>
      <c r="M108" s="52" t="s">
        <v>85</v>
      </c>
      <c r="N108" s="52" t="s">
        <v>85</v>
      </c>
      <c r="O108" s="44" t="s">
        <v>87</v>
      </c>
      <c r="P108" s="44" t="s">
        <v>86</v>
      </c>
      <c r="Q108" s="113" t="s">
        <v>85</v>
      </c>
    </row>
    <row r="109" spans="1:17" ht="75" customHeight="1">
      <c r="A109" s="49" t="s">
        <v>23</v>
      </c>
      <c r="B109" s="49">
        <v>45755</v>
      </c>
      <c r="C109" s="49" t="s">
        <v>78</v>
      </c>
      <c r="D109" s="50" t="s">
        <v>83</v>
      </c>
      <c r="E109" s="51" t="s">
        <v>343</v>
      </c>
      <c r="F109" s="52" t="s">
        <v>109</v>
      </c>
      <c r="G109" s="52" t="s">
        <v>101</v>
      </c>
      <c r="H109" s="52" t="s">
        <v>102</v>
      </c>
      <c r="I109" s="52" t="s">
        <v>85</v>
      </c>
      <c r="J109" s="52" t="s">
        <v>84</v>
      </c>
      <c r="K109" s="52" t="s">
        <v>85</v>
      </c>
      <c r="L109" s="52" t="s">
        <v>86</v>
      </c>
      <c r="M109" s="52" t="s">
        <v>85</v>
      </c>
      <c r="N109" s="52" t="s">
        <v>85</v>
      </c>
      <c r="O109" s="52" t="s">
        <v>118</v>
      </c>
      <c r="P109" s="44" t="s">
        <v>1499</v>
      </c>
      <c r="Q109" s="113" t="s">
        <v>85</v>
      </c>
    </row>
    <row r="110" spans="1:17" ht="75" customHeight="1">
      <c r="A110" s="49" t="s">
        <v>23</v>
      </c>
      <c r="B110" s="49">
        <v>45756</v>
      </c>
      <c r="C110" s="49" t="s">
        <v>220</v>
      </c>
      <c r="D110" s="50" t="s">
        <v>89</v>
      </c>
      <c r="E110" s="51" t="s">
        <v>344</v>
      </c>
      <c r="F110" s="52" t="s">
        <v>153</v>
      </c>
      <c r="G110" s="52" t="s">
        <v>345</v>
      </c>
      <c r="H110" s="52" t="s">
        <v>135</v>
      </c>
      <c r="I110" s="52" t="s">
        <v>84</v>
      </c>
      <c r="J110" s="52" t="s">
        <v>84</v>
      </c>
      <c r="K110" s="52" t="s">
        <v>85</v>
      </c>
      <c r="L110" s="52" t="s">
        <v>86</v>
      </c>
      <c r="M110" s="52" t="s">
        <v>85</v>
      </c>
      <c r="N110" s="52" t="s">
        <v>85</v>
      </c>
      <c r="O110" s="52" t="s">
        <v>118</v>
      </c>
      <c r="P110" s="44" t="s">
        <v>1497</v>
      </c>
      <c r="Q110" s="113" t="s">
        <v>84</v>
      </c>
    </row>
    <row r="111" spans="1:17" ht="62.25" customHeight="1">
      <c r="A111" s="49" t="s">
        <v>23</v>
      </c>
      <c r="B111" s="49">
        <v>45757</v>
      </c>
      <c r="C111" s="49" t="s">
        <v>106</v>
      </c>
      <c r="D111" s="50" t="s">
        <v>79</v>
      </c>
      <c r="E111" s="51" t="s">
        <v>346</v>
      </c>
      <c r="F111" s="52" t="s">
        <v>100</v>
      </c>
      <c r="G111" s="52" t="s">
        <v>347</v>
      </c>
      <c r="H111" s="52" t="s">
        <v>135</v>
      </c>
      <c r="I111" s="52" t="s">
        <v>85</v>
      </c>
      <c r="J111" s="52" t="s">
        <v>84</v>
      </c>
      <c r="K111" s="52" t="s">
        <v>85</v>
      </c>
      <c r="L111" s="52" t="s">
        <v>86</v>
      </c>
      <c r="M111" s="52" t="s">
        <v>85</v>
      </c>
      <c r="N111" s="52" t="s">
        <v>85</v>
      </c>
      <c r="O111" s="44" t="s">
        <v>87</v>
      </c>
      <c r="P111" s="44" t="s">
        <v>86</v>
      </c>
      <c r="Q111" s="113" t="s">
        <v>84</v>
      </c>
    </row>
    <row r="112" spans="1:17" ht="62.25" customHeight="1">
      <c r="A112" s="49" t="s">
        <v>23</v>
      </c>
      <c r="B112" s="49">
        <v>45758</v>
      </c>
      <c r="C112" s="49" t="s">
        <v>78</v>
      </c>
      <c r="D112" s="50" t="s">
        <v>98</v>
      </c>
      <c r="E112" s="51" t="s">
        <v>348</v>
      </c>
      <c r="F112" s="52" t="s">
        <v>100</v>
      </c>
      <c r="G112" s="52" t="s">
        <v>101</v>
      </c>
      <c r="H112" s="52" t="s">
        <v>102</v>
      </c>
      <c r="I112" s="52" t="s">
        <v>85</v>
      </c>
      <c r="J112" s="52" t="s">
        <v>84</v>
      </c>
      <c r="K112" s="52" t="s">
        <v>85</v>
      </c>
      <c r="L112" s="52" t="s">
        <v>86</v>
      </c>
      <c r="M112" s="52" t="s">
        <v>85</v>
      </c>
      <c r="N112" s="52" t="s">
        <v>85</v>
      </c>
      <c r="O112" s="44" t="s">
        <v>87</v>
      </c>
      <c r="P112" s="44" t="s">
        <v>86</v>
      </c>
      <c r="Q112" s="113" t="s">
        <v>85</v>
      </c>
    </row>
    <row r="113" spans="1:17" ht="75" customHeight="1">
      <c r="A113" s="49" t="s">
        <v>23</v>
      </c>
      <c r="B113" s="49">
        <v>45759</v>
      </c>
      <c r="C113" s="49" t="s">
        <v>123</v>
      </c>
      <c r="D113" s="50" t="s">
        <v>89</v>
      </c>
      <c r="E113" s="51" t="s">
        <v>349</v>
      </c>
      <c r="F113" s="52" t="s">
        <v>350</v>
      </c>
      <c r="G113" s="52" t="s">
        <v>351</v>
      </c>
      <c r="H113" s="52" t="s">
        <v>135</v>
      </c>
      <c r="I113" s="52" t="s">
        <v>85</v>
      </c>
      <c r="J113" s="52" t="s">
        <v>84</v>
      </c>
      <c r="K113" s="52" t="s">
        <v>85</v>
      </c>
      <c r="L113" s="52" t="s">
        <v>86</v>
      </c>
      <c r="M113" s="52" t="s">
        <v>85</v>
      </c>
      <c r="N113" s="52" t="s">
        <v>85</v>
      </c>
      <c r="O113" s="52" t="s">
        <v>118</v>
      </c>
      <c r="P113" s="44" t="s">
        <v>1507</v>
      </c>
      <c r="Q113" s="113" t="s">
        <v>85</v>
      </c>
    </row>
    <row r="114" spans="1:17" ht="87" customHeight="1">
      <c r="A114" s="49" t="s">
        <v>23</v>
      </c>
      <c r="B114" s="49">
        <v>45760</v>
      </c>
      <c r="C114" s="49" t="s">
        <v>106</v>
      </c>
      <c r="D114" s="50" t="s">
        <v>98</v>
      </c>
      <c r="E114" s="51" t="s">
        <v>353</v>
      </c>
      <c r="F114" s="52" t="s">
        <v>354</v>
      </c>
      <c r="G114" s="52" t="s">
        <v>355</v>
      </c>
      <c r="H114" s="52" t="s">
        <v>135</v>
      </c>
      <c r="I114" s="52" t="s">
        <v>85</v>
      </c>
      <c r="J114" s="52" t="s">
        <v>84</v>
      </c>
      <c r="K114" s="52" t="s">
        <v>85</v>
      </c>
      <c r="L114" s="52" t="s">
        <v>86</v>
      </c>
      <c r="M114" s="52" t="s">
        <v>85</v>
      </c>
      <c r="N114" s="52" t="s">
        <v>85</v>
      </c>
      <c r="O114" s="52" t="s">
        <v>118</v>
      </c>
      <c r="P114" s="44" t="s">
        <v>1507</v>
      </c>
      <c r="Q114" s="113" t="s">
        <v>85</v>
      </c>
    </row>
    <row r="115" spans="1:17" ht="62.25" customHeight="1">
      <c r="A115" s="49" t="s">
        <v>23</v>
      </c>
      <c r="B115" s="49">
        <v>45760</v>
      </c>
      <c r="C115" s="49" t="s">
        <v>123</v>
      </c>
      <c r="D115" s="50" t="s">
        <v>89</v>
      </c>
      <c r="E115" s="51" t="s">
        <v>356</v>
      </c>
      <c r="F115" s="52" t="s">
        <v>81</v>
      </c>
      <c r="G115" s="52" t="s">
        <v>262</v>
      </c>
      <c r="H115" s="52" t="s">
        <v>93</v>
      </c>
      <c r="I115" s="52" t="s">
        <v>85</v>
      </c>
      <c r="J115" s="52" t="s">
        <v>84</v>
      </c>
      <c r="K115" s="52" t="s">
        <v>85</v>
      </c>
      <c r="L115" s="52" t="s">
        <v>86</v>
      </c>
      <c r="M115" s="52" t="s">
        <v>85</v>
      </c>
      <c r="N115" s="52" t="s">
        <v>85</v>
      </c>
      <c r="O115" s="52" t="s">
        <v>118</v>
      </c>
      <c r="P115" s="44" t="s">
        <v>86</v>
      </c>
      <c r="Q115" s="113" t="s">
        <v>85</v>
      </c>
    </row>
    <row r="116" spans="1:17" ht="37.5" customHeight="1">
      <c r="A116" s="49" t="s">
        <v>23</v>
      </c>
      <c r="B116" s="49">
        <v>45760</v>
      </c>
      <c r="C116" s="49" t="s">
        <v>220</v>
      </c>
      <c r="D116" s="50" t="s">
        <v>89</v>
      </c>
      <c r="E116" s="51" t="s">
        <v>357</v>
      </c>
      <c r="F116" s="52" t="s">
        <v>91</v>
      </c>
      <c r="G116" s="52" t="s">
        <v>358</v>
      </c>
      <c r="H116" s="52" t="s">
        <v>135</v>
      </c>
      <c r="I116" s="52" t="s">
        <v>85</v>
      </c>
      <c r="J116" s="52" t="s">
        <v>84</v>
      </c>
      <c r="K116" s="52" t="s">
        <v>85</v>
      </c>
      <c r="L116" s="52" t="s">
        <v>86</v>
      </c>
      <c r="M116" s="52" t="s">
        <v>84</v>
      </c>
      <c r="N116" s="52" t="s">
        <v>85</v>
      </c>
      <c r="O116" s="52" t="s">
        <v>118</v>
      </c>
      <c r="P116" s="44" t="s">
        <v>86</v>
      </c>
      <c r="Q116" s="113" t="s">
        <v>85</v>
      </c>
    </row>
    <row r="117" spans="1:17" ht="62.25" customHeight="1">
      <c r="A117" s="49" t="s">
        <v>23</v>
      </c>
      <c r="B117" s="49">
        <v>45761</v>
      </c>
      <c r="C117" s="49" t="s">
        <v>123</v>
      </c>
      <c r="D117" s="50" t="s">
        <v>83</v>
      </c>
      <c r="E117" s="51" t="s">
        <v>359</v>
      </c>
      <c r="F117" s="52" t="s">
        <v>81</v>
      </c>
      <c r="G117" s="52" t="s">
        <v>360</v>
      </c>
      <c r="H117" s="52" t="s">
        <v>83</v>
      </c>
      <c r="I117" s="52" t="s">
        <v>84</v>
      </c>
      <c r="J117" s="52" t="s">
        <v>84</v>
      </c>
      <c r="K117" s="52" t="s">
        <v>85</v>
      </c>
      <c r="L117" s="52" t="s">
        <v>86</v>
      </c>
      <c r="M117" s="52" t="s">
        <v>85</v>
      </c>
      <c r="N117" s="52" t="s">
        <v>85</v>
      </c>
      <c r="O117" s="52" t="s">
        <v>118</v>
      </c>
      <c r="P117" s="44" t="s">
        <v>86</v>
      </c>
      <c r="Q117" s="113" t="s">
        <v>85</v>
      </c>
    </row>
    <row r="118" spans="1:17" ht="49.5" customHeight="1">
      <c r="A118" s="49" t="s">
        <v>23</v>
      </c>
      <c r="B118" s="49">
        <v>45761</v>
      </c>
      <c r="C118" s="49" t="s">
        <v>220</v>
      </c>
      <c r="D118" s="50" t="s">
        <v>98</v>
      </c>
      <c r="E118" s="51" t="s">
        <v>361</v>
      </c>
      <c r="F118" s="52" t="s">
        <v>91</v>
      </c>
      <c r="G118" s="52" t="s">
        <v>362</v>
      </c>
      <c r="H118" s="52" t="s">
        <v>135</v>
      </c>
      <c r="I118" s="52" t="s">
        <v>85</v>
      </c>
      <c r="J118" s="52" t="s">
        <v>84</v>
      </c>
      <c r="K118" s="52" t="s">
        <v>85</v>
      </c>
      <c r="L118" s="52" t="s">
        <v>86</v>
      </c>
      <c r="M118" s="52" t="s">
        <v>85</v>
      </c>
      <c r="N118" s="52" t="s">
        <v>85</v>
      </c>
      <c r="O118" s="52" t="s">
        <v>118</v>
      </c>
      <c r="P118" s="44" t="s">
        <v>86</v>
      </c>
      <c r="Q118" s="113" t="s">
        <v>85</v>
      </c>
    </row>
    <row r="119" spans="1:17" ht="49.5" customHeight="1">
      <c r="A119" s="49" t="s">
        <v>23</v>
      </c>
      <c r="B119" s="49">
        <v>45761</v>
      </c>
      <c r="C119" s="49" t="s">
        <v>78</v>
      </c>
      <c r="D119" s="50" t="s">
        <v>98</v>
      </c>
      <c r="E119" s="51" t="s">
        <v>363</v>
      </c>
      <c r="F119" s="52" t="s">
        <v>91</v>
      </c>
      <c r="G119" s="52" t="s">
        <v>313</v>
      </c>
      <c r="H119" s="52" t="s">
        <v>126</v>
      </c>
      <c r="I119" s="52" t="s">
        <v>85</v>
      </c>
      <c r="J119" s="52" t="s">
        <v>84</v>
      </c>
      <c r="K119" s="52" t="s">
        <v>85</v>
      </c>
      <c r="L119" s="52" t="s">
        <v>86</v>
      </c>
      <c r="M119" s="52" t="s">
        <v>85</v>
      </c>
      <c r="N119" s="52" t="s">
        <v>85</v>
      </c>
      <c r="O119" s="44" t="s">
        <v>118</v>
      </c>
      <c r="P119" s="44" t="s">
        <v>1498</v>
      </c>
      <c r="Q119" s="113" t="s">
        <v>85</v>
      </c>
    </row>
    <row r="120" spans="1:17" ht="75" customHeight="1">
      <c r="A120" s="49" t="s">
        <v>23</v>
      </c>
      <c r="B120" s="49">
        <v>45762</v>
      </c>
      <c r="C120" s="49" t="s">
        <v>88</v>
      </c>
      <c r="D120" s="50" t="s">
        <v>79</v>
      </c>
      <c r="E120" s="51" t="s">
        <v>364</v>
      </c>
      <c r="F120" s="52" t="s">
        <v>100</v>
      </c>
      <c r="G120" s="52" t="s">
        <v>279</v>
      </c>
      <c r="H120" s="52" t="s">
        <v>93</v>
      </c>
      <c r="I120" s="52" t="s">
        <v>84</v>
      </c>
      <c r="J120" s="52" t="s">
        <v>84</v>
      </c>
      <c r="K120" s="52" t="s">
        <v>85</v>
      </c>
      <c r="L120" s="52" t="s">
        <v>86</v>
      </c>
      <c r="M120" s="52" t="s">
        <v>85</v>
      </c>
      <c r="N120" s="52" t="s">
        <v>84</v>
      </c>
      <c r="O120" s="44" t="s">
        <v>87</v>
      </c>
      <c r="P120" s="44" t="s">
        <v>1498</v>
      </c>
      <c r="Q120" s="113" t="s">
        <v>85</v>
      </c>
    </row>
    <row r="121" spans="1:17" ht="62.25" customHeight="1">
      <c r="A121" s="49" t="s">
        <v>23</v>
      </c>
      <c r="B121" s="49">
        <v>45762</v>
      </c>
      <c r="C121" s="49" t="s">
        <v>88</v>
      </c>
      <c r="D121" s="50" t="s">
        <v>83</v>
      </c>
      <c r="E121" s="51" t="s">
        <v>365</v>
      </c>
      <c r="F121" s="52" t="s">
        <v>350</v>
      </c>
      <c r="G121" s="52" t="s">
        <v>83</v>
      </c>
      <c r="H121" s="52" t="s">
        <v>83</v>
      </c>
      <c r="I121" s="52" t="s">
        <v>85</v>
      </c>
      <c r="J121" s="52" t="s">
        <v>84</v>
      </c>
      <c r="K121" s="52" t="s">
        <v>85</v>
      </c>
      <c r="L121" s="52" t="s">
        <v>86</v>
      </c>
      <c r="M121" s="52" t="s">
        <v>85</v>
      </c>
      <c r="N121" s="52" t="s">
        <v>85</v>
      </c>
      <c r="O121" s="44" t="s">
        <v>87</v>
      </c>
      <c r="P121" s="113" t="s">
        <v>86</v>
      </c>
      <c r="Q121" s="113" t="s">
        <v>85</v>
      </c>
    </row>
    <row r="122" spans="1:17" ht="87" customHeight="1">
      <c r="A122" s="49" t="s">
        <v>23</v>
      </c>
      <c r="B122" s="49">
        <v>45762</v>
      </c>
      <c r="C122" s="49" t="s">
        <v>88</v>
      </c>
      <c r="D122" s="50" t="s">
        <v>83</v>
      </c>
      <c r="E122" s="51" t="s">
        <v>366</v>
      </c>
      <c r="F122" s="52" t="s">
        <v>161</v>
      </c>
      <c r="G122" s="52" t="s">
        <v>367</v>
      </c>
      <c r="H122" s="52" t="s">
        <v>83</v>
      </c>
      <c r="I122" s="52" t="s">
        <v>84</v>
      </c>
      <c r="J122" s="52" t="s">
        <v>84</v>
      </c>
      <c r="K122" s="52" t="s">
        <v>85</v>
      </c>
      <c r="L122" s="52" t="s">
        <v>86</v>
      </c>
      <c r="M122" s="52" t="s">
        <v>85</v>
      </c>
      <c r="N122" s="52" t="s">
        <v>85</v>
      </c>
      <c r="O122" s="44" t="s">
        <v>87</v>
      </c>
      <c r="P122" s="113" t="s">
        <v>86</v>
      </c>
      <c r="Q122" s="113" t="s">
        <v>85</v>
      </c>
    </row>
    <row r="123" spans="1:17" ht="62.25" customHeight="1">
      <c r="A123" s="49" t="s">
        <v>23</v>
      </c>
      <c r="B123" s="49">
        <v>45763</v>
      </c>
      <c r="C123" s="49" t="s">
        <v>78</v>
      </c>
      <c r="D123" s="50" t="s">
        <v>98</v>
      </c>
      <c r="E123" s="51" t="s">
        <v>368</v>
      </c>
      <c r="F123" s="52" t="s">
        <v>147</v>
      </c>
      <c r="G123" s="52" t="s">
        <v>116</v>
      </c>
      <c r="H123" s="52" t="s">
        <v>117</v>
      </c>
      <c r="I123" s="52" t="s">
        <v>84</v>
      </c>
      <c r="J123" s="52" t="s">
        <v>84</v>
      </c>
      <c r="K123" s="52" t="s">
        <v>85</v>
      </c>
      <c r="L123" s="52" t="s">
        <v>86</v>
      </c>
      <c r="M123" s="52" t="s">
        <v>85</v>
      </c>
      <c r="N123" s="52" t="s">
        <v>85</v>
      </c>
      <c r="O123" s="44" t="s">
        <v>87</v>
      </c>
      <c r="P123" s="113" t="s">
        <v>86</v>
      </c>
      <c r="Q123" s="113" t="s">
        <v>85</v>
      </c>
    </row>
    <row r="124" spans="1:17" ht="62.25" customHeight="1">
      <c r="A124" s="49" t="s">
        <v>23</v>
      </c>
      <c r="B124" s="49">
        <v>45764</v>
      </c>
      <c r="C124" s="49" t="s">
        <v>88</v>
      </c>
      <c r="D124" s="50" t="s">
        <v>79</v>
      </c>
      <c r="E124" s="51" t="s">
        <v>369</v>
      </c>
      <c r="F124" s="52" t="s">
        <v>100</v>
      </c>
      <c r="G124" s="52" t="s">
        <v>211</v>
      </c>
      <c r="H124" s="52" t="s">
        <v>102</v>
      </c>
      <c r="I124" s="52" t="s">
        <v>84</v>
      </c>
      <c r="J124" s="52" t="s">
        <v>84</v>
      </c>
      <c r="K124" s="52" t="s">
        <v>85</v>
      </c>
      <c r="L124" s="52" t="s">
        <v>86</v>
      </c>
      <c r="M124" s="52" t="s">
        <v>85</v>
      </c>
      <c r="N124" s="52" t="s">
        <v>84</v>
      </c>
      <c r="O124" s="44" t="s">
        <v>87</v>
      </c>
      <c r="P124" s="113" t="s">
        <v>86</v>
      </c>
      <c r="Q124" s="113" t="s">
        <v>85</v>
      </c>
    </row>
    <row r="125" spans="1:17" ht="62.25" customHeight="1">
      <c r="A125" s="49" t="s">
        <v>23</v>
      </c>
      <c r="B125" s="49">
        <v>45769</v>
      </c>
      <c r="C125" s="49" t="s">
        <v>106</v>
      </c>
      <c r="D125" s="50" t="s">
        <v>79</v>
      </c>
      <c r="E125" s="51" t="s">
        <v>370</v>
      </c>
      <c r="F125" s="52" t="s">
        <v>96</v>
      </c>
      <c r="G125" s="52" t="s">
        <v>150</v>
      </c>
      <c r="H125" s="52" t="s">
        <v>117</v>
      </c>
      <c r="I125" s="52" t="s">
        <v>84</v>
      </c>
      <c r="J125" s="52" t="s">
        <v>84</v>
      </c>
      <c r="K125" s="52" t="s">
        <v>85</v>
      </c>
      <c r="L125" s="52" t="s">
        <v>86</v>
      </c>
      <c r="M125" s="52" t="s">
        <v>85</v>
      </c>
      <c r="N125" s="52" t="s">
        <v>85</v>
      </c>
      <c r="O125" s="44" t="s">
        <v>87</v>
      </c>
      <c r="P125" s="113" t="s">
        <v>86</v>
      </c>
      <c r="Q125" s="113" t="s">
        <v>85</v>
      </c>
    </row>
    <row r="126" spans="1:17" ht="62.25" customHeight="1">
      <c r="A126" s="49" t="s">
        <v>23</v>
      </c>
      <c r="B126" s="49">
        <v>45769</v>
      </c>
      <c r="C126" s="49" t="s">
        <v>106</v>
      </c>
      <c r="D126" s="50" t="s">
        <v>83</v>
      </c>
      <c r="E126" s="51" t="s">
        <v>371</v>
      </c>
      <c r="F126" s="52" t="s">
        <v>372</v>
      </c>
      <c r="G126" s="52" t="s">
        <v>125</v>
      </c>
      <c r="H126" s="52" t="s">
        <v>126</v>
      </c>
      <c r="I126" s="52" t="s">
        <v>85</v>
      </c>
      <c r="J126" s="52" t="s">
        <v>84</v>
      </c>
      <c r="K126" s="52" t="s">
        <v>85</v>
      </c>
      <c r="L126" s="52" t="s">
        <v>86</v>
      </c>
      <c r="M126" s="52" t="s">
        <v>85</v>
      </c>
      <c r="N126" s="52" t="s">
        <v>85</v>
      </c>
      <c r="O126" s="52" t="s">
        <v>118</v>
      </c>
      <c r="P126" s="44" t="s">
        <v>1503</v>
      </c>
      <c r="Q126" s="113" t="s">
        <v>85</v>
      </c>
    </row>
    <row r="127" spans="1:17" ht="62.25" customHeight="1">
      <c r="A127" s="49" t="s">
        <v>23</v>
      </c>
      <c r="B127" s="49">
        <v>45769</v>
      </c>
      <c r="C127" s="49" t="s">
        <v>78</v>
      </c>
      <c r="D127" s="50" t="s">
        <v>240</v>
      </c>
      <c r="E127" s="51" t="s">
        <v>374</v>
      </c>
      <c r="F127" s="52" t="s">
        <v>153</v>
      </c>
      <c r="G127" s="52" t="s">
        <v>375</v>
      </c>
      <c r="H127" s="52" t="s">
        <v>135</v>
      </c>
      <c r="I127" s="52" t="s">
        <v>85</v>
      </c>
      <c r="J127" s="52" t="s">
        <v>85</v>
      </c>
      <c r="K127" s="52" t="s">
        <v>84</v>
      </c>
      <c r="L127" s="52" t="s">
        <v>376</v>
      </c>
      <c r="M127" s="52" t="s">
        <v>85</v>
      </c>
      <c r="N127" s="52" t="s">
        <v>85</v>
      </c>
      <c r="O127" s="44" t="s">
        <v>87</v>
      </c>
      <c r="P127" s="44" t="s">
        <v>86</v>
      </c>
      <c r="Q127" s="113" t="s">
        <v>85</v>
      </c>
    </row>
    <row r="128" spans="1:17" ht="75" customHeight="1">
      <c r="A128" s="49" t="s">
        <v>23</v>
      </c>
      <c r="B128" s="49">
        <v>45770</v>
      </c>
      <c r="C128" s="49" t="s">
        <v>123</v>
      </c>
      <c r="D128" s="50" t="s">
        <v>98</v>
      </c>
      <c r="E128" s="51" t="s">
        <v>377</v>
      </c>
      <c r="F128" s="52" t="s">
        <v>378</v>
      </c>
      <c r="G128" s="52" t="s">
        <v>379</v>
      </c>
      <c r="H128" s="52" t="s">
        <v>114</v>
      </c>
      <c r="I128" s="52" t="s">
        <v>85</v>
      </c>
      <c r="J128" s="52" t="s">
        <v>84</v>
      </c>
      <c r="K128" s="52" t="s">
        <v>85</v>
      </c>
      <c r="L128" s="52" t="s">
        <v>86</v>
      </c>
      <c r="M128" s="52" t="s">
        <v>85</v>
      </c>
      <c r="N128" s="52" t="s">
        <v>85</v>
      </c>
      <c r="O128" s="44" t="s">
        <v>118</v>
      </c>
      <c r="P128" s="44" t="s">
        <v>1498</v>
      </c>
      <c r="Q128" s="113" t="s">
        <v>85</v>
      </c>
    </row>
    <row r="129" spans="1:17" ht="49.5" customHeight="1">
      <c r="A129" s="49" t="s">
        <v>23</v>
      </c>
      <c r="B129" s="49">
        <v>45771</v>
      </c>
      <c r="C129" s="49" t="s">
        <v>220</v>
      </c>
      <c r="D129" s="50" t="s">
        <v>89</v>
      </c>
      <c r="E129" s="51" t="s">
        <v>380</v>
      </c>
      <c r="F129" s="52" t="s">
        <v>153</v>
      </c>
      <c r="G129" s="52" t="s">
        <v>262</v>
      </c>
      <c r="H129" s="52" t="s">
        <v>93</v>
      </c>
      <c r="I129" s="52" t="s">
        <v>85</v>
      </c>
      <c r="J129" s="52" t="s">
        <v>84</v>
      </c>
      <c r="K129" s="52" t="s">
        <v>85</v>
      </c>
      <c r="L129" s="52" t="s">
        <v>86</v>
      </c>
      <c r="M129" s="52" t="s">
        <v>85</v>
      </c>
      <c r="N129" s="52" t="s">
        <v>85</v>
      </c>
      <c r="O129" s="52" t="s">
        <v>118</v>
      </c>
      <c r="P129" s="44" t="s">
        <v>86</v>
      </c>
      <c r="Q129" s="113" t="s">
        <v>85</v>
      </c>
    </row>
    <row r="130" spans="1:17" ht="87" customHeight="1">
      <c r="A130" s="49" t="s">
        <v>23</v>
      </c>
      <c r="B130" s="49">
        <v>45772</v>
      </c>
      <c r="C130" s="49" t="s">
        <v>106</v>
      </c>
      <c r="D130" s="50" t="s">
        <v>136</v>
      </c>
      <c r="E130" s="51" t="s">
        <v>381</v>
      </c>
      <c r="F130" s="52" t="s">
        <v>83</v>
      </c>
      <c r="G130" s="52" t="s">
        <v>382</v>
      </c>
      <c r="H130" s="52" t="s">
        <v>83</v>
      </c>
      <c r="I130" s="52" t="s">
        <v>84</v>
      </c>
      <c r="J130" s="52" t="s">
        <v>85</v>
      </c>
      <c r="K130" s="52" t="s">
        <v>84</v>
      </c>
      <c r="L130" s="52" t="s">
        <v>337</v>
      </c>
      <c r="M130" s="52" t="s">
        <v>85</v>
      </c>
      <c r="N130" s="52" t="s">
        <v>85</v>
      </c>
      <c r="O130" s="44" t="s">
        <v>87</v>
      </c>
      <c r="P130" s="44" t="s">
        <v>86</v>
      </c>
      <c r="Q130" s="113" t="s">
        <v>85</v>
      </c>
    </row>
    <row r="131" spans="1:17" ht="62.25" customHeight="1">
      <c r="A131" s="49" t="s">
        <v>23</v>
      </c>
      <c r="B131" s="49">
        <v>45772</v>
      </c>
      <c r="C131" s="49" t="s">
        <v>78</v>
      </c>
      <c r="D131" s="50" t="s">
        <v>89</v>
      </c>
      <c r="E131" s="51" t="s">
        <v>383</v>
      </c>
      <c r="F131" s="52" t="s">
        <v>100</v>
      </c>
      <c r="G131" s="52" t="s">
        <v>233</v>
      </c>
      <c r="H131" s="52" t="s">
        <v>126</v>
      </c>
      <c r="I131" s="52" t="s">
        <v>85</v>
      </c>
      <c r="J131" s="52" t="s">
        <v>84</v>
      </c>
      <c r="K131" s="52" t="s">
        <v>85</v>
      </c>
      <c r="L131" s="52" t="s">
        <v>86</v>
      </c>
      <c r="M131" s="52" t="s">
        <v>85</v>
      </c>
      <c r="N131" s="52" t="s">
        <v>85</v>
      </c>
      <c r="O131" s="44" t="s">
        <v>87</v>
      </c>
      <c r="P131" s="44" t="s">
        <v>86</v>
      </c>
      <c r="Q131" s="113" t="s">
        <v>85</v>
      </c>
    </row>
    <row r="132" spans="1:17" ht="75" customHeight="1">
      <c r="A132" s="49" t="s">
        <v>23</v>
      </c>
      <c r="B132" s="49">
        <v>45774</v>
      </c>
      <c r="C132" s="49" t="s">
        <v>106</v>
      </c>
      <c r="D132" s="50" t="s">
        <v>98</v>
      </c>
      <c r="E132" s="51" t="s">
        <v>384</v>
      </c>
      <c r="F132" s="52" t="s">
        <v>91</v>
      </c>
      <c r="G132" s="52" t="s">
        <v>385</v>
      </c>
      <c r="H132" s="52" t="s">
        <v>83</v>
      </c>
      <c r="I132" s="52" t="s">
        <v>85</v>
      </c>
      <c r="J132" s="52" t="s">
        <v>85</v>
      </c>
      <c r="K132" s="52" t="s">
        <v>84</v>
      </c>
      <c r="L132" s="52" t="s">
        <v>386</v>
      </c>
      <c r="M132" s="52" t="s">
        <v>84</v>
      </c>
      <c r="N132" s="52" t="s">
        <v>85</v>
      </c>
      <c r="O132" s="44" t="s">
        <v>87</v>
      </c>
      <c r="P132" s="44" t="s">
        <v>86</v>
      </c>
      <c r="Q132" s="113" t="s">
        <v>85</v>
      </c>
    </row>
    <row r="133" spans="1:17" ht="87" customHeight="1">
      <c r="A133" s="49" t="s">
        <v>23</v>
      </c>
      <c r="B133" s="49">
        <v>45775</v>
      </c>
      <c r="C133" s="49" t="s">
        <v>78</v>
      </c>
      <c r="D133" s="50" t="s">
        <v>98</v>
      </c>
      <c r="E133" s="51" t="s">
        <v>387</v>
      </c>
      <c r="F133" s="52" t="s">
        <v>81</v>
      </c>
      <c r="G133" s="52" t="s">
        <v>101</v>
      </c>
      <c r="H133" s="52" t="s">
        <v>102</v>
      </c>
      <c r="I133" s="52" t="s">
        <v>85</v>
      </c>
      <c r="J133" s="52" t="s">
        <v>84</v>
      </c>
      <c r="K133" s="52" t="s">
        <v>85</v>
      </c>
      <c r="L133" s="52" t="s">
        <v>86</v>
      </c>
      <c r="M133" s="52" t="s">
        <v>85</v>
      </c>
      <c r="N133" s="52" t="s">
        <v>85</v>
      </c>
      <c r="O133" s="44" t="s">
        <v>118</v>
      </c>
      <c r="P133" s="44" t="s">
        <v>1500</v>
      </c>
      <c r="Q133" s="113" t="s">
        <v>85</v>
      </c>
    </row>
    <row r="134" spans="1:17" ht="99.75" customHeight="1">
      <c r="A134" s="49" t="s">
        <v>23</v>
      </c>
      <c r="B134" s="49">
        <v>45775</v>
      </c>
      <c r="C134" s="49" t="s">
        <v>220</v>
      </c>
      <c r="D134" s="50" t="s">
        <v>89</v>
      </c>
      <c r="E134" s="51" t="s">
        <v>388</v>
      </c>
      <c r="F134" s="52" t="s">
        <v>91</v>
      </c>
      <c r="G134" s="52" t="s">
        <v>389</v>
      </c>
      <c r="H134" s="52" t="s">
        <v>83</v>
      </c>
      <c r="I134" s="52" t="s">
        <v>84</v>
      </c>
      <c r="J134" s="52" t="s">
        <v>84</v>
      </c>
      <c r="K134" s="52" t="s">
        <v>85</v>
      </c>
      <c r="L134" s="52" t="s">
        <v>86</v>
      </c>
      <c r="M134" s="52" t="s">
        <v>85</v>
      </c>
      <c r="N134" s="52" t="s">
        <v>85</v>
      </c>
      <c r="O134" s="44" t="s">
        <v>118</v>
      </c>
      <c r="P134" s="44" t="s">
        <v>1498</v>
      </c>
      <c r="Q134" s="113" t="s">
        <v>85</v>
      </c>
    </row>
    <row r="135" spans="1:17" ht="75" customHeight="1">
      <c r="A135" s="49" t="s">
        <v>23</v>
      </c>
      <c r="B135" s="49">
        <v>45775</v>
      </c>
      <c r="C135" s="49" t="s">
        <v>123</v>
      </c>
      <c r="D135" s="50" t="s">
        <v>98</v>
      </c>
      <c r="E135" s="51" t="s">
        <v>390</v>
      </c>
      <c r="F135" s="52" t="s">
        <v>153</v>
      </c>
      <c r="G135" s="52" t="s">
        <v>150</v>
      </c>
      <c r="H135" s="52" t="s">
        <v>117</v>
      </c>
      <c r="I135" s="52" t="s">
        <v>85</v>
      </c>
      <c r="J135" s="52" t="s">
        <v>84</v>
      </c>
      <c r="K135" s="52" t="s">
        <v>85</v>
      </c>
      <c r="L135" s="52" t="s">
        <v>86</v>
      </c>
      <c r="M135" s="52" t="s">
        <v>85</v>
      </c>
      <c r="N135" s="52" t="s">
        <v>85</v>
      </c>
      <c r="O135" s="44" t="s">
        <v>118</v>
      </c>
      <c r="P135" s="44" t="s">
        <v>86</v>
      </c>
      <c r="Q135" s="113" t="s">
        <v>85</v>
      </c>
    </row>
    <row r="136" spans="1:17" ht="99.75" customHeight="1">
      <c r="A136" s="49" t="s">
        <v>23</v>
      </c>
      <c r="B136" s="49">
        <v>45777</v>
      </c>
      <c r="C136" s="49" t="s">
        <v>78</v>
      </c>
      <c r="D136" s="50" t="s">
        <v>98</v>
      </c>
      <c r="E136" s="51" t="s">
        <v>391</v>
      </c>
      <c r="F136" s="52" t="s">
        <v>133</v>
      </c>
      <c r="G136" s="52" t="s">
        <v>154</v>
      </c>
      <c r="H136" s="52" t="s">
        <v>126</v>
      </c>
      <c r="I136" s="52" t="s">
        <v>85</v>
      </c>
      <c r="J136" s="52" t="s">
        <v>84</v>
      </c>
      <c r="K136" s="52" t="s">
        <v>85</v>
      </c>
      <c r="L136" s="52" t="s">
        <v>86</v>
      </c>
      <c r="M136" s="52" t="s">
        <v>85</v>
      </c>
      <c r="N136" s="52" t="s">
        <v>85</v>
      </c>
      <c r="O136" s="44" t="s">
        <v>87</v>
      </c>
      <c r="P136" s="44" t="s">
        <v>86</v>
      </c>
      <c r="Q136" s="113" t="s">
        <v>85</v>
      </c>
    </row>
    <row r="137" spans="1:17" ht="60" customHeight="1">
      <c r="A137" s="49" t="s">
        <v>24</v>
      </c>
      <c r="B137" s="49">
        <v>45778</v>
      </c>
      <c r="C137" s="49" t="s">
        <v>123</v>
      </c>
      <c r="D137" s="50" t="s">
        <v>83</v>
      </c>
      <c r="E137" s="51" t="s">
        <v>392</v>
      </c>
      <c r="F137" s="52" t="s">
        <v>96</v>
      </c>
      <c r="G137" s="52" t="s">
        <v>393</v>
      </c>
      <c r="H137" s="52" t="s">
        <v>175</v>
      </c>
      <c r="I137" s="52" t="s">
        <v>85</v>
      </c>
      <c r="J137" s="52" t="s">
        <v>84</v>
      </c>
      <c r="K137" s="52" t="s">
        <v>85</v>
      </c>
      <c r="L137" s="52" t="s">
        <v>86</v>
      </c>
      <c r="M137" s="52" t="s">
        <v>85</v>
      </c>
      <c r="N137" s="52" t="s">
        <v>85</v>
      </c>
      <c r="O137" s="44" t="s">
        <v>118</v>
      </c>
      <c r="P137" s="44" t="s">
        <v>1498</v>
      </c>
      <c r="Q137" s="113" t="s">
        <v>85</v>
      </c>
    </row>
    <row r="138" spans="1:17" ht="62.25" customHeight="1">
      <c r="A138" s="49" t="s">
        <v>24</v>
      </c>
      <c r="B138" s="49">
        <v>45779</v>
      </c>
      <c r="C138" s="49" t="s">
        <v>88</v>
      </c>
      <c r="D138" s="50" t="s">
        <v>136</v>
      </c>
      <c r="E138" s="51" t="s">
        <v>394</v>
      </c>
      <c r="F138" s="52" t="s">
        <v>100</v>
      </c>
      <c r="G138" s="52" t="s">
        <v>395</v>
      </c>
      <c r="H138" s="52" t="s">
        <v>135</v>
      </c>
      <c r="I138" s="52" t="s">
        <v>85</v>
      </c>
      <c r="J138" s="52" t="s">
        <v>84</v>
      </c>
      <c r="K138" s="52" t="s">
        <v>85</v>
      </c>
      <c r="L138" s="52" t="s">
        <v>86</v>
      </c>
      <c r="M138" s="52" t="s">
        <v>85</v>
      </c>
      <c r="N138" s="52" t="s">
        <v>85</v>
      </c>
      <c r="O138" s="44" t="s">
        <v>87</v>
      </c>
      <c r="P138" s="44" t="s">
        <v>86</v>
      </c>
      <c r="Q138" s="113" t="s">
        <v>85</v>
      </c>
    </row>
    <row r="139" spans="1:17" ht="87" customHeight="1">
      <c r="A139" s="49" t="s">
        <v>24</v>
      </c>
      <c r="B139" s="49">
        <v>45779</v>
      </c>
      <c r="C139" s="49" t="s">
        <v>78</v>
      </c>
      <c r="D139" s="50" t="s">
        <v>240</v>
      </c>
      <c r="E139" s="51" t="s">
        <v>396</v>
      </c>
      <c r="F139" s="52" t="s">
        <v>133</v>
      </c>
      <c r="G139" s="52" t="s">
        <v>397</v>
      </c>
      <c r="H139" s="52" t="s">
        <v>83</v>
      </c>
      <c r="I139" s="52" t="s">
        <v>84</v>
      </c>
      <c r="J139" s="52" t="s">
        <v>84</v>
      </c>
      <c r="K139" s="52" t="s">
        <v>85</v>
      </c>
      <c r="L139" s="52" t="s">
        <v>86</v>
      </c>
      <c r="M139" s="52" t="s">
        <v>85</v>
      </c>
      <c r="N139" s="52" t="s">
        <v>84</v>
      </c>
      <c r="O139" s="44" t="s">
        <v>87</v>
      </c>
      <c r="P139" s="44" t="s">
        <v>1506</v>
      </c>
      <c r="Q139" s="113" t="s">
        <v>85</v>
      </c>
    </row>
    <row r="140" spans="1:17" ht="75" customHeight="1">
      <c r="A140" s="49" t="s">
        <v>24</v>
      </c>
      <c r="B140" s="49">
        <v>45779</v>
      </c>
      <c r="C140" s="49" t="s">
        <v>78</v>
      </c>
      <c r="D140" s="50" t="s">
        <v>240</v>
      </c>
      <c r="E140" s="51" t="s">
        <v>398</v>
      </c>
      <c r="F140" s="52" t="s">
        <v>100</v>
      </c>
      <c r="G140" s="52" t="s">
        <v>399</v>
      </c>
      <c r="H140" s="52" t="s">
        <v>135</v>
      </c>
      <c r="I140" s="52" t="s">
        <v>85</v>
      </c>
      <c r="J140" s="52" t="s">
        <v>85</v>
      </c>
      <c r="K140" s="52" t="s">
        <v>84</v>
      </c>
      <c r="L140" s="52" t="s">
        <v>400</v>
      </c>
      <c r="M140" s="52" t="s">
        <v>85</v>
      </c>
      <c r="N140" s="52" t="s">
        <v>85</v>
      </c>
      <c r="O140" s="44" t="s">
        <v>87</v>
      </c>
      <c r="P140" s="44" t="s">
        <v>86</v>
      </c>
      <c r="Q140" s="113" t="s">
        <v>85</v>
      </c>
    </row>
    <row r="141" spans="1:17" ht="87" customHeight="1">
      <c r="A141" s="49" t="s">
        <v>24</v>
      </c>
      <c r="B141" s="49">
        <v>45780</v>
      </c>
      <c r="C141" s="49" t="s">
        <v>88</v>
      </c>
      <c r="D141" s="50" t="s">
        <v>98</v>
      </c>
      <c r="E141" s="51" t="s">
        <v>401</v>
      </c>
      <c r="F141" s="52" t="s">
        <v>91</v>
      </c>
      <c r="G141" s="52" t="s">
        <v>150</v>
      </c>
      <c r="H141" s="52" t="s">
        <v>117</v>
      </c>
      <c r="I141" s="52" t="s">
        <v>85</v>
      </c>
      <c r="J141" s="52" t="s">
        <v>84</v>
      </c>
      <c r="K141" s="52" t="s">
        <v>85</v>
      </c>
      <c r="L141" s="52" t="s">
        <v>402</v>
      </c>
      <c r="M141" s="52" t="s">
        <v>85</v>
      </c>
      <c r="N141" s="52" t="s">
        <v>84</v>
      </c>
      <c r="O141" s="52" t="s">
        <v>87</v>
      </c>
      <c r="P141" s="44" t="s">
        <v>1507</v>
      </c>
      <c r="Q141" s="113" t="s">
        <v>85</v>
      </c>
    </row>
    <row r="142" spans="1:17" ht="153" customHeight="1">
      <c r="A142" s="49" t="s">
        <v>24</v>
      </c>
      <c r="B142" s="49">
        <v>45780</v>
      </c>
      <c r="C142" s="49" t="s">
        <v>88</v>
      </c>
      <c r="D142" s="50" t="s">
        <v>83</v>
      </c>
      <c r="E142" s="56" t="s">
        <v>403</v>
      </c>
      <c r="F142" s="52" t="s">
        <v>350</v>
      </c>
      <c r="G142" s="52" t="s">
        <v>404</v>
      </c>
      <c r="H142" s="52" t="s">
        <v>405</v>
      </c>
      <c r="I142" s="52" t="s">
        <v>85</v>
      </c>
      <c r="J142" s="52" t="s">
        <v>84</v>
      </c>
      <c r="K142" s="52" t="s">
        <v>85</v>
      </c>
      <c r="L142" s="52" t="s">
        <v>86</v>
      </c>
      <c r="M142" s="52" t="s">
        <v>85</v>
      </c>
      <c r="N142" s="52" t="s">
        <v>84</v>
      </c>
      <c r="O142" s="52" t="s">
        <v>87</v>
      </c>
      <c r="P142" s="44" t="s">
        <v>86</v>
      </c>
      <c r="Q142" s="113" t="s">
        <v>85</v>
      </c>
    </row>
    <row r="143" spans="1:17" ht="99.75" customHeight="1">
      <c r="A143" s="49" t="s">
        <v>24</v>
      </c>
      <c r="B143" s="49">
        <v>45780</v>
      </c>
      <c r="C143" s="49" t="s">
        <v>78</v>
      </c>
      <c r="D143" s="50" t="s">
        <v>98</v>
      </c>
      <c r="E143" s="56" t="s">
        <v>406</v>
      </c>
      <c r="F143" s="52" t="s">
        <v>100</v>
      </c>
      <c r="G143" s="52" t="s">
        <v>407</v>
      </c>
      <c r="H143" s="52" t="s">
        <v>135</v>
      </c>
      <c r="I143" s="52" t="s">
        <v>84</v>
      </c>
      <c r="J143" s="52" t="s">
        <v>84</v>
      </c>
      <c r="K143" s="52" t="s">
        <v>85</v>
      </c>
      <c r="L143" s="52" t="s">
        <v>86</v>
      </c>
      <c r="M143" s="52" t="s">
        <v>85</v>
      </c>
      <c r="N143" s="52" t="s">
        <v>85</v>
      </c>
      <c r="O143" s="44" t="s">
        <v>118</v>
      </c>
      <c r="P143" s="44" t="s">
        <v>86</v>
      </c>
      <c r="Q143" s="113" t="s">
        <v>85</v>
      </c>
    </row>
    <row r="144" spans="1:17" ht="273.60000000000002" customHeight="1">
      <c r="A144" s="49" t="s">
        <v>24</v>
      </c>
      <c r="B144" s="49">
        <v>45780</v>
      </c>
      <c r="C144" s="49" t="s">
        <v>78</v>
      </c>
      <c r="D144" s="50" t="s">
        <v>98</v>
      </c>
      <c r="E144" s="56" t="s">
        <v>408</v>
      </c>
      <c r="F144" s="52" t="s">
        <v>378</v>
      </c>
      <c r="G144" s="52" t="s">
        <v>83</v>
      </c>
      <c r="H144" s="52" t="s">
        <v>409</v>
      </c>
      <c r="I144" s="52" t="s">
        <v>85</v>
      </c>
      <c r="J144" s="52" t="s">
        <v>84</v>
      </c>
      <c r="K144" s="52" t="s">
        <v>85</v>
      </c>
      <c r="L144" s="52" t="s">
        <v>86</v>
      </c>
      <c r="M144" s="52" t="s">
        <v>85</v>
      </c>
      <c r="N144" s="52" t="s">
        <v>85</v>
      </c>
      <c r="O144" s="44" t="s">
        <v>87</v>
      </c>
      <c r="P144" s="44" t="s">
        <v>86</v>
      </c>
      <c r="Q144" s="113" t="s">
        <v>85</v>
      </c>
    </row>
    <row r="145" spans="1:17" ht="61.5" customHeight="1">
      <c r="A145" s="49" t="s">
        <v>24</v>
      </c>
      <c r="B145" s="49">
        <v>45781</v>
      </c>
      <c r="C145" s="49" t="s">
        <v>78</v>
      </c>
      <c r="D145" s="50" t="s">
        <v>79</v>
      </c>
      <c r="E145" s="51" t="s">
        <v>410</v>
      </c>
      <c r="F145" s="52" t="s">
        <v>91</v>
      </c>
      <c r="G145" s="52" t="s">
        <v>97</v>
      </c>
      <c r="H145" s="52" t="s">
        <v>93</v>
      </c>
      <c r="I145" s="52" t="s">
        <v>85</v>
      </c>
      <c r="J145" s="52" t="s">
        <v>85</v>
      </c>
      <c r="K145" s="52" t="s">
        <v>84</v>
      </c>
      <c r="L145" s="52" t="s">
        <v>411</v>
      </c>
      <c r="M145" s="52" t="s">
        <v>85</v>
      </c>
      <c r="N145" s="52" t="s">
        <v>85</v>
      </c>
      <c r="O145" s="44" t="s">
        <v>87</v>
      </c>
      <c r="P145" s="44" t="s">
        <v>86</v>
      </c>
      <c r="Q145" s="113" t="s">
        <v>85</v>
      </c>
    </row>
    <row r="146" spans="1:17" ht="99.75" customHeight="1">
      <c r="A146" s="49" t="s">
        <v>24</v>
      </c>
      <c r="B146" s="49">
        <v>45783</v>
      </c>
      <c r="C146" s="49" t="s">
        <v>78</v>
      </c>
      <c r="D146" s="50" t="s">
        <v>89</v>
      </c>
      <c r="E146" s="51" t="s">
        <v>412</v>
      </c>
      <c r="F146" s="52" t="s">
        <v>109</v>
      </c>
      <c r="G146" s="52" t="s">
        <v>150</v>
      </c>
      <c r="H146" s="52" t="s">
        <v>117</v>
      </c>
      <c r="I146" s="52" t="s">
        <v>85</v>
      </c>
      <c r="J146" s="52" t="s">
        <v>84</v>
      </c>
      <c r="K146" s="52" t="s">
        <v>85</v>
      </c>
      <c r="L146" s="52" t="s">
        <v>86</v>
      </c>
      <c r="M146" s="52" t="s">
        <v>85</v>
      </c>
      <c r="N146" s="52" t="s">
        <v>85</v>
      </c>
      <c r="O146" s="44" t="s">
        <v>87</v>
      </c>
      <c r="P146" s="44" t="s">
        <v>86</v>
      </c>
      <c r="Q146" s="113" t="s">
        <v>85</v>
      </c>
    </row>
    <row r="147" spans="1:17" ht="75" customHeight="1">
      <c r="A147" s="49" t="s">
        <v>24</v>
      </c>
      <c r="B147" s="49">
        <v>45784</v>
      </c>
      <c r="C147" s="49" t="s">
        <v>106</v>
      </c>
      <c r="D147" s="50" t="s">
        <v>79</v>
      </c>
      <c r="E147" s="51" t="s">
        <v>413</v>
      </c>
      <c r="F147" s="52" t="s">
        <v>153</v>
      </c>
      <c r="G147" s="52" t="s">
        <v>414</v>
      </c>
      <c r="H147" s="52" t="s">
        <v>93</v>
      </c>
      <c r="I147" s="52" t="s">
        <v>85</v>
      </c>
      <c r="J147" s="52" t="s">
        <v>85</v>
      </c>
      <c r="K147" s="52" t="s">
        <v>84</v>
      </c>
      <c r="L147" s="52" t="s">
        <v>415</v>
      </c>
      <c r="M147" s="52" t="s">
        <v>85</v>
      </c>
      <c r="N147" s="52" t="s">
        <v>85</v>
      </c>
      <c r="O147" s="44" t="s">
        <v>87</v>
      </c>
      <c r="P147" s="44" t="s">
        <v>86</v>
      </c>
      <c r="Q147" s="113" t="s">
        <v>85</v>
      </c>
    </row>
    <row r="148" spans="1:17" ht="71.25" customHeight="1">
      <c r="A148" s="49" t="s">
        <v>24</v>
      </c>
      <c r="B148" s="49">
        <v>45784</v>
      </c>
      <c r="C148" s="49" t="s">
        <v>78</v>
      </c>
      <c r="D148" s="50" t="s">
        <v>98</v>
      </c>
      <c r="E148" s="51" t="s">
        <v>416</v>
      </c>
      <c r="F148" s="52" t="s">
        <v>109</v>
      </c>
      <c r="G148" s="52" t="s">
        <v>417</v>
      </c>
      <c r="H148" s="52" t="s">
        <v>126</v>
      </c>
      <c r="I148" s="52" t="s">
        <v>85</v>
      </c>
      <c r="J148" s="52" t="s">
        <v>84</v>
      </c>
      <c r="K148" s="52" t="s">
        <v>85</v>
      </c>
      <c r="L148" s="52" t="s">
        <v>86</v>
      </c>
      <c r="M148" s="52" t="s">
        <v>85</v>
      </c>
      <c r="N148" s="52" t="s">
        <v>85</v>
      </c>
      <c r="O148" s="44" t="s">
        <v>87</v>
      </c>
      <c r="P148" s="44" t="s">
        <v>1498</v>
      </c>
      <c r="Q148" s="113" t="s">
        <v>85</v>
      </c>
    </row>
    <row r="149" spans="1:17" ht="75" customHeight="1">
      <c r="A149" s="49" t="s">
        <v>24</v>
      </c>
      <c r="B149" s="49">
        <v>45785</v>
      </c>
      <c r="C149" s="49" t="s">
        <v>106</v>
      </c>
      <c r="D149" s="50" t="s">
        <v>79</v>
      </c>
      <c r="E149" s="51" t="s">
        <v>418</v>
      </c>
      <c r="F149" s="52" t="s">
        <v>91</v>
      </c>
      <c r="G149" s="52" t="s">
        <v>279</v>
      </c>
      <c r="H149" s="52" t="s">
        <v>93</v>
      </c>
      <c r="I149" s="52" t="s">
        <v>85</v>
      </c>
      <c r="J149" s="52" t="s">
        <v>85</v>
      </c>
      <c r="K149" s="52" t="s">
        <v>84</v>
      </c>
      <c r="L149" s="52" t="s">
        <v>280</v>
      </c>
      <c r="M149" s="52" t="s">
        <v>84</v>
      </c>
      <c r="N149" s="52" t="s">
        <v>85</v>
      </c>
      <c r="O149" s="44" t="s">
        <v>87</v>
      </c>
      <c r="P149" s="44" t="s">
        <v>86</v>
      </c>
      <c r="Q149" s="113" t="s">
        <v>85</v>
      </c>
    </row>
    <row r="150" spans="1:17" ht="62.25" customHeight="1">
      <c r="A150" s="49" t="s">
        <v>24</v>
      </c>
      <c r="B150" s="49">
        <v>45785</v>
      </c>
      <c r="C150" s="49" t="s">
        <v>78</v>
      </c>
      <c r="D150" s="50" t="s">
        <v>79</v>
      </c>
      <c r="E150" s="51" t="s">
        <v>419</v>
      </c>
      <c r="F150" s="52" t="s">
        <v>153</v>
      </c>
      <c r="G150" s="52" t="s">
        <v>420</v>
      </c>
      <c r="H150" s="52" t="s">
        <v>93</v>
      </c>
      <c r="I150" s="52" t="s">
        <v>85</v>
      </c>
      <c r="J150" s="52" t="s">
        <v>84</v>
      </c>
      <c r="K150" s="52" t="s">
        <v>85</v>
      </c>
      <c r="L150" s="52" t="s">
        <v>86</v>
      </c>
      <c r="M150" s="52" t="s">
        <v>85</v>
      </c>
      <c r="N150" s="52" t="s">
        <v>85</v>
      </c>
      <c r="O150" s="44" t="s">
        <v>87</v>
      </c>
      <c r="P150" s="44" t="s">
        <v>86</v>
      </c>
      <c r="Q150" s="113" t="s">
        <v>85</v>
      </c>
    </row>
    <row r="151" spans="1:17" ht="112.5" customHeight="1">
      <c r="A151" s="49" t="s">
        <v>24</v>
      </c>
      <c r="B151" s="49">
        <v>45786</v>
      </c>
      <c r="C151" s="49" t="s">
        <v>106</v>
      </c>
      <c r="D151" s="50" t="s">
        <v>98</v>
      </c>
      <c r="E151" s="56" t="s">
        <v>421</v>
      </c>
      <c r="F151" s="52" t="s">
        <v>354</v>
      </c>
      <c r="G151" s="52" t="s">
        <v>150</v>
      </c>
      <c r="H151" s="52" t="s">
        <v>117</v>
      </c>
      <c r="I151" s="52" t="s">
        <v>84</v>
      </c>
      <c r="J151" s="52" t="s">
        <v>84</v>
      </c>
      <c r="K151" s="52" t="s">
        <v>85</v>
      </c>
      <c r="L151" s="52" t="s">
        <v>86</v>
      </c>
      <c r="M151" s="52" t="s">
        <v>84</v>
      </c>
      <c r="N151" s="52" t="s">
        <v>85</v>
      </c>
      <c r="O151" s="52" t="s">
        <v>118</v>
      </c>
      <c r="P151" s="44" t="s">
        <v>1500</v>
      </c>
      <c r="Q151" s="113" t="s">
        <v>85</v>
      </c>
    </row>
    <row r="152" spans="1:17" ht="99.75" customHeight="1">
      <c r="A152" s="49" t="s">
        <v>24</v>
      </c>
      <c r="B152" s="49">
        <v>45789</v>
      </c>
      <c r="C152" s="49" t="s">
        <v>106</v>
      </c>
      <c r="D152" s="50" t="s">
        <v>136</v>
      </c>
      <c r="E152" s="51" t="s">
        <v>422</v>
      </c>
      <c r="F152" s="52" t="s">
        <v>133</v>
      </c>
      <c r="G152" s="52" t="s">
        <v>423</v>
      </c>
      <c r="H152" s="52" t="s">
        <v>93</v>
      </c>
      <c r="I152" s="52" t="s">
        <v>84</v>
      </c>
      <c r="J152" s="52" t="s">
        <v>85</v>
      </c>
      <c r="K152" s="52" t="s">
        <v>84</v>
      </c>
      <c r="L152" s="52" t="s">
        <v>424</v>
      </c>
      <c r="M152" s="52" t="s">
        <v>85</v>
      </c>
      <c r="N152" s="52" t="s">
        <v>85</v>
      </c>
      <c r="O152" s="44" t="s">
        <v>87</v>
      </c>
      <c r="P152" s="44" t="s">
        <v>86</v>
      </c>
      <c r="Q152" s="113" t="s">
        <v>85</v>
      </c>
    </row>
    <row r="153" spans="1:17" ht="49.5" customHeight="1">
      <c r="A153" s="49" t="s">
        <v>24</v>
      </c>
      <c r="B153" s="49">
        <v>45790</v>
      </c>
      <c r="C153" s="49" t="s">
        <v>123</v>
      </c>
      <c r="D153" s="50" t="s">
        <v>98</v>
      </c>
      <c r="E153" s="51" t="s">
        <v>425</v>
      </c>
      <c r="F153" s="52" t="s">
        <v>81</v>
      </c>
      <c r="G153" s="52" t="s">
        <v>426</v>
      </c>
      <c r="H153" s="52" t="s">
        <v>83</v>
      </c>
      <c r="I153" s="52" t="s">
        <v>85</v>
      </c>
      <c r="J153" s="52" t="s">
        <v>84</v>
      </c>
      <c r="K153" s="52" t="s">
        <v>85</v>
      </c>
      <c r="L153" s="52" t="s">
        <v>86</v>
      </c>
      <c r="M153" s="52" t="s">
        <v>85</v>
      </c>
      <c r="N153" s="52" t="s">
        <v>85</v>
      </c>
      <c r="O153" s="44" t="s">
        <v>87</v>
      </c>
      <c r="P153" s="44" t="s">
        <v>86</v>
      </c>
      <c r="Q153" s="113" t="s">
        <v>85</v>
      </c>
    </row>
    <row r="154" spans="1:17" ht="49.5" customHeight="1">
      <c r="A154" s="49" t="s">
        <v>24</v>
      </c>
      <c r="B154" s="49">
        <v>45790</v>
      </c>
      <c r="C154" s="49" t="s">
        <v>123</v>
      </c>
      <c r="D154" s="50" t="s">
        <v>89</v>
      </c>
      <c r="E154" s="51" t="s">
        <v>427</v>
      </c>
      <c r="F154" s="52" t="s">
        <v>153</v>
      </c>
      <c r="G154" s="52" t="s">
        <v>428</v>
      </c>
      <c r="H154" s="52" t="s">
        <v>83</v>
      </c>
      <c r="I154" s="52" t="s">
        <v>85</v>
      </c>
      <c r="J154" s="52" t="s">
        <v>84</v>
      </c>
      <c r="K154" s="52" t="s">
        <v>85</v>
      </c>
      <c r="L154" s="52" t="s">
        <v>86</v>
      </c>
      <c r="M154" s="52" t="s">
        <v>85</v>
      </c>
      <c r="N154" s="52" t="s">
        <v>85</v>
      </c>
      <c r="O154" s="44" t="s">
        <v>118</v>
      </c>
      <c r="P154" s="44" t="s">
        <v>86</v>
      </c>
      <c r="Q154" s="113" t="s">
        <v>85</v>
      </c>
    </row>
    <row r="155" spans="1:17" ht="65.25" customHeight="1">
      <c r="A155" s="49" t="s">
        <v>24</v>
      </c>
      <c r="B155" s="49">
        <v>45790</v>
      </c>
      <c r="C155" s="49" t="s">
        <v>123</v>
      </c>
      <c r="D155" s="50" t="s">
        <v>98</v>
      </c>
      <c r="E155" s="51" t="s">
        <v>429</v>
      </c>
      <c r="F155" s="52" t="s">
        <v>100</v>
      </c>
      <c r="G155" s="52" t="s">
        <v>122</v>
      </c>
      <c r="H155" s="52" t="s">
        <v>102</v>
      </c>
      <c r="I155" s="52" t="s">
        <v>85</v>
      </c>
      <c r="J155" s="52" t="s">
        <v>84</v>
      </c>
      <c r="K155" s="52" t="s">
        <v>85</v>
      </c>
      <c r="L155" s="52" t="s">
        <v>86</v>
      </c>
      <c r="M155" s="52" t="s">
        <v>85</v>
      </c>
      <c r="N155" s="52" t="s">
        <v>85</v>
      </c>
      <c r="O155" s="44" t="s">
        <v>118</v>
      </c>
      <c r="P155" s="44" t="s">
        <v>1498</v>
      </c>
      <c r="Q155" s="113" t="s">
        <v>85</v>
      </c>
    </row>
    <row r="156" spans="1:17" ht="112.5" customHeight="1">
      <c r="A156" s="49" t="s">
        <v>24</v>
      </c>
      <c r="B156" s="49">
        <v>45791</v>
      </c>
      <c r="C156" s="49" t="s">
        <v>106</v>
      </c>
      <c r="D156" s="50" t="s">
        <v>79</v>
      </c>
      <c r="E156" s="51" t="s">
        <v>430</v>
      </c>
      <c r="F156" s="52" t="s">
        <v>91</v>
      </c>
      <c r="G156" s="52" t="s">
        <v>150</v>
      </c>
      <c r="H156" s="52" t="s">
        <v>117</v>
      </c>
      <c r="I156" s="52" t="s">
        <v>85</v>
      </c>
      <c r="J156" s="52" t="s">
        <v>84</v>
      </c>
      <c r="K156" s="52" t="s">
        <v>85</v>
      </c>
      <c r="L156" s="52" t="s">
        <v>86</v>
      </c>
      <c r="M156" s="52" t="s">
        <v>85</v>
      </c>
      <c r="N156" s="52" t="s">
        <v>85</v>
      </c>
      <c r="O156" s="44" t="s">
        <v>87</v>
      </c>
      <c r="P156" s="44" t="s">
        <v>86</v>
      </c>
      <c r="Q156" s="113" t="s">
        <v>85</v>
      </c>
    </row>
    <row r="157" spans="1:17" ht="62.25" customHeight="1">
      <c r="A157" s="49" t="s">
        <v>24</v>
      </c>
      <c r="B157" s="49">
        <v>45792</v>
      </c>
      <c r="C157" s="49" t="s">
        <v>106</v>
      </c>
      <c r="D157" s="50" t="s">
        <v>98</v>
      </c>
      <c r="E157" s="51" t="s">
        <v>431</v>
      </c>
      <c r="F157" s="52" t="s">
        <v>91</v>
      </c>
      <c r="G157" s="52" t="s">
        <v>125</v>
      </c>
      <c r="H157" s="52" t="s">
        <v>126</v>
      </c>
      <c r="I157" s="52" t="s">
        <v>85</v>
      </c>
      <c r="J157" s="52" t="s">
        <v>84</v>
      </c>
      <c r="K157" s="52" t="s">
        <v>85</v>
      </c>
      <c r="L157" s="52" t="s">
        <v>86</v>
      </c>
      <c r="M157" s="52" t="s">
        <v>85</v>
      </c>
      <c r="N157" s="52" t="s">
        <v>84</v>
      </c>
      <c r="O157" s="44" t="s">
        <v>118</v>
      </c>
      <c r="P157" s="44" t="s">
        <v>86</v>
      </c>
      <c r="Q157" s="113" t="s">
        <v>85</v>
      </c>
    </row>
    <row r="158" spans="1:17" ht="81" customHeight="1">
      <c r="A158" s="49" t="s">
        <v>24</v>
      </c>
      <c r="B158" s="49">
        <v>45792</v>
      </c>
      <c r="C158" s="49" t="s">
        <v>106</v>
      </c>
      <c r="D158" s="50" t="s">
        <v>98</v>
      </c>
      <c r="E158" s="51" t="s">
        <v>432</v>
      </c>
      <c r="F158" s="52" t="s">
        <v>81</v>
      </c>
      <c r="G158" s="52" t="s">
        <v>83</v>
      </c>
      <c r="H158" s="52" t="s">
        <v>83</v>
      </c>
      <c r="I158" s="52" t="s">
        <v>85</v>
      </c>
      <c r="J158" s="52" t="s">
        <v>84</v>
      </c>
      <c r="K158" s="52" t="s">
        <v>85</v>
      </c>
      <c r="L158" s="52" t="s">
        <v>86</v>
      </c>
      <c r="M158" s="52" t="s">
        <v>85</v>
      </c>
      <c r="N158" s="52" t="s">
        <v>85</v>
      </c>
      <c r="O158" s="44" t="s">
        <v>87</v>
      </c>
      <c r="P158" s="44" t="s">
        <v>1497</v>
      </c>
      <c r="Q158" s="113" t="s">
        <v>85</v>
      </c>
    </row>
    <row r="159" spans="1:17" ht="87" customHeight="1">
      <c r="A159" s="49" t="s">
        <v>24</v>
      </c>
      <c r="B159" s="49">
        <v>45792</v>
      </c>
      <c r="C159" s="49" t="s">
        <v>88</v>
      </c>
      <c r="D159" s="50" t="s">
        <v>98</v>
      </c>
      <c r="E159" s="51" t="s">
        <v>433</v>
      </c>
      <c r="F159" s="52" t="s">
        <v>109</v>
      </c>
      <c r="G159" s="52" t="s">
        <v>125</v>
      </c>
      <c r="H159" s="52" t="s">
        <v>126</v>
      </c>
      <c r="I159" s="52" t="s">
        <v>85</v>
      </c>
      <c r="J159" s="52" t="s">
        <v>84</v>
      </c>
      <c r="K159" s="52" t="s">
        <v>85</v>
      </c>
      <c r="L159" s="52" t="s">
        <v>86</v>
      </c>
      <c r="M159" s="52" t="s">
        <v>85</v>
      </c>
      <c r="N159" s="52" t="s">
        <v>85</v>
      </c>
      <c r="O159" s="44" t="s">
        <v>87</v>
      </c>
      <c r="P159" s="44" t="s">
        <v>86</v>
      </c>
      <c r="Q159" s="113" t="s">
        <v>85</v>
      </c>
    </row>
    <row r="160" spans="1:17" ht="49.5" customHeight="1">
      <c r="A160" s="49" t="s">
        <v>24</v>
      </c>
      <c r="B160" s="49">
        <v>45793</v>
      </c>
      <c r="C160" s="49" t="s">
        <v>78</v>
      </c>
      <c r="D160" s="50" t="s">
        <v>79</v>
      </c>
      <c r="E160" s="51" t="s">
        <v>434</v>
      </c>
      <c r="F160" s="52" t="s">
        <v>133</v>
      </c>
      <c r="G160" s="52" t="s">
        <v>435</v>
      </c>
      <c r="H160" s="52" t="s">
        <v>83</v>
      </c>
      <c r="I160" s="52" t="s">
        <v>85</v>
      </c>
      <c r="J160" s="52" t="s">
        <v>84</v>
      </c>
      <c r="K160" s="52" t="s">
        <v>85</v>
      </c>
      <c r="L160" s="52" t="s">
        <v>86</v>
      </c>
      <c r="M160" s="52" t="s">
        <v>85</v>
      </c>
      <c r="N160" s="52" t="s">
        <v>85</v>
      </c>
      <c r="O160" s="44" t="s">
        <v>87</v>
      </c>
      <c r="P160" s="44" t="s">
        <v>86</v>
      </c>
      <c r="Q160" s="113" t="s">
        <v>85</v>
      </c>
    </row>
    <row r="161" spans="1:17" ht="75" customHeight="1">
      <c r="A161" s="49" t="s">
        <v>24</v>
      </c>
      <c r="B161" s="49">
        <v>45794</v>
      </c>
      <c r="C161" s="49" t="s">
        <v>106</v>
      </c>
      <c r="D161" s="50" t="s">
        <v>98</v>
      </c>
      <c r="E161" s="51" t="s">
        <v>436</v>
      </c>
      <c r="F161" s="52" t="s">
        <v>81</v>
      </c>
      <c r="G161" s="52" t="s">
        <v>437</v>
      </c>
      <c r="H161" s="52" t="s">
        <v>135</v>
      </c>
      <c r="I161" s="52" t="s">
        <v>84</v>
      </c>
      <c r="J161" s="52" t="s">
        <v>84</v>
      </c>
      <c r="K161" s="52" t="s">
        <v>85</v>
      </c>
      <c r="L161" s="52" t="s">
        <v>86</v>
      </c>
      <c r="M161" s="52" t="s">
        <v>85</v>
      </c>
      <c r="N161" s="52" t="s">
        <v>84</v>
      </c>
      <c r="O161" s="44" t="s">
        <v>87</v>
      </c>
      <c r="P161" s="44" t="s">
        <v>86</v>
      </c>
      <c r="Q161" s="113" t="s">
        <v>85</v>
      </c>
    </row>
    <row r="162" spans="1:17" ht="75" customHeight="1">
      <c r="A162" s="49" t="s">
        <v>24</v>
      </c>
      <c r="B162" s="49">
        <v>45795</v>
      </c>
      <c r="C162" s="49" t="s">
        <v>106</v>
      </c>
      <c r="D162" s="50" t="s">
        <v>98</v>
      </c>
      <c r="E162" s="51" t="s">
        <v>438</v>
      </c>
      <c r="F162" s="52" t="s">
        <v>91</v>
      </c>
      <c r="G162" s="52" t="s">
        <v>439</v>
      </c>
      <c r="H162" s="52" t="s">
        <v>114</v>
      </c>
      <c r="I162" s="52" t="s">
        <v>84</v>
      </c>
      <c r="J162" s="52" t="s">
        <v>85</v>
      </c>
      <c r="K162" s="52" t="s">
        <v>84</v>
      </c>
      <c r="L162" s="52" t="s">
        <v>440</v>
      </c>
      <c r="M162" s="52" t="s">
        <v>84</v>
      </c>
      <c r="N162" s="52" t="s">
        <v>85</v>
      </c>
      <c r="O162" s="52" t="s">
        <v>118</v>
      </c>
      <c r="P162" s="44" t="s">
        <v>86</v>
      </c>
      <c r="Q162" s="113" t="s">
        <v>85</v>
      </c>
    </row>
    <row r="163" spans="1:17" ht="37.5" customHeight="1">
      <c r="A163" s="49" t="s">
        <v>24</v>
      </c>
      <c r="B163" s="49">
        <v>45795</v>
      </c>
      <c r="C163" s="49" t="s">
        <v>106</v>
      </c>
      <c r="D163" s="50" t="s">
        <v>98</v>
      </c>
      <c r="E163" s="51" t="s">
        <v>441</v>
      </c>
      <c r="F163" s="52" t="s">
        <v>100</v>
      </c>
      <c r="G163" s="52" t="s">
        <v>442</v>
      </c>
      <c r="H163" s="52" t="s">
        <v>102</v>
      </c>
      <c r="I163" s="52" t="s">
        <v>85</v>
      </c>
      <c r="J163" s="52" t="s">
        <v>84</v>
      </c>
      <c r="K163" s="52" t="s">
        <v>85</v>
      </c>
      <c r="L163" s="52" t="s">
        <v>86</v>
      </c>
      <c r="M163" s="52" t="s">
        <v>85</v>
      </c>
      <c r="N163" s="52" t="s">
        <v>85</v>
      </c>
      <c r="O163" s="52" t="s">
        <v>118</v>
      </c>
      <c r="P163" s="44" t="s">
        <v>86</v>
      </c>
      <c r="Q163" s="113" t="s">
        <v>85</v>
      </c>
    </row>
    <row r="164" spans="1:17" ht="74.25" customHeight="1">
      <c r="A164" s="49" t="s">
        <v>24</v>
      </c>
      <c r="B164" s="49">
        <v>45795</v>
      </c>
      <c r="C164" s="49" t="s">
        <v>88</v>
      </c>
      <c r="D164" s="50" t="s">
        <v>89</v>
      </c>
      <c r="E164" s="51" t="s">
        <v>443</v>
      </c>
      <c r="F164" s="52" t="s">
        <v>109</v>
      </c>
      <c r="G164" s="52" t="s">
        <v>444</v>
      </c>
      <c r="H164" s="52" t="s">
        <v>135</v>
      </c>
      <c r="I164" s="52" t="s">
        <v>84</v>
      </c>
      <c r="J164" s="52" t="s">
        <v>84</v>
      </c>
      <c r="K164" s="52" t="s">
        <v>85</v>
      </c>
      <c r="L164" s="52" t="s">
        <v>86</v>
      </c>
      <c r="M164" s="52" t="s">
        <v>85</v>
      </c>
      <c r="N164" s="52" t="s">
        <v>85</v>
      </c>
      <c r="O164" s="44" t="s">
        <v>118</v>
      </c>
      <c r="P164" s="44" t="s">
        <v>1503</v>
      </c>
      <c r="Q164" s="113" t="s">
        <v>85</v>
      </c>
    </row>
    <row r="165" spans="1:17" ht="49.5" customHeight="1">
      <c r="A165" s="49" t="s">
        <v>24</v>
      </c>
      <c r="B165" s="49">
        <v>45796</v>
      </c>
      <c r="C165" s="49" t="s">
        <v>106</v>
      </c>
      <c r="D165" s="50" t="s">
        <v>79</v>
      </c>
      <c r="E165" s="51" t="s">
        <v>445</v>
      </c>
      <c r="F165" s="52" t="s">
        <v>153</v>
      </c>
      <c r="G165" s="52" t="s">
        <v>446</v>
      </c>
      <c r="H165" s="52" t="s">
        <v>83</v>
      </c>
      <c r="I165" s="52" t="s">
        <v>84</v>
      </c>
      <c r="J165" s="52" t="s">
        <v>85</v>
      </c>
      <c r="K165" s="52" t="s">
        <v>84</v>
      </c>
      <c r="L165" s="52" t="s">
        <v>447</v>
      </c>
      <c r="M165" s="52" t="s">
        <v>85</v>
      </c>
      <c r="N165" s="52" t="s">
        <v>85</v>
      </c>
      <c r="O165" s="44" t="s">
        <v>87</v>
      </c>
      <c r="P165" s="44" t="s">
        <v>86</v>
      </c>
      <c r="Q165" s="113" t="s">
        <v>85</v>
      </c>
    </row>
    <row r="166" spans="1:17" ht="75" customHeight="1">
      <c r="A166" s="49" t="s">
        <v>24</v>
      </c>
      <c r="B166" s="49">
        <v>45797</v>
      </c>
      <c r="C166" s="49" t="s">
        <v>88</v>
      </c>
      <c r="D166" s="50" t="s">
        <v>98</v>
      </c>
      <c r="E166" s="51" t="s">
        <v>448</v>
      </c>
      <c r="F166" s="52" t="s">
        <v>100</v>
      </c>
      <c r="G166" s="52" t="s">
        <v>449</v>
      </c>
      <c r="H166" s="52" t="s">
        <v>135</v>
      </c>
      <c r="I166" s="52" t="s">
        <v>85</v>
      </c>
      <c r="J166" s="52" t="s">
        <v>84</v>
      </c>
      <c r="K166" s="52" t="s">
        <v>85</v>
      </c>
      <c r="L166" s="52" t="s">
        <v>86</v>
      </c>
      <c r="M166" s="52" t="s">
        <v>85</v>
      </c>
      <c r="N166" s="52" t="s">
        <v>85</v>
      </c>
      <c r="O166" s="44" t="s">
        <v>87</v>
      </c>
      <c r="P166" s="44" t="s">
        <v>1507</v>
      </c>
      <c r="Q166" s="113" t="s">
        <v>85</v>
      </c>
    </row>
    <row r="167" spans="1:17" ht="162" customHeight="1">
      <c r="A167" s="49" t="s">
        <v>24</v>
      </c>
      <c r="B167" s="49">
        <v>45797</v>
      </c>
      <c r="C167" s="49" t="s">
        <v>106</v>
      </c>
      <c r="D167" s="50" t="s">
        <v>98</v>
      </c>
      <c r="E167" s="51" t="s">
        <v>450</v>
      </c>
      <c r="F167" s="52" t="s">
        <v>451</v>
      </c>
      <c r="G167" s="52" t="s">
        <v>452</v>
      </c>
      <c r="H167" s="44" t="s">
        <v>453</v>
      </c>
      <c r="I167" s="52" t="s">
        <v>84</v>
      </c>
      <c r="J167" s="52" t="s">
        <v>84</v>
      </c>
      <c r="K167" s="52" t="s">
        <v>85</v>
      </c>
      <c r="L167" s="52" t="s">
        <v>86</v>
      </c>
      <c r="M167" s="52" t="s">
        <v>85</v>
      </c>
      <c r="N167" s="52" t="s">
        <v>85</v>
      </c>
      <c r="O167" s="44" t="s">
        <v>87</v>
      </c>
      <c r="P167" s="44" t="s">
        <v>1506</v>
      </c>
      <c r="Q167" s="113" t="s">
        <v>85</v>
      </c>
    </row>
    <row r="168" spans="1:17" ht="37.5" customHeight="1">
      <c r="A168" s="49" t="s">
        <v>24</v>
      </c>
      <c r="B168" s="49">
        <v>45798</v>
      </c>
      <c r="C168" s="49" t="s">
        <v>106</v>
      </c>
      <c r="D168" s="50" t="s">
        <v>240</v>
      </c>
      <c r="E168" s="51" t="s">
        <v>454</v>
      </c>
      <c r="F168" s="52" t="s">
        <v>133</v>
      </c>
      <c r="G168" s="52" t="s">
        <v>455</v>
      </c>
      <c r="H168" s="52" t="s">
        <v>83</v>
      </c>
      <c r="I168" s="52" t="s">
        <v>85</v>
      </c>
      <c r="J168" s="52" t="s">
        <v>85</v>
      </c>
      <c r="K168" s="52" t="s">
        <v>84</v>
      </c>
      <c r="L168" s="52" t="s">
        <v>337</v>
      </c>
      <c r="M168" s="52" t="s">
        <v>85</v>
      </c>
      <c r="N168" s="52" t="s">
        <v>85</v>
      </c>
      <c r="O168" s="44" t="s">
        <v>87</v>
      </c>
      <c r="P168" s="44" t="s">
        <v>86</v>
      </c>
      <c r="Q168" s="113" t="s">
        <v>85</v>
      </c>
    </row>
    <row r="169" spans="1:17" ht="75" customHeight="1">
      <c r="A169" s="49" t="s">
        <v>24</v>
      </c>
      <c r="B169" s="49">
        <v>45798</v>
      </c>
      <c r="C169" s="49" t="s">
        <v>106</v>
      </c>
      <c r="D169" s="50" t="s">
        <v>79</v>
      </c>
      <c r="E169" s="51" t="s">
        <v>456</v>
      </c>
      <c r="F169" s="52" t="s">
        <v>153</v>
      </c>
      <c r="G169" s="52" t="s">
        <v>414</v>
      </c>
      <c r="H169" s="52" t="s">
        <v>93</v>
      </c>
      <c r="I169" s="52" t="s">
        <v>85</v>
      </c>
      <c r="J169" s="52" t="s">
        <v>84</v>
      </c>
      <c r="K169" s="52" t="s">
        <v>85</v>
      </c>
      <c r="L169" s="52" t="s">
        <v>86</v>
      </c>
      <c r="M169" s="52" t="s">
        <v>85</v>
      </c>
      <c r="N169" s="52" t="s">
        <v>85</v>
      </c>
      <c r="O169" s="44" t="s">
        <v>87</v>
      </c>
      <c r="P169" s="44" t="s">
        <v>86</v>
      </c>
      <c r="Q169" s="113" t="s">
        <v>85</v>
      </c>
    </row>
    <row r="170" spans="1:17" ht="49.5" customHeight="1">
      <c r="A170" s="49" t="s">
        <v>24</v>
      </c>
      <c r="B170" s="49">
        <v>45798</v>
      </c>
      <c r="C170" s="49" t="s">
        <v>123</v>
      </c>
      <c r="D170" s="50" t="s">
        <v>79</v>
      </c>
      <c r="E170" s="51" t="s">
        <v>457</v>
      </c>
      <c r="F170" s="52" t="s">
        <v>96</v>
      </c>
      <c r="G170" s="52" t="s">
        <v>150</v>
      </c>
      <c r="H170" s="52" t="s">
        <v>117</v>
      </c>
      <c r="I170" s="52" t="s">
        <v>84</v>
      </c>
      <c r="J170" s="52" t="s">
        <v>84</v>
      </c>
      <c r="K170" s="52" t="s">
        <v>85</v>
      </c>
      <c r="L170" s="52" t="s">
        <v>86</v>
      </c>
      <c r="M170" s="52" t="s">
        <v>85</v>
      </c>
      <c r="N170" s="52" t="s">
        <v>85</v>
      </c>
      <c r="O170" s="44" t="s">
        <v>87</v>
      </c>
      <c r="P170" s="44" t="s">
        <v>86</v>
      </c>
      <c r="Q170" s="113" t="s">
        <v>85</v>
      </c>
    </row>
    <row r="171" spans="1:17" ht="87" customHeight="1">
      <c r="A171" s="49" t="s">
        <v>24</v>
      </c>
      <c r="B171" s="49">
        <v>45798</v>
      </c>
      <c r="C171" s="49" t="s">
        <v>88</v>
      </c>
      <c r="D171" s="50" t="s">
        <v>89</v>
      </c>
      <c r="E171" s="51" t="s">
        <v>458</v>
      </c>
      <c r="F171" s="52" t="s">
        <v>81</v>
      </c>
      <c r="G171" s="52" t="s">
        <v>459</v>
      </c>
      <c r="H171" s="52" t="s">
        <v>135</v>
      </c>
      <c r="I171" s="52" t="s">
        <v>85</v>
      </c>
      <c r="J171" s="52" t="s">
        <v>84</v>
      </c>
      <c r="K171" s="52" t="s">
        <v>85</v>
      </c>
      <c r="L171" s="52" t="s">
        <v>86</v>
      </c>
      <c r="M171" s="52" t="s">
        <v>85</v>
      </c>
      <c r="N171" s="52" t="s">
        <v>85</v>
      </c>
      <c r="O171" s="44" t="s">
        <v>118</v>
      </c>
      <c r="P171" s="44" t="s">
        <v>86</v>
      </c>
      <c r="Q171" s="113" t="s">
        <v>85</v>
      </c>
    </row>
    <row r="172" spans="1:17" ht="87" customHeight="1">
      <c r="A172" s="49" t="s">
        <v>24</v>
      </c>
      <c r="B172" s="49">
        <v>45798</v>
      </c>
      <c r="C172" s="49" t="s">
        <v>88</v>
      </c>
      <c r="D172" s="50" t="s">
        <v>98</v>
      </c>
      <c r="E172" s="51" t="s">
        <v>460</v>
      </c>
      <c r="F172" s="52" t="s">
        <v>133</v>
      </c>
      <c r="G172" s="52" t="s">
        <v>150</v>
      </c>
      <c r="H172" s="52" t="s">
        <v>117</v>
      </c>
      <c r="I172" s="52" t="s">
        <v>84</v>
      </c>
      <c r="J172" s="52" t="s">
        <v>84</v>
      </c>
      <c r="K172" s="52" t="s">
        <v>85</v>
      </c>
      <c r="L172" s="52" t="s">
        <v>86</v>
      </c>
      <c r="M172" s="52" t="s">
        <v>85</v>
      </c>
      <c r="N172" s="52" t="s">
        <v>85</v>
      </c>
      <c r="O172" s="52" t="s">
        <v>87</v>
      </c>
      <c r="P172" s="44" t="s">
        <v>86</v>
      </c>
      <c r="Q172" s="113" t="s">
        <v>85</v>
      </c>
    </row>
    <row r="173" spans="1:17" ht="99.75" customHeight="1">
      <c r="A173" s="49" t="s">
        <v>24</v>
      </c>
      <c r="B173" s="49">
        <v>45798</v>
      </c>
      <c r="C173" s="49" t="s">
        <v>78</v>
      </c>
      <c r="D173" s="50" t="s">
        <v>79</v>
      </c>
      <c r="E173" s="51" t="s">
        <v>461</v>
      </c>
      <c r="F173" s="52" t="s">
        <v>81</v>
      </c>
      <c r="G173" s="52" t="s">
        <v>462</v>
      </c>
      <c r="H173" s="52" t="s">
        <v>93</v>
      </c>
      <c r="I173" s="52" t="s">
        <v>84</v>
      </c>
      <c r="J173" s="52" t="s">
        <v>85</v>
      </c>
      <c r="K173" s="52" t="s">
        <v>84</v>
      </c>
      <c r="L173" s="52" t="s">
        <v>463</v>
      </c>
      <c r="M173" s="52" t="s">
        <v>85</v>
      </c>
      <c r="N173" s="52" t="s">
        <v>85</v>
      </c>
      <c r="O173" s="52" t="s">
        <v>87</v>
      </c>
      <c r="P173" s="44" t="s">
        <v>86</v>
      </c>
      <c r="Q173" s="113" t="s">
        <v>85</v>
      </c>
    </row>
    <row r="174" spans="1:17" ht="62.25" customHeight="1">
      <c r="A174" s="49" t="s">
        <v>24</v>
      </c>
      <c r="B174" s="49">
        <v>45798</v>
      </c>
      <c r="C174" s="49" t="s">
        <v>78</v>
      </c>
      <c r="D174" s="50" t="s">
        <v>79</v>
      </c>
      <c r="E174" s="51" t="s">
        <v>464</v>
      </c>
      <c r="F174" s="52" t="s">
        <v>153</v>
      </c>
      <c r="G174" s="52" t="s">
        <v>465</v>
      </c>
      <c r="H174" s="52" t="s">
        <v>83</v>
      </c>
      <c r="I174" s="52" t="s">
        <v>84</v>
      </c>
      <c r="J174" s="52" t="s">
        <v>85</v>
      </c>
      <c r="K174" s="52" t="s">
        <v>84</v>
      </c>
      <c r="L174" s="52" t="s">
        <v>263</v>
      </c>
      <c r="M174" s="52" t="s">
        <v>85</v>
      </c>
      <c r="N174" s="52" t="s">
        <v>85</v>
      </c>
      <c r="O174" s="52" t="s">
        <v>87</v>
      </c>
      <c r="P174" s="44" t="s">
        <v>86</v>
      </c>
      <c r="Q174" s="113" t="s">
        <v>85</v>
      </c>
    </row>
    <row r="175" spans="1:17" ht="62.25" customHeight="1">
      <c r="A175" s="49" t="s">
        <v>24</v>
      </c>
      <c r="B175" s="49">
        <v>45799</v>
      </c>
      <c r="C175" s="49" t="s">
        <v>106</v>
      </c>
      <c r="D175" s="50" t="s">
        <v>98</v>
      </c>
      <c r="E175" s="51" t="s">
        <v>466</v>
      </c>
      <c r="F175" s="52" t="s">
        <v>153</v>
      </c>
      <c r="G175" s="52" t="s">
        <v>467</v>
      </c>
      <c r="H175" s="52" t="s">
        <v>135</v>
      </c>
      <c r="I175" s="52" t="s">
        <v>85</v>
      </c>
      <c r="J175" s="52" t="s">
        <v>84</v>
      </c>
      <c r="K175" s="52" t="s">
        <v>85</v>
      </c>
      <c r="L175" s="52" t="s">
        <v>86</v>
      </c>
      <c r="M175" s="52" t="s">
        <v>85</v>
      </c>
      <c r="N175" s="52" t="s">
        <v>85</v>
      </c>
      <c r="O175" s="52" t="s">
        <v>118</v>
      </c>
      <c r="P175" s="44" t="s">
        <v>86</v>
      </c>
      <c r="Q175" s="113" t="s">
        <v>85</v>
      </c>
    </row>
    <row r="176" spans="1:17" ht="63" customHeight="1">
      <c r="A176" s="49" t="s">
        <v>24</v>
      </c>
      <c r="B176" s="49">
        <v>45799</v>
      </c>
      <c r="C176" s="49" t="s">
        <v>123</v>
      </c>
      <c r="D176" s="50" t="s">
        <v>83</v>
      </c>
      <c r="E176" s="51" t="s">
        <v>468</v>
      </c>
      <c r="F176" s="52" t="s">
        <v>100</v>
      </c>
      <c r="G176" s="52" t="s">
        <v>122</v>
      </c>
      <c r="H176" s="52" t="s">
        <v>102</v>
      </c>
      <c r="I176" s="52" t="s">
        <v>85</v>
      </c>
      <c r="J176" s="52" t="s">
        <v>84</v>
      </c>
      <c r="K176" s="52" t="s">
        <v>85</v>
      </c>
      <c r="L176" s="52" t="s">
        <v>86</v>
      </c>
      <c r="M176" s="52" t="s">
        <v>85</v>
      </c>
      <c r="N176" s="52" t="s">
        <v>85</v>
      </c>
      <c r="O176" s="52" t="s">
        <v>87</v>
      </c>
      <c r="P176" s="44" t="s">
        <v>86</v>
      </c>
      <c r="Q176" s="113" t="s">
        <v>85</v>
      </c>
    </row>
    <row r="177" spans="1:17" ht="112.5" customHeight="1">
      <c r="A177" s="49" t="s">
        <v>24</v>
      </c>
      <c r="B177" s="49">
        <v>45801</v>
      </c>
      <c r="C177" s="49" t="s">
        <v>123</v>
      </c>
      <c r="D177" s="50" t="s">
        <v>240</v>
      </c>
      <c r="E177" s="51" t="s">
        <v>469</v>
      </c>
      <c r="F177" s="52" t="s">
        <v>100</v>
      </c>
      <c r="G177" s="52" t="s">
        <v>470</v>
      </c>
      <c r="H177" s="52" t="s">
        <v>135</v>
      </c>
      <c r="I177" s="52" t="s">
        <v>85</v>
      </c>
      <c r="J177" s="52" t="s">
        <v>84</v>
      </c>
      <c r="K177" s="52" t="s">
        <v>85</v>
      </c>
      <c r="L177" s="52" t="s">
        <v>86</v>
      </c>
      <c r="M177" s="52" t="s">
        <v>85</v>
      </c>
      <c r="N177" s="52" t="s">
        <v>85</v>
      </c>
      <c r="O177" s="52" t="s">
        <v>87</v>
      </c>
      <c r="P177" s="44" t="s">
        <v>86</v>
      </c>
      <c r="Q177" s="113" t="s">
        <v>85</v>
      </c>
    </row>
    <row r="178" spans="1:17" ht="87" customHeight="1">
      <c r="A178" s="49" t="s">
        <v>24</v>
      </c>
      <c r="B178" s="49">
        <v>45801</v>
      </c>
      <c r="C178" s="49" t="s">
        <v>123</v>
      </c>
      <c r="D178" s="50" t="s">
        <v>89</v>
      </c>
      <c r="E178" s="51" t="s">
        <v>471</v>
      </c>
      <c r="F178" s="52" t="s">
        <v>472</v>
      </c>
      <c r="G178" s="52" t="s">
        <v>235</v>
      </c>
      <c r="H178" s="52" t="s">
        <v>126</v>
      </c>
      <c r="I178" s="52" t="s">
        <v>84</v>
      </c>
      <c r="J178" s="52" t="s">
        <v>84</v>
      </c>
      <c r="K178" s="52" t="s">
        <v>85</v>
      </c>
      <c r="L178" s="52" t="s">
        <v>86</v>
      </c>
      <c r="M178" s="52" t="s">
        <v>85</v>
      </c>
      <c r="N178" s="52" t="s">
        <v>85</v>
      </c>
      <c r="O178" s="44" t="s">
        <v>118</v>
      </c>
      <c r="P178" s="44" t="s">
        <v>1497</v>
      </c>
      <c r="Q178" s="113" t="s">
        <v>85</v>
      </c>
    </row>
    <row r="179" spans="1:17" ht="87" customHeight="1">
      <c r="A179" s="49" t="s">
        <v>24</v>
      </c>
      <c r="B179" s="49">
        <v>45801</v>
      </c>
      <c r="C179" s="49" t="s">
        <v>190</v>
      </c>
      <c r="D179" s="50" t="s">
        <v>98</v>
      </c>
      <c r="E179" s="51" t="s">
        <v>473</v>
      </c>
      <c r="F179" s="52" t="s">
        <v>133</v>
      </c>
      <c r="G179" s="52" t="s">
        <v>318</v>
      </c>
      <c r="H179" s="52" t="s">
        <v>135</v>
      </c>
      <c r="I179" s="52" t="s">
        <v>85</v>
      </c>
      <c r="J179" s="52" t="s">
        <v>85</v>
      </c>
      <c r="K179" s="52" t="s">
        <v>84</v>
      </c>
      <c r="L179" s="52" t="s">
        <v>474</v>
      </c>
      <c r="M179" s="52" t="s">
        <v>85</v>
      </c>
      <c r="N179" s="52" t="s">
        <v>85</v>
      </c>
      <c r="O179" s="52" t="s">
        <v>118</v>
      </c>
      <c r="P179" s="44" t="s">
        <v>86</v>
      </c>
      <c r="Q179" s="113" t="s">
        <v>85</v>
      </c>
    </row>
    <row r="180" spans="1:17" ht="62.25" customHeight="1">
      <c r="A180" s="49" t="s">
        <v>24</v>
      </c>
      <c r="B180" s="49">
        <v>45802</v>
      </c>
      <c r="C180" s="49" t="s">
        <v>106</v>
      </c>
      <c r="D180" s="50" t="s">
        <v>240</v>
      </c>
      <c r="E180" s="51" t="s">
        <v>475</v>
      </c>
      <c r="F180" s="52" t="s">
        <v>161</v>
      </c>
      <c r="G180" s="52" t="s">
        <v>476</v>
      </c>
      <c r="H180" s="52" t="s">
        <v>135</v>
      </c>
      <c r="I180" s="52" t="s">
        <v>84</v>
      </c>
      <c r="J180" s="52" t="s">
        <v>85</v>
      </c>
      <c r="K180" s="52" t="s">
        <v>84</v>
      </c>
      <c r="L180" s="52" t="s">
        <v>86</v>
      </c>
      <c r="M180" s="52" t="s">
        <v>85</v>
      </c>
      <c r="N180" s="52" t="s">
        <v>85</v>
      </c>
      <c r="O180" s="44" t="s">
        <v>87</v>
      </c>
      <c r="P180" s="44" t="s">
        <v>86</v>
      </c>
      <c r="Q180" s="113" t="s">
        <v>85</v>
      </c>
    </row>
    <row r="181" spans="1:17" ht="62.25" customHeight="1">
      <c r="A181" s="49" t="s">
        <v>24</v>
      </c>
      <c r="B181" s="49">
        <v>45803</v>
      </c>
      <c r="C181" s="49" t="s">
        <v>106</v>
      </c>
      <c r="D181" s="50" t="s">
        <v>79</v>
      </c>
      <c r="E181" s="51" t="s">
        <v>477</v>
      </c>
      <c r="F181" s="52" t="s">
        <v>91</v>
      </c>
      <c r="G181" s="52" t="s">
        <v>116</v>
      </c>
      <c r="H181" s="52" t="s">
        <v>117</v>
      </c>
      <c r="I181" s="52" t="s">
        <v>85</v>
      </c>
      <c r="J181" s="52" t="s">
        <v>84</v>
      </c>
      <c r="K181" s="52" t="s">
        <v>85</v>
      </c>
      <c r="L181" s="52" t="s">
        <v>86</v>
      </c>
      <c r="M181" s="52" t="s">
        <v>85</v>
      </c>
      <c r="N181" s="52" t="s">
        <v>85</v>
      </c>
      <c r="O181" s="44" t="s">
        <v>87</v>
      </c>
      <c r="P181" s="44" t="s">
        <v>86</v>
      </c>
      <c r="Q181" s="113" t="s">
        <v>85</v>
      </c>
    </row>
    <row r="182" spans="1:17" ht="75" customHeight="1">
      <c r="A182" s="49" t="s">
        <v>24</v>
      </c>
      <c r="B182" s="49">
        <v>45804</v>
      </c>
      <c r="C182" s="49" t="s">
        <v>106</v>
      </c>
      <c r="D182" s="50" t="s">
        <v>98</v>
      </c>
      <c r="E182" s="51" t="s">
        <v>478</v>
      </c>
      <c r="F182" s="52" t="s">
        <v>133</v>
      </c>
      <c r="G182" s="52" t="s">
        <v>479</v>
      </c>
      <c r="H182" s="52" t="s">
        <v>126</v>
      </c>
      <c r="I182" s="52" t="s">
        <v>85</v>
      </c>
      <c r="J182" s="52" t="s">
        <v>84</v>
      </c>
      <c r="K182" s="52" t="s">
        <v>85</v>
      </c>
      <c r="L182" s="52" t="s">
        <v>86</v>
      </c>
      <c r="M182" s="52" t="s">
        <v>84</v>
      </c>
      <c r="N182" s="52" t="s">
        <v>85</v>
      </c>
      <c r="O182" s="44" t="s">
        <v>87</v>
      </c>
      <c r="P182" s="44" t="s">
        <v>86</v>
      </c>
      <c r="Q182" s="113" t="s">
        <v>85</v>
      </c>
    </row>
    <row r="183" spans="1:17" ht="62.25" customHeight="1">
      <c r="A183" s="49" t="s">
        <v>24</v>
      </c>
      <c r="B183" s="49">
        <v>45807</v>
      </c>
      <c r="C183" s="49" t="s">
        <v>123</v>
      </c>
      <c r="D183" s="50" t="s">
        <v>98</v>
      </c>
      <c r="E183" s="51" t="s">
        <v>480</v>
      </c>
      <c r="F183" s="52" t="s">
        <v>100</v>
      </c>
      <c r="G183" s="52" t="s">
        <v>145</v>
      </c>
      <c r="H183" s="52" t="s">
        <v>83</v>
      </c>
      <c r="I183" s="52" t="s">
        <v>85</v>
      </c>
      <c r="J183" s="52" t="s">
        <v>84</v>
      </c>
      <c r="K183" s="52" t="s">
        <v>85</v>
      </c>
      <c r="L183" s="52" t="s">
        <v>86</v>
      </c>
      <c r="M183" s="52" t="s">
        <v>85</v>
      </c>
      <c r="N183" s="52" t="s">
        <v>85</v>
      </c>
      <c r="O183" s="44" t="s">
        <v>118</v>
      </c>
      <c r="P183" s="44" t="s">
        <v>86</v>
      </c>
      <c r="Q183" s="113" t="s">
        <v>85</v>
      </c>
    </row>
    <row r="184" spans="1:17" ht="37.5" customHeight="1">
      <c r="A184" s="49" t="s">
        <v>24</v>
      </c>
      <c r="B184" s="49">
        <v>45808</v>
      </c>
      <c r="C184" s="49" t="s">
        <v>106</v>
      </c>
      <c r="D184" s="50" t="s">
        <v>79</v>
      </c>
      <c r="E184" s="51" t="s">
        <v>481</v>
      </c>
      <c r="F184" s="52" t="s">
        <v>482</v>
      </c>
      <c r="G184" s="52" t="s">
        <v>476</v>
      </c>
      <c r="H184" s="52" t="s">
        <v>135</v>
      </c>
      <c r="I184" s="52" t="s">
        <v>85</v>
      </c>
      <c r="J184" s="52" t="s">
        <v>84</v>
      </c>
      <c r="K184" s="52" t="s">
        <v>85</v>
      </c>
      <c r="L184" s="52" t="s">
        <v>86</v>
      </c>
      <c r="M184" s="52" t="s">
        <v>84</v>
      </c>
      <c r="N184" s="52" t="s">
        <v>85</v>
      </c>
      <c r="O184" s="44" t="s">
        <v>87</v>
      </c>
      <c r="P184" s="44" t="s">
        <v>86</v>
      </c>
      <c r="Q184" s="113" t="s">
        <v>85</v>
      </c>
    </row>
    <row r="185" spans="1:17" ht="64.5" customHeight="1">
      <c r="A185" s="49" t="s">
        <v>25</v>
      </c>
      <c r="B185" s="49">
        <v>45809</v>
      </c>
      <c r="C185" s="49" t="s">
        <v>123</v>
      </c>
      <c r="D185" s="50" t="s">
        <v>98</v>
      </c>
      <c r="E185" s="51" t="s">
        <v>483</v>
      </c>
      <c r="F185" s="52" t="s">
        <v>100</v>
      </c>
      <c r="G185" s="52" t="s">
        <v>484</v>
      </c>
      <c r="H185" s="52" t="s">
        <v>135</v>
      </c>
      <c r="I185" s="52" t="s">
        <v>85</v>
      </c>
      <c r="J185" s="52" t="s">
        <v>84</v>
      </c>
      <c r="K185" s="52" t="s">
        <v>85</v>
      </c>
      <c r="L185" s="52" t="s">
        <v>86</v>
      </c>
      <c r="M185" s="52" t="s">
        <v>85</v>
      </c>
      <c r="N185" s="52" t="s">
        <v>85</v>
      </c>
      <c r="O185" s="44" t="s">
        <v>87</v>
      </c>
      <c r="P185" s="44" t="s">
        <v>1498</v>
      </c>
      <c r="Q185" s="113" t="s">
        <v>85</v>
      </c>
    </row>
    <row r="186" spans="1:17" ht="49.5" customHeight="1">
      <c r="A186" s="49" t="s">
        <v>25</v>
      </c>
      <c r="B186" s="49">
        <v>45810</v>
      </c>
      <c r="C186" s="49" t="s">
        <v>123</v>
      </c>
      <c r="D186" s="50" t="s">
        <v>98</v>
      </c>
      <c r="E186" s="51" t="s">
        <v>485</v>
      </c>
      <c r="F186" s="52" t="s">
        <v>133</v>
      </c>
      <c r="G186" s="52" t="s">
        <v>145</v>
      </c>
      <c r="H186" s="52" t="s">
        <v>83</v>
      </c>
      <c r="I186" s="52" t="s">
        <v>85</v>
      </c>
      <c r="J186" s="52" t="s">
        <v>84</v>
      </c>
      <c r="K186" s="52" t="s">
        <v>85</v>
      </c>
      <c r="L186" s="52" t="s">
        <v>86</v>
      </c>
      <c r="M186" s="52" t="s">
        <v>85</v>
      </c>
      <c r="N186" s="52" t="s">
        <v>85</v>
      </c>
      <c r="O186" s="44" t="s">
        <v>87</v>
      </c>
      <c r="P186" s="44" t="s">
        <v>86</v>
      </c>
      <c r="Q186" s="113" t="s">
        <v>85</v>
      </c>
    </row>
    <row r="187" spans="1:17" ht="99.75" customHeight="1">
      <c r="A187" s="49" t="s">
        <v>25</v>
      </c>
      <c r="B187" s="49">
        <v>45810</v>
      </c>
      <c r="C187" s="49" t="s">
        <v>78</v>
      </c>
      <c r="D187" s="50" t="s">
        <v>79</v>
      </c>
      <c r="E187" s="51" t="s">
        <v>486</v>
      </c>
      <c r="F187" s="52" t="s">
        <v>133</v>
      </c>
      <c r="G187" s="52" t="s">
        <v>487</v>
      </c>
      <c r="H187" s="52" t="s">
        <v>135</v>
      </c>
      <c r="I187" s="52" t="s">
        <v>84</v>
      </c>
      <c r="J187" s="52" t="s">
        <v>84</v>
      </c>
      <c r="K187" s="52" t="s">
        <v>85</v>
      </c>
      <c r="L187" s="52" t="s">
        <v>86</v>
      </c>
      <c r="M187" s="52" t="s">
        <v>85</v>
      </c>
      <c r="N187" s="52" t="s">
        <v>85</v>
      </c>
      <c r="O187" s="44" t="s">
        <v>87</v>
      </c>
      <c r="P187" s="113" t="s">
        <v>86</v>
      </c>
      <c r="Q187" s="113" t="s">
        <v>85</v>
      </c>
    </row>
    <row r="188" spans="1:17" ht="75" customHeight="1">
      <c r="A188" s="49" t="s">
        <v>25</v>
      </c>
      <c r="B188" s="49">
        <v>45813</v>
      </c>
      <c r="C188" s="49" t="s">
        <v>106</v>
      </c>
      <c r="D188" s="50" t="s">
        <v>98</v>
      </c>
      <c r="E188" s="57" t="s">
        <v>488</v>
      </c>
      <c r="F188" s="52" t="s">
        <v>96</v>
      </c>
      <c r="G188" s="52" t="s">
        <v>86</v>
      </c>
      <c r="H188" s="52" t="s">
        <v>117</v>
      </c>
      <c r="I188" s="52" t="s">
        <v>85</v>
      </c>
      <c r="J188" s="52" t="s">
        <v>84</v>
      </c>
      <c r="K188" s="52" t="s">
        <v>85</v>
      </c>
      <c r="L188" s="52" t="s">
        <v>86</v>
      </c>
      <c r="M188" s="52" t="s">
        <v>85</v>
      </c>
      <c r="N188" s="52" t="s">
        <v>85</v>
      </c>
      <c r="O188" s="44" t="s">
        <v>118</v>
      </c>
      <c r="P188" s="44" t="s">
        <v>86</v>
      </c>
      <c r="Q188" s="113" t="s">
        <v>85</v>
      </c>
    </row>
    <row r="189" spans="1:17" ht="49.5" customHeight="1">
      <c r="A189" s="49" t="s">
        <v>25</v>
      </c>
      <c r="B189" s="49">
        <v>45815</v>
      </c>
      <c r="C189" s="49" t="s">
        <v>88</v>
      </c>
      <c r="D189" s="50" t="s">
        <v>240</v>
      </c>
      <c r="E189" s="51" t="s">
        <v>489</v>
      </c>
      <c r="F189" s="52" t="s">
        <v>100</v>
      </c>
      <c r="G189" s="52" t="s">
        <v>490</v>
      </c>
      <c r="H189" s="52" t="s">
        <v>175</v>
      </c>
      <c r="I189" s="52" t="s">
        <v>85</v>
      </c>
      <c r="J189" s="52" t="s">
        <v>84</v>
      </c>
      <c r="K189" s="52" t="s">
        <v>85</v>
      </c>
      <c r="L189" s="52" t="s">
        <v>86</v>
      </c>
      <c r="M189" s="52" t="s">
        <v>85</v>
      </c>
      <c r="N189" s="52" t="s">
        <v>85</v>
      </c>
      <c r="O189" s="44" t="s">
        <v>87</v>
      </c>
      <c r="P189" s="44" t="s">
        <v>86</v>
      </c>
      <c r="Q189" s="113" t="s">
        <v>85</v>
      </c>
    </row>
    <row r="190" spans="1:17" ht="49.5" customHeight="1">
      <c r="A190" s="49" t="s">
        <v>25</v>
      </c>
      <c r="B190" s="49">
        <v>45816</v>
      </c>
      <c r="C190" s="49" t="s">
        <v>78</v>
      </c>
      <c r="D190" s="50" t="s">
        <v>79</v>
      </c>
      <c r="E190" s="51" t="s">
        <v>491</v>
      </c>
      <c r="F190" s="52" t="s">
        <v>492</v>
      </c>
      <c r="G190" s="52" t="s">
        <v>379</v>
      </c>
      <c r="H190" s="52" t="s">
        <v>114</v>
      </c>
      <c r="I190" s="52" t="s">
        <v>85</v>
      </c>
      <c r="J190" s="52" t="s">
        <v>84</v>
      </c>
      <c r="K190" s="52" t="s">
        <v>85</v>
      </c>
      <c r="L190" s="52" t="s">
        <v>86</v>
      </c>
      <c r="M190" s="52" t="s">
        <v>84</v>
      </c>
      <c r="N190" s="52" t="s">
        <v>85</v>
      </c>
      <c r="O190" s="44" t="s">
        <v>118</v>
      </c>
      <c r="P190" s="44" t="s">
        <v>1511</v>
      </c>
      <c r="Q190" s="113" t="s">
        <v>85</v>
      </c>
    </row>
    <row r="191" spans="1:17" ht="126" customHeight="1">
      <c r="A191" s="49" t="s">
        <v>25</v>
      </c>
      <c r="B191" s="49">
        <v>45816</v>
      </c>
      <c r="C191" s="49" t="s">
        <v>78</v>
      </c>
      <c r="D191" s="50" t="s">
        <v>79</v>
      </c>
      <c r="E191" s="51" t="s">
        <v>493</v>
      </c>
      <c r="F191" s="52" t="s">
        <v>133</v>
      </c>
      <c r="G191" s="52" t="s">
        <v>494</v>
      </c>
      <c r="H191" s="52" t="s">
        <v>83</v>
      </c>
      <c r="I191" s="52" t="s">
        <v>84</v>
      </c>
      <c r="J191" s="52" t="s">
        <v>85</v>
      </c>
      <c r="K191" s="52" t="s">
        <v>84</v>
      </c>
      <c r="L191" s="52" t="s">
        <v>495</v>
      </c>
      <c r="M191" s="52" t="s">
        <v>85</v>
      </c>
      <c r="N191" s="52" t="s">
        <v>85</v>
      </c>
      <c r="O191" s="44" t="s">
        <v>87</v>
      </c>
      <c r="P191" s="44" t="s">
        <v>86</v>
      </c>
      <c r="Q191" s="113" t="s">
        <v>85</v>
      </c>
    </row>
    <row r="192" spans="1:17" ht="75" customHeight="1">
      <c r="A192" s="49" t="s">
        <v>25</v>
      </c>
      <c r="B192" s="49">
        <v>45817</v>
      </c>
      <c r="C192" s="49" t="s">
        <v>106</v>
      </c>
      <c r="D192" s="50" t="s">
        <v>98</v>
      </c>
      <c r="E192" s="51" t="s">
        <v>496</v>
      </c>
      <c r="F192" s="52" t="s">
        <v>497</v>
      </c>
      <c r="G192" s="52" t="s">
        <v>498</v>
      </c>
      <c r="H192" s="52" t="s">
        <v>102</v>
      </c>
      <c r="I192" s="52" t="s">
        <v>85</v>
      </c>
      <c r="J192" s="52" t="s">
        <v>84</v>
      </c>
      <c r="K192" s="52" t="s">
        <v>85</v>
      </c>
      <c r="L192" s="52" t="s">
        <v>86</v>
      </c>
      <c r="M192" s="52" t="s">
        <v>85</v>
      </c>
      <c r="N192" s="52" t="s">
        <v>85</v>
      </c>
      <c r="O192" s="44" t="s">
        <v>118</v>
      </c>
      <c r="P192" s="44" t="s">
        <v>1497</v>
      </c>
      <c r="Q192" s="113" t="s">
        <v>85</v>
      </c>
    </row>
    <row r="193" spans="1:17" ht="137.25" customHeight="1">
      <c r="A193" s="49" t="s">
        <v>25</v>
      </c>
      <c r="B193" s="49">
        <v>45817</v>
      </c>
      <c r="C193" s="49" t="s">
        <v>123</v>
      </c>
      <c r="D193" s="50" t="s">
        <v>83</v>
      </c>
      <c r="E193" s="51" t="s">
        <v>499</v>
      </c>
      <c r="F193" s="52" t="s">
        <v>500</v>
      </c>
      <c r="G193" s="52" t="s">
        <v>501</v>
      </c>
      <c r="H193" s="52" t="s">
        <v>114</v>
      </c>
      <c r="I193" s="52" t="s">
        <v>85</v>
      </c>
      <c r="J193" s="52" t="s">
        <v>84</v>
      </c>
      <c r="K193" s="52" t="s">
        <v>85</v>
      </c>
      <c r="L193" s="52" t="s">
        <v>86</v>
      </c>
      <c r="M193" s="52" t="s">
        <v>85</v>
      </c>
      <c r="N193" s="52" t="s">
        <v>85</v>
      </c>
      <c r="O193" s="44" t="s">
        <v>87</v>
      </c>
      <c r="P193" s="44" t="s">
        <v>86</v>
      </c>
      <c r="Q193" s="113" t="s">
        <v>85</v>
      </c>
    </row>
    <row r="194" spans="1:17" ht="87" customHeight="1">
      <c r="A194" s="49" t="s">
        <v>25</v>
      </c>
      <c r="B194" s="49">
        <v>45817</v>
      </c>
      <c r="C194" s="49" t="s">
        <v>78</v>
      </c>
      <c r="D194" s="50" t="s">
        <v>89</v>
      </c>
      <c r="E194" s="51" t="s">
        <v>502</v>
      </c>
      <c r="F194" s="52" t="s">
        <v>91</v>
      </c>
      <c r="G194" s="52" t="s">
        <v>503</v>
      </c>
      <c r="H194" s="52" t="s">
        <v>135</v>
      </c>
      <c r="I194" s="52" t="s">
        <v>85</v>
      </c>
      <c r="J194" s="52" t="s">
        <v>84</v>
      </c>
      <c r="K194" s="52" t="s">
        <v>85</v>
      </c>
      <c r="L194" s="52" t="s">
        <v>86</v>
      </c>
      <c r="M194" s="52" t="s">
        <v>85</v>
      </c>
      <c r="N194" s="52" t="s">
        <v>85</v>
      </c>
      <c r="O194" s="44" t="s">
        <v>87</v>
      </c>
      <c r="P194" s="44" t="s">
        <v>86</v>
      </c>
      <c r="Q194" s="113" t="s">
        <v>85</v>
      </c>
    </row>
    <row r="195" spans="1:17" ht="62.25" customHeight="1">
      <c r="A195" s="49" t="s">
        <v>25</v>
      </c>
      <c r="B195" s="49">
        <v>45818</v>
      </c>
      <c r="C195" s="49" t="s">
        <v>78</v>
      </c>
      <c r="D195" s="50" t="s">
        <v>79</v>
      </c>
      <c r="E195" s="51" t="s">
        <v>504</v>
      </c>
      <c r="F195" s="52" t="s">
        <v>91</v>
      </c>
      <c r="G195" s="52" t="s">
        <v>171</v>
      </c>
      <c r="H195" s="52" t="s">
        <v>93</v>
      </c>
      <c r="I195" s="52" t="s">
        <v>85</v>
      </c>
      <c r="J195" s="52" t="s">
        <v>85</v>
      </c>
      <c r="K195" s="52" t="s">
        <v>84</v>
      </c>
      <c r="L195" s="52" t="s">
        <v>263</v>
      </c>
      <c r="M195" s="52" t="s">
        <v>85</v>
      </c>
      <c r="N195" s="52" t="s">
        <v>85</v>
      </c>
      <c r="O195" s="44" t="s">
        <v>87</v>
      </c>
      <c r="P195" s="44" t="s">
        <v>86</v>
      </c>
      <c r="Q195" s="113" t="s">
        <v>85</v>
      </c>
    </row>
    <row r="196" spans="1:17" ht="49.5" customHeight="1">
      <c r="A196" s="49" t="s">
        <v>25</v>
      </c>
      <c r="B196" s="49">
        <v>45819</v>
      </c>
      <c r="C196" s="49" t="s">
        <v>88</v>
      </c>
      <c r="D196" s="50" t="s">
        <v>98</v>
      </c>
      <c r="E196" s="51" t="s">
        <v>505</v>
      </c>
      <c r="F196" s="52" t="s">
        <v>378</v>
      </c>
      <c r="G196" s="54" t="s">
        <v>506</v>
      </c>
      <c r="H196" s="52" t="s">
        <v>126</v>
      </c>
      <c r="I196" s="52" t="s">
        <v>85</v>
      </c>
      <c r="J196" s="52" t="s">
        <v>84</v>
      </c>
      <c r="K196" s="52" t="s">
        <v>85</v>
      </c>
      <c r="L196" s="52" t="s">
        <v>86</v>
      </c>
      <c r="M196" s="52" t="s">
        <v>85</v>
      </c>
      <c r="N196" s="52" t="s">
        <v>85</v>
      </c>
      <c r="O196" s="44" t="s">
        <v>118</v>
      </c>
      <c r="P196" s="44" t="s">
        <v>86</v>
      </c>
      <c r="Q196" s="113" t="s">
        <v>85</v>
      </c>
    </row>
    <row r="197" spans="1:17" ht="92.25" customHeight="1">
      <c r="A197" s="49" t="s">
        <v>25</v>
      </c>
      <c r="B197" s="49">
        <v>45820</v>
      </c>
      <c r="C197" s="49" t="s">
        <v>88</v>
      </c>
      <c r="D197" s="50" t="s">
        <v>98</v>
      </c>
      <c r="E197" s="51" t="s">
        <v>507</v>
      </c>
      <c r="F197" s="52" t="s">
        <v>508</v>
      </c>
      <c r="G197" s="52" t="s">
        <v>509</v>
      </c>
      <c r="H197" s="52" t="s">
        <v>83</v>
      </c>
      <c r="I197" s="52" t="s">
        <v>85</v>
      </c>
      <c r="J197" s="52" t="s">
        <v>84</v>
      </c>
      <c r="K197" s="52" t="s">
        <v>85</v>
      </c>
      <c r="L197" s="52" t="s">
        <v>86</v>
      </c>
      <c r="M197" s="52" t="s">
        <v>85</v>
      </c>
      <c r="N197" s="52" t="s">
        <v>85</v>
      </c>
      <c r="O197" s="44" t="s">
        <v>87</v>
      </c>
      <c r="P197" s="44" t="s">
        <v>1508</v>
      </c>
      <c r="Q197" s="113" t="s">
        <v>85</v>
      </c>
    </row>
    <row r="198" spans="1:17" ht="150" customHeight="1">
      <c r="A198" s="49" t="s">
        <v>25</v>
      </c>
      <c r="B198" s="49">
        <v>45820</v>
      </c>
      <c r="C198" s="49" t="s">
        <v>106</v>
      </c>
      <c r="D198" s="50" t="s">
        <v>83</v>
      </c>
      <c r="E198" s="51" t="s">
        <v>511</v>
      </c>
      <c r="F198" s="52" t="s">
        <v>100</v>
      </c>
      <c r="G198" s="52" t="s">
        <v>512</v>
      </c>
      <c r="H198" s="52" t="s">
        <v>453</v>
      </c>
      <c r="I198" s="52" t="s">
        <v>84</v>
      </c>
      <c r="J198" s="52" t="s">
        <v>84</v>
      </c>
      <c r="K198" s="52" t="s">
        <v>85</v>
      </c>
      <c r="L198" s="52" t="s">
        <v>86</v>
      </c>
      <c r="M198" s="52" t="s">
        <v>85</v>
      </c>
      <c r="N198" s="52" t="s">
        <v>85</v>
      </c>
      <c r="O198" s="44" t="s">
        <v>87</v>
      </c>
      <c r="P198" s="44" t="s">
        <v>1503</v>
      </c>
      <c r="Q198" s="113" t="s">
        <v>85</v>
      </c>
    </row>
    <row r="199" spans="1:17" ht="49.5" customHeight="1">
      <c r="A199" s="49" t="s">
        <v>25</v>
      </c>
      <c r="B199" s="49">
        <v>45821</v>
      </c>
      <c r="C199" s="49" t="s">
        <v>106</v>
      </c>
      <c r="D199" s="50" t="s">
        <v>98</v>
      </c>
      <c r="E199" s="51" t="s">
        <v>513</v>
      </c>
      <c r="F199" s="52" t="s">
        <v>100</v>
      </c>
      <c r="G199" s="54" t="s">
        <v>514</v>
      </c>
      <c r="H199" s="52" t="s">
        <v>135</v>
      </c>
      <c r="I199" s="52" t="s">
        <v>85</v>
      </c>
      <c r="J199" s="52" t="s">
        <v>84</v>
      </c>
      <c r="K199" s="52" t="s">
        <v>85</v>
      </c>
      <c r="L199" s="52" t="s">
        <v>86</v>
      </c>
      <c r="M199" s="52" t="s">
        <v>85</v>
      </c>
      <c r="N199" s="52" t="s">
        <v>85</v>
      </c>
      <c r="O199" s="44" t="s">
        <v>87</v>
      </c>
      <c r="P199" s="44" t="s">
        <v>86</v>
      </c>
      <c r="Q199" s="113" t="s">
        <v>85</v>
      </c>
    </row>
    <row r="200" spans="1:17" ht="114" customHeight="1">
      <c r="A200" s="49" t="s">
        <v>25</v>
      </c>
      <c r="B200" s="49">
        <v>45821</v>
      </c>
      <c r="C200" s="49" t="s">
        <v>78</v>
      </c>
      <c r="D200" s="50" t="s">
        <v>98</v>
      </c>
      <c r="E200" s="51" t="s">
        <v>515</v>
      </c>
      <c r="F200" s="52" t="s">
        <v>451</v>
      </c>
      <c r="G200" s="54" t="s">
        <v>516</v>
      </c>
      <c r="H200" s="52" t="s">
        <v>517</v>
      </c>
      <c r="I200" s="52" t="s">
        <v>85</v>
      </c>
      <c r="J200" s="52" t="s">
        <v>84</v>
      </c>
      <c r="K200" s="52" t="s">
        <v>85</v>
      </c>
      <c r="L200" s="52" t="s">
        <v>86</v>
      </c>
      <c r="M200" s="52" t="s">
        <v>85</v>
      </c>
      <c r="N200" s="52" t="s">
        <v>85</v>
      </c>
      <c r="O200" s="44" t="s">
        <v>118</v>
      </c>
      <c r="P200" s="44" t="s">
        <v>1497</v>
      </c>
      <c r="Q200" s="113" t="s">
        <v>85</v>
      </c>
    </row>
    <row r="201" spans="1:17" ht="87" customHeight="1">
      <c r="A201" s="49" t="s">
        <v>25</v>
      </c>
      <c r="B201" s="49">
        <v>45822</v>
      </c>
      <c r="C201" s="49" t="s">
        <v>106</v>
      </c>
      <c r="D201" s="50" t="s">
        <v>98</v>
      </c>
      <c r="E201" s="51" t="s">
        <v>518</v>
      </c>
      <c r="F201" s="52" t="s">
        <v>83</v>
      </c>
      <c r="G201" s="54" t="s">
        <v>519</v>
      </c>
      <c r="H201" s="52" t="s">
        <v>135</v>
      </c>
      <c r="I201" s="52" t="s">
        <v>84</v>
      </c>
      <c r="J201" s="52" t="s">
        <v>84</v>
      </c>
      <c r="K201" s="52" t="s">
        <v>85</v>
      </c>
      <c r="L201" s="52" t="s">
        <v>86</v>
      </c>
      <c r="M201" s="52" t="s">
        <v>85</v>
      </c>
      <c r="N201" s="52" t="s">
        <v>85</v>
      </c>
      <c r="O201" s="44" t="s">
        <v>118</v>
      </c>
      <c r="P201" s="44" t="s">
        <v>86</v>
      </c>
      <c r="Q201" s="113" t="s">
        <v>85</v>
      </c>
    </row>
    <row r="202" spans="1:17" ht="99.75" customHeight="1">
      <c r="A202" s="49" t="s">
        <v>25</v>
      </c>
      <c r="B202" s="49">
        <v>45822</v>
      </c>
      <c r="C202" s="49" t="s">
        <v>220</v>
      </c>
      <c r="D202" s="50" t="s">
        <v>98</v>
      </c>
      <c r="E202" s="51" t="s">
        <v>520</v>
      </c>
      <c r="F202" s="52" t="s">
        <v>372</v>
      </c>
      <c r="G202" s="54" t="s">
        <v>521</v>
      </c>
      <c r="H202" s="52" t="s">
        <v>126</v>
      </c>
      <c r="I202" s="52" t="s">
        <v>85</v>
      </c>
      <c r="J202" s="52" t="s">
        <v>84</v>
      </c>
      <c r="K202" s="52" t="s">
        <v>85</v>
      </c>
      <c r="L202" s="52" t="s">
        <v>86</v>
      </c>
      <c r="M202" s="52" t="s">
        <v>85</v>
      </c>
      <c r="N202" s="52" t="s">
        <v>85</v>
      </c>
      <c r="O202" s="44" t="s">
        <v>118</v>
      </c>
      <c r="P202" s="44" t="s">
        <v>1498</v>
      </c>
      <c r="Q202" s="113" t="s">
        <v>85</v>
      </c>
    </row>
    <row r="203" spans="1:17" ht="75" customHeight="1">
      <c r="A203" s="49" t="s">
        <v>25</v>
      </c>
      <c r="B203" s="49">
        <v>45823</v>
      </c>
      <c r="C203" s="49" t="s">
        <v>106</v>
      </c>
      <c r="D203" s="50" t="s">
        <v>98</v>
      </c>
      <c r="E203" s="51" t="s">
        <v>522</v>
      </c>
      <c r="F203" s="52" t="s">
        <v>492</v>
      </c>
      <c r="G203" s="54" t="s">
        <v>523</v>
      </c>
      <c r="H203" s="52" t="s">
        <v>517</v>
      </c>
      <c r="I203" s="52" t="s">
        <v>84</v>
      </c>
      <c r="J203" s="52" t="s">
        <v>85</v>
      </c>
      <c r="K203" s="52" t="s">
        <v>84</v>
      </c>
      <c r="L203" s="52" t="s">
        <v>524</v>
      </c>
      <c r="M203" s="52" t="s">
        <v>85</v>
      </c>
      <c r="N203" s="52" t="s">
        <v>85</v>
      </c>
      <c r="O203" s="44" t="s">
        <v>87</v>
      </c>
      <c r="P203" s="44" t="s">
        <v>86</v>
      </c>
      <c r="Q203" s="113" t="s">
        <v>85</v>
      </c>
    </row>
    <row r="204" spans="1:17" ht="99.75" customHeight="1">
      <c r="A204" s="49" t="s">
        <v>25</v>
      </c>
      <c r="B204" s="49">
        <v>45823</v>
      </c>
      <c r="C204" s="49" t="s">
        <v>106</v>
      </c>
      <c r="D204" s="50" t="s">
        <v>98</v>
      </c>
      <c r="E204" s="51" t="s">
        <v>525</v>
      </c>
      <c r="F204" s="52" t="s">
        <v>526</v>
      </c>
      <c r="G204" s="52" t="s">
        <v>290</v>
      </c>
      <c r="H204" s="52" t="s">
        <v>527</v>
      </c>
      <c r="I204" s="52" t="s">
        <v>85</v>
      </c>
      <c r="J204" s="52" t="s">
        <v>84</v>
      </c>
      <c r="K204" s="52" t="s">
        <v>85</v>
      </c>
      <c r="L204" s="52" t="s">
        <v>86</v>
      </c>
      <c r="M204" s="52" t="s">
        <v>85</v>
      </c>
      <c r="N204" s="52" t="s">
        <v>85</v>
      </c>
      <c r="O204" s="44" t="s">
        <v>118</v>
      </c>
      <c r="P204" s="44" t="s">
        <v>86</v>
      </c>
      <c r="Q204" s="113" t="s">
        <v>85</v>
      </c>
    </row>
    <row r="205" spans="1:17" ht="62.25" customHeight="1">
      <c r="A205" s="49" t="s">
        <v>25</v>
      </c>
      <c r="B205" s="49">
        <v>45823</v>
      </c>
      <c r="C205" s="49" t="s">
        <v>123</v>
      </c>
      <c r="D205" s="50" t="s">
        <v>79</v>
      </c>
      <c r="E205" s="51" t="s">
        <v>528</v>
      </c>
      <c r="F205" s="52" t="s">
        <v>100</v>
      </c>
      <c r="G205" s="52" t="s">
        <v>529</v>
      </c>
      <c r="H205" s="52" t="s">
        <v>102</v>
      </c>
      <c r="I205" s="52" t="s">
        <v>84</v>
      </c>
      <c r="J205" s="52" t="s">
        <v>84</v>
      </c>
      <c r="K205" s="52" t="s">
        <v>85</v>
      </c>
      <c r="L205" s="52" t="s">
        <v>86</v>
      </c>
      <c r="M205" s="52" t="s">
        <v>85</v>
      </c>
      <c r="N205" s="52" t="s">
        <v>85</v>
      </c>
      <c r="O205" s="44" t="s">
        <v>87</v>
      </c>
      <c r="P205" s="44" t="s">
        <v>86</v>
      </c>
      <c r="Q205" s="113" t="s">
        <v>85</v>
      </c>
    </row>
    <row r="206" spans="1:17" ht="124.5" customHeight="1">
      <c r="A206" s="49" t="s">
        <v>25</v>
      </c>
      <c r="B206" s="49">
        <v>45824</v>
      </c>
      <c r="C206" s="49" t="s">
        <v>106</v>
      </c>
      <c r="D206" s="50" t="s">
        <v>98</v>
      </c>
      <c r="E206" s="51" t="s">
        <v>530</v>
      </c>
      <c r="F206" s="52" t="s">
        <v>378</v>
      </c>
      <c r="G206" s="52" t="s">
        <v>140</v>
      </c>
      <c r="H206" s="52" t="s">
        <v>83</v>
      </c>
      <c r="I206" s="52" t="s">
        <v>84</v>
      </c>
      <c r="J206" s="52" t="s">
        <v>84</v>
      </c>
      <c r="K206" s="52" t="s">
        <v>85</v>
      </c>
      <c r="L206" s="52" t="s">
        <v>86</v>
      </c>
      <c r="M206" s="52" t="s">
        <v>85</v>
      </c>
      <c r="N206" s="52" t="s">
        <v>85</v>
      </c>
      <c r="O206" s="44" t="s">
        <v>118</v>
      </c>
      <c r="P206" s="44" t="s">
        <v>1498</v>
      </c>
      <c r="Q206" s="113" t="s">
        <v>85</v>
      </c>
    </row>
    <row r="207" spans="1:17" ht="87" customHeight="1">
      <c r="A207" s="49" t="s">
        <v>25</v>
      </c>
      <c r="B207" s="49">
        <v>45824</v>
      </c>
      <c r="C207" s="49" t="s">
        <v>78</v>
      </c>
      <c r="D207" s="50" t="s">
        <v>89</v>
      </c>
      <c r="E207" s="51" t="s">
        <v>531</v>
      </c>
      <c r="F207" s="52" t="s">
        <v>133</v>
      </c>
      <c r="G207" s="54" t="s">
        <v>532</v>
      </c>
      <c r="H207" s="52" t="s">
        <v>83</v>
      </c>
      <c r="I207" s="52" t="s">
        <v>84</v>
      </c>
      <c r="J207" s="52" t="s">
        <v>84</v>
      </c>
      <c r="K207" s="52" t="s">
        <v>85</v>
      </c>
      <c r="L207" s="52" t="s">
        <v>86</v>
      </c>
      <c r="M207" s="52" t="s">
        <v>85</v>
      </c>
      <c r="N207" s="52" t="s">
        <v>85</v>
      </c>
      <c r="O207" s="44" t="s">
        <v>87</v>
      </c>
      <c r="P207" s="44" t="s">
        <v>86</v>
      </c>
      <c r="Q207" s="113" t="s">
        <v>85</v>
      </c>
    </row>
    <row r="208" spans="1:17" ht="87" customHeight="1">
      <c r="A208" s="49" t="s">
        <v>25</v>
      </c>
      <c r="B208" s="49">
        <v>45826</v>
      </c>
      <c r="C208" s="49" t="s">
        <v>106</v>
      </c>
      <c r="D208" s="50" t="s">
        <v>98</v>
      </c>
      <c r="E208" s="51" t="s">
        <v>533</v>
      </c>
      <c r="F208" s="52" t="s">
        <v>91</v>
      </c>
      <c r="G208" s="52" t="s">
        <v>86</v>
      </c>
      <c r="H208" s="52" t="s">
        <v>117</v>
      </c>
      <c r="I208" s="52" t="s">
        <v>85</v>
      </c>
      <c r="J208" s="52" t="s">
        <v>84</v>
      </c>
      <c r="K208" s="52" t="s">
        <v>85</v>
      </c>
      <c r="L208" s="52" t="s">
        <v>86</v>
      </c>
      <c r="M208" s="52" t="s">
        <v>85</v>
      </c>
      <c r="N208" s="52" t="s">
        <v>85</v>
      </c>
      <c r="O208" s="44" t="s">
        <v>87</v>
      </c>
      <c r="P208" s="44" t="s">
        <v>86</v>
      </c>
      <c r="Q208" s="113" t="s">
        <v>85</v>
      </c>
    </row>
    <row r="209" spans="1:17" ht="84.75" customHeight="1">
      <c r="A209" s="49" t="s">
        <v>25</v>
      </c>
      <c r="B209" s="49">
        <v>45826</v>
      </c>
      <c r="C209" s="49" t="s">
        <v>123</v>
      </c>
      <c r="D209" s="50" t="s">
        <v>98</v>
      </c>
      <c r="E209" s="51" t="s">
        <v>534</v>
      </c>
      <c r="F209" s="52" t="s">
        <v>81</v>
      </c>
      <c r="G209" s="52" t="s">
        <v>535</v>
      </c>
      <c r="H209" s="52" t="s">
        <v>126</v>
      </c>
      <c r="I209" s="52" t="s">
        <v>85</v>
      </c>
      <c r="J209" s="52" t="s">
        <v>84</v>
      </c>
      <c r="K209" s="52" t="s">
        <v>85</v>
      </c>
      <c r="L209" s="52" t="s">
        <v>86</v>
      </c>
      <c r="M209" s="52" t="s">
        <v>85</v>
      </c>
      <c r="N209" s="52" t="s">
        <v>85</v>
      </c>
      <c r="O209" s="44" t="s">
        <v>87</v>
      </c>
      <c r="P209" s="44" t="s">
        <v>1507</v>
      </c>
      <c r="Q209" s="113" t="s">
        <v>85</v>
      </c>
    </row>
    <row r="210" spans="1:17" ht="75" customHeight="1">
      <c r="A210" s="49" t="s">
        <v>25</v>
      </c>
      <c r="B210" s="49">
        <v>45826</v>
      </c>
      <c r="C210" s="49" t="s">
        <v>78</v>
      </c>
      <c r="D210" s="50" t="s">
        <v>98</v>
      </c>
      <c r="E210" s="51" t="s">
        <v>536</v>
      </c>
      <c r="F210" s="52" t="s">
        <v>100</v>
      </c>
      <c r="G210" s="52" t="s">
        <v>537</v>
      </c>
      <c r="H210" s="52" t="s">
        <v>83</v>
      </c>
      <c r="I210" s="52" t="s">
        <v>85</v>
      </c>
      <c r="J210" s="52" t="s">
        <v>84</v>
      </c>
      <c r="K210" s="52" t="s">
        <v>85</v>
      </c>
      <c r="L210" s="52" t="s">
        <v>86</v>
      </c>
      <c r="M210" s="52" t="s">
        <v>85</v>
      </c>
      <c r="N210" s="52" t="s">
        <v>85</v>
      </c>
      <c r="O210" s="44" t="s">
        <v>118</v>
      </c>
      <c r="P210" s="44" t="s">
        <v>86</v>
      </c>
      <c r="Q210" s="113" t="s">
        <v>85</v>
      </c>
    </row>
    <row r="211" spans="1:17" ht="137.25" customHeight="1">
      <c r="A211" s="49" t="s">
        <v>25</v>
      </c>
      <c r="B211" s="49">
        <v>45827</v>
      </c>
      <c r="C211" s="49" t="s">
        <v>220</v>
      </c>
      <c r="D211" s="50" t="s">
        <v>89</v>
      </c>
      <c r="E211" s="51" t="s">
        <v>538</v>
      </c>
      <c r="F211" s="52" t="s">
        <v>451</v>
      </c>
      <c r="G211" s="52" t="s">
        <v>539</v>
      </c>
      <c r="H211" s="52" t="s">
        <v>135</v>
      </c>
      <c r="I211" s="52" t="s">
        <v>85</v>
      </c>
      <c r="J211" s="52" t="s">
        <v>84</v>
      </c>
      <c r="K211" s="52" t="s">
        <v>85</v>
      </c>
      <c r="L211" s="52" t="s">
        <v>86</v>
      </c>
      <c r="M211" s="52" t="s">
        <v>85</v>
      </c>
      <c r="N211" s="52" t="s">
        <v>85</v>
      </c>
      <c r="O211" s="44" t="s">
        <v>118</v>
      </c>
      <c r="P211" s="44" t="s">
        <v>1507</v>
      </c>
      <c r="Q211" s="113" t="s">
        <v>85</v>
      </c>
    </row>
    <row r="212" spans="1:17" ht="112.5" customHeight="1">
      <c r="A212" s="49" t="s">
        <v>25</v>
      </c>
      <c r="B212" s="49">
        <v>45827</v>
      </c>
      <c r="C212" s="49" t="s">
        <v>78</v>
      </c>
      <c r="D212" s="50" t="s">
        <v>79</v>
      </c>
      <c r="E212" s="51" t="s">
        <v>540</v>
      </c>
      <c r="F212" s="52" t="s">
        <v>91</v>
      </c>
      <c r="G212" s="52" t="s">
        <v>541</v>
      </c>
      <c r="H212" s="52" t="s">
        <v>83</v>
      </c>
      <c r="I212" s="52" t="s">
        <v>85</v>
      </c>
      <c r="J212" s="52" t="s">
        <v>84</v>
      </c>
      <c r="K212" s="52" t="s">
        <v>85</v>
      </c>
      <c r="L212" s="52" t="s">
        <v>86</v>
      </c>
      <c r="M212" s="52" t="s">
        <v>85</v>
      </c>
      <c r="N212" s="52" t="s">
        <v>84</v>
      </c>
      <c r="O212" s="44" t="s">
        <v>87</v>
      </c>
      <c r="P212" s="44" t="s">
        <v>86</v>
      </c>
      <c r="Q212" s="113" t="s">
        <v>85</v>
      </c>
    </row>
    <row r="213" spans="1:17" ht="75" customHeight="1">
      <c r="A213" s="49" t="s">
        <v>25</v>
      </c>
      <c r="B213" s="49">
        <v>45828</v>
      </c>
      <c r="C213" s="49" t="s">
        <v>88</v>
      </c>
      <c r="D213" s="50" t="s">
        <v>136</v>
      </c>
      <c r="E213" s="51" t="s">
        <v>542</v>
      </c>
      <c r="F213" s="52" t="s">
        <v>543</v>
      </c>
      <c r="G213" s="52" t="s">
        <v>544</v>
      </c>
      <c r="H213" s="52" t="s">
        <v>126</v>
      </c>
      <c r="I213" s="52" t="s">
        <v>85</v>
      </c>
      <c r="J213" s="52" t="s">
        <v>84</v>
      </c>
      <c r="K213" s="52" t="s">
        <v>85</v>
      </c>
      <c r="L213" s="52" t="s">
        <v>86</v>
      </c>
      <c r="M213" s="52" t="s">
        <v>85</v>
      </c>
      <c r="N213" s="52" t="s">
        <v>85</v>
      </c>
      <c r="O213" s="44" t="s">
        <v>87</v>
      </c>
      <c r="P213" s="44" t="s">
        <v>1507</v>
      </c>
      <c r="Q213" s="113" t="s">
        <v>85</v>
      </c>
    </row>
    <row r="214" spans="1:17" ht="71.25" customHeight="1">
      <c r="A214" s="49" t="s">
        <v>25</v>
      </c>
      <c r="B214" s="49">
        <v>45829</v>
      </c>
      <c r="C214" s="49" t="s">
        <v>88</v>
      </c>
      <c r="D214" s="50" t="s">
        <v>89</v>
      </c>
      <c r="E214" s="51" t="s">
        <v>545</v>
      </c>
      <c r="F214" s="52" t="s">
        <v>100</v>
      </c>
      <c r="G214" s="52" t="s">
        <v>546</v>
      </c>
      <c r="H214" s="52" t="s">
        <v>135</v>
      </c>
      <c r="I214" s="52" t="s">
        <v>85</v>
      </c>
      <c r="J214" s="52" t="s">
        <v>84</v>
      </c>
      <c r="K214" s="52" t="s">
        <v>85</v>
      </c>
      <c r="L214" s="52" t="s">
        <v>86</v>
      </c>
      <c r="M214" s="52" t="s">
        <v>85</v>
      </c>
      <c r="N214" s="52" t="s">
        <v>85</v>
      </c>
      <c r="O214" s="44" t="s">
        <v>118</v>
      </c>
      <c r="P214" s="44" t="s">
        <v>1507</v>
      </c>
      <c r="Q214" s="113" t="s">
        <v>85</v>
      </c>
    </row>
    <row r="215" spans="1:17" ht="99.75" customHeight="1">
      <c r="A215" s="49" t="s">
        <v>25</v>
      </c>
      <c r="B215" s="49">
        <v>45829</v>
      </c>
      <c r="C215" s="49" t="s">
        <v>78</v>
      </c>
      <c r="D215" s="50" t="s">
        <v>98</v>
      </c>
      <c r="E215" s="51" t="s">
        <v>547</v>
      </c>
      <c r="F215" s="52" t="s">
        <v>100</v>
      </c>
      <c r="G215" s="54" t="s">
        <v>548</v>
      </c>
      <c r="H215" s="52" t="s">
        <v>102</v>
      </c>
      <c r="I215" s="52" t="s">
        <v>85</v>
      </c>
      <c r="J215" s="52" t="s">
        <v>84</v>
      </c>
      <c r="K215" s="52" t="s">
        <v>85</v>
      </c>
      <c r="L215" s="52" t="s">
        <v>86</v>
      </c>
      <c r="M215" s="52" t="s">
        <v>85</v>
      </c>
      <c r="N215" s="52" t="s">
        <v>85</v>
      </c>
      <c r="O215" s="44" t="s">
        <v>87</v>
      </c>
      <c r="P215" s="44" t="s">
        <v>86</v>
      </c>
      <c r="Q215" s="113" t="s">
        <v>85</v>
      </c>
    </row>
    <row r="216" spans="1:17" ht="75" customHeight="1">
      <c r="A216" s="49" t="s">
        <v>25</v>
      </c>
      <c r="B216" s="49">
        <v>45830</v>
      </c>
      <c r="C216" s="49" t="s">
        <v>106</v>
      </c>
      <c r="D216" s="50" t="s">
        <v>98</v>
      </c>
      <c r="E216" s="51" t="s">
        <v>549</v>
      </c>
      <c r="F216" s="52" t="s">
        <v>147</v>
      </c>
      <c r="G216" s="52" t="s">
        <v>150</v>
      </c>
      <c r="H216" s="52" t="s">
        <v>117</v>
      </c>
      <c r="I216" s="52" t="s">
        <v>85</v>
      </c>
      <c r="J216" s="52" t="s">
        <v>84</v>
      </c>
      <c r="K216" s="52" t="s">
        <v>85</v>
      </c>
      <c r="L216" s="52" t="s">
        <v>86</v>
      </c>
      <c r="M216" s="52" t="s">
        <v>84</v>
      </c>
      <c r="N216" s="52" t="s">
        <v>85</v>
      </c>
      <c r="O216" s="44" t="s">
        <v>118</v>
      </c>
      <c r="P216" s="44" t="s">
        <v>86</v>
      </c>
      <c r="Q216" s="113" t="s">
        <v>85</v>
      </c>
    </row>
    <row r="217" spans="1:17" ht="75" customHeight="1">
      <c r="A217" s="49" t="s">
        <v>25</v>
      </c>
      <c r="B217" s="49">
        <v>45830</v>
      </c>
      <c r="C217" s="49" t="s">
        <v>88</v>
      </c>
      <c r="D217" s="50" t="s">
        <v>240</v>
      </c>
      <c r="E217" s="51" t="s">
        <v>550</v>
      </c>
      <c r="F217" s="52" t="s">
        <v>100</v>
      </c>
      <c r="G217" s="52" t="s">
        <v>140</v>
      </c>
      <c r="H217" s="52" t="s">
        <v>83</v>
      </c>
      <c r="I217" s="52" t="s">
        <v>85</v>
      </c>
      <c r="J217" s="52" t="s">
        <v>84</v>
      </c>
      <c r="K217" s="52" t="s">
        <v>85</v>
      </c>
      <c r="L217" s="52" t="s">
        <v>86</v>
      </c>
      <c r="M217" s="52" t="s">
        <v>85</v>
      </c>
      <c r="N217" s="52" t="s">
        <v>84</v>
      </c>
      <c r="O217" s="44" t="s">
        <v>87</v>
      </c>
      <c r="P217" s="44" t="s">
        <v>86</v>
      </c>
      <c r="Q217" s="113" t="s">
        <v>85</v>
      </c>
    </row>
    <row r="218" spans="1:17" ht="124.5" customHeight="1">
      <c r="A218" s="49" t="s">
        <v>25</v>
      </c>
      <c r="B218" s="49">
        <v>45830</v>
      </c>
      <c r="C218" s="49" t="s">
        <v>78</v>
      </c>
      <c r="D218" s="50" t="s">
        <v>79</v>
      </c>
      <c r="E218" s="51" t="s">
        <v>551</v>
      </c>
      <c r="F218" s="52" t="s">
        <v>100</v>
      </c>
      <c r="G218" s="54" t="s">
        <v>552</v>
      </c>
      <c r="H218" s="52" t="s">
        <v>93</v>
      </c>
      <c r="I218" s="52" t="s">
        <v>85</v>
      </c>
      <c r="J218" s="52" t="s">
        <v>84</v>
      </c>
      <c r="K218" s="52" t="s">
        <v>85</v>
      </c>
      <c r="L218" s="52" t="s">
        <v>86</v>
      </c>
      <c r="M218" s="52" t="s">
        <v>85</v>
      </c>
      <c r="N218" s="52" t="s">
        <v>84</v>
      </c>
      <c r="O218" s="44" t="s">
        <v>87</v>
      </c>
      <c r="P218" s="44" t="s">
        <v>86</v>
      </c>
      <c r="Q218" s="113" t="s">
        <v>85</v>
      </c>
    </row>
    <row r="219" spans="1:17" ht="75" customHeight="1">
      <c r="A219" s="49" t="s">
        <v>25</v>
      </c>
      <c r="B219" s="49">
        <v>45831</v>
      </c>
      <c r="C219" s="49" t="s">
        <v>106</v>
      </c>
      <c r="D219" s="50" t="s">
        <v>98</v>
      </c>
      <c r="E219" s="51" t="s">
        <v>553</v>
      </c>
      <c r="F219" s="52" t="s">
        <v>554</v>
      </c>
      <c r="G219" s="52" t="s">
        <v>555</v>
      </c>
      <c r="H219" s="52" t="s">
        <v>135</v>
      </c>
      <c r="I219" s="52" t="s">
        <v>84</v>
      </c>
      <c r="J219" s="52" t="s">
        <v>85</v>
      </c>
      <c r="K219" s="52" t="s">
        <v>84</v>
      </c>
      <c r="L219" s="52" t="s">
        <v>556</v>
      </c>
      <c r="M219" s="52" t="s">
        <v>85</v>
      </c>
      <c r="N219" s="52" t="s">
        <v>85</v>
      </c>
      <c r="O219" s="44" t="s">
        <v>87</v>
      </c>
      <c r="P219" s="44" t="s">
        <v>1506</v>
      </c>
      <c r="Q219" s="113" t="s">
        <v>85</v>
      </c>
    </row>
    <row r="220" spans="1:17" ht="62.25" customHeight="1">
      <c r="A220" s="49" t="s">
        <v>25</v>
      </c>
      <c r="B220" s="49">
        <v>45833</v>
      </c>
      <c r="C220" s="49" t="s">
        <v>88</v>
      </c>
      <c r="D220" s="50" t="s">
        <v>98</v>
      </c>
      <c r="E220" s="51" t="s">
        <v>557</v>
      </c>
      <c r="F220" s="52" t="s">
        <v>100</v>
      </c>
      <c r="G220" s="52" t="s">
        <v>558</v>
      </c>
      <c r="H220" s="52" t="s">
        <v>83</v>
      </c>
      <c r="I220" s="52" t="s">
        <v>85</v>
      </c>
      <c r="J220" s="52" t="s">
        <v>85</v>
      </c>
      <c r="K220" s="52" t="s">
        <v>84</v>
      </c>
      <c r="L220" s="52" t="s">
        <v>559</v>
      </c>
      <c r="M220" s="52" t="s">
        <v>85</v>
      </c>
      <c r="N220" s="52" t="s">
        <v>85</v>
      </c>
      <c r="O220" s="44" t="s">
        <v>87</v>
      </c>
      <c r="P220" s="44" t="s">
        <v>86</v>
      </c>
      <c r="Q220" s="113" t="s">
        <v>85</v>
      </c>
    </row>
    <row r="221" spans="1:17" ht="37.5" customHeight="1">
      <c r="A221" s="49" t="s">
        <v>25</v>
      </c>
      <c r="B221" s="49">
        <v>45834</v>
      </c>
      <c r="C221" s="49" t="s">
        <v>78</v>
      </c>
      <c r="D221" s="50" t="s">
        <v>240</v>
      </c>
      <c r="E221" s="51" t="s">
        <v>560</v>
      </c>
      <c r="F221" s="52" t="s">
        <v>100</v>
      </c>
      <c r="G221" s="52" t="s">
        <v>561</v>
      </c>
      <c r="H221" s="52" t="s">
        <v>93</v>
      </c>
      <c r="I221" s="52" t="s">
        <v>84</v>
      </c>
      <c r="J221" s="52" t="s">
        <v>84</v>
      </c>
      <c r="K221" s="52" t="s">
        <v>85</v>
      </c>
      <c r="L221" s="52" t="s">
        <v>86</v>
      </c>
      <c r="M221" s="52" t="s">
        <v>85</v>
      </c>
      <c r="N221" s="52" t="s">
        <v>85</v>
      </c>
      <c r="O221" s="44" t="s">
        <v>87</v>
      </c>
      <c r="P221" s="44" t="s">
        <v>1498</v>
      </c>
      <c r="Q221" s="113" t="s">
        <v>85</v>
      </c>
    </row>
    <row r="222" spans="1:17" ht="112.5" customHeight="1">
      <c r="A222" s="49" t="s">
        <v>25</v>
      </c>
      <c r="B222" s="49">
        <v>45834</v>
      </c>
      <c r="C222" s="49" t="s">
        <v>88</v>
      </c>
      <c r="D222" s="50" t="s">
        <v>98</v>
      </c>
      <c r="E222" s="51" t="s">
        <v>562</v>
      </c>
      <c r="F222" s="52" t="s">
        <v>350</v>
      </c>
      <c r="G222" s="52" t="s">
        <v>563</v>
      </c>
      <c r="H222" s="52" t="s">
        <v>114</v>
      </c>
      <c r="I222" s="52" t="s">
        <v>85</v>
      </c>
      <c r="J222" s="52" t="s">
        <v>84</v>
      </c>
      <c r="K222" s="52" t="s">
        <v>85</v>
      </c>
      <c r="L222" s="52" t="s">
        <v>86</v>
      </c>
      <c r="M222" s="52" t="s">
        <v>84</v>
      </c>
      <c r="N222" s="52" t="s">
        <v>85</v>
      </c>
      <c r="O222" s="44" t="s">
        <v>118</v>
      </c>
      <c r="P222" s="44" t="s">
        <v>1510</v>
      </c>
      <c r="Q222" s="113" t="s">
        <v>85</v>
      </c>
    </row>
    <row r="223" spans="1:17" ht="62.25" customHeight="1">
      <c r="A223" s="49" t="s">
        <v>25</v>
      </c>
      <c r="B223" s="49">
        <v>45835</v>
      </c>
      <c r="C223" s="49" t="s">
        <v>106</v>
      </c>
      <c r="D223" s="50" t="s">
        <v>98</v>
      </c>
      <c r="E223" s="51" t="s">
        <v>565</v>
      </c>
      <c r="F223" s="52" t="s">
        <v>133</v>
      </c>
      <c r="G223" s="52" t="s">
        <v>566</v>
      </c>
      <c r="H223" s="52" t="s">
        <v>135</v>
      </c>
      <c r="I223" s="52" t="s">
        <v>84</v>
      </c>
      <c r="J223" s="52" t="s">
        <v>85</v>
      </c>
      <c r="K223" s="52" t="s">
        <v>84</v>
      </c>
      <c r="L223" s="52" t="s">
        <v>567</v>
      </c>
      <c r="M223" s="52" t="s">
        <v>85</v>
      </c>
      <c r="N223" s="52" t="s">
        <v>85</v>
      </c>
      <c r="O223" s="44" t="s">
        <v>87</v>
      </c>
      <c r="P223" s="44" t="s">
        <v>86</v>
      </c>
      <c r="Q223" s="113" t="s">
        <v>85</v>
      </c>
    </row>
    <row r="224" spans="1:17" ht="99.75" customHeight="1">
      <c r="A224" s="49" t="s">
        <v>25</v>
      </c>
      <c r="B224" s="49">
        <v>45838</v>
      </c>
      <c r="C224" s="49" t="s">
        <v>88</v>
      </c>
      <c r="D224" s="50" t="s">
        <v>79</v>
      </c>
      <c r="E224" s="51" t="s">
        <v>568</v>
      </c>
      <c r="F224" s="52" t="s">
        <v>451</v>
      </c>
      <c r="G224" s="58" t="s">
        <v>569</v>
      </c>
      <c r="H224" s="52" t="s">
        <v>453</v>
      </c>
      <c r="I224" s="52" t="s">
        <v>85</v>
      </c>
      <c r="J224" s="52" t="s">
        <v>84</v>
      </c>
      <c r="K224" s="52" t="s">
        <v>85</v>
      </c>
      <c r="L224" s="52" t="s">
        <v>86</v>
      </c>
      <c r="M224" s="52" t="s">
        <v>85</v>
      </c>
      <c r="N224" s="52" t="s">
        <v>570</v>
      </c>
      <c r="O224" s="44" t="s">
        <v>87</v>
      </c>
      <c r="P224" s="44" t="s">
        <v>86</v>
      </c>
      <c r="Q224" s="113" t="s">
        <v>85</v>
      </c>
    </row>
    <row r="225" spans="1:17" ht="69.75" customHeight="1">
      <c r="A225" s="49" t="s">
        <v>26</v>
      </c>
      <c r="B225" s="59">
        <v>45841</v>
      </c>
      <c r="C225" s="49" t="s">
        <v>106</v>
      </c>
      <c r="D225" s="50" t="s">
        <v>79</v>
      </c>
      <c r="E225" s="51" t="s">
        <v>571</v>
      </c>
      <c r="F225" s="52" t="s">
        <v>100</v>
      </c>
      <c r="G225" s="52" t="s">
        <v>572</v>
      </c>
      <c r="H225" s="52" t="s">
        <v>93</v>
      </c>
      <c r="I225" s="52" t="s">
        <v>85</v>
      </c>
      <c r="J225" s="52" t="s">
        <v>84</v>
      </c>
      <c r="K225" s="52" t="s">
        <v>85</v>
      </c>
      <c r="L225" s="52" t="s">
        <v>86</v>
      </c>
      <c r="M225" s="52" t="s">
        <v>85</v>
      </c>
      <c r="N225" s="52" t="s">
        <v>85</v>
      </c>
      <c r="O225" s="44" t="s">
        <v>87</v>
      </c>
      <c r="P225" s="44" t="s">
        <v>86</v>
      </c>
      <c r="Q225" s="113" t="s">
        <v>85</v>
      </c>
    </row>
    <row r="226" spans="1:17" ht="49.5" customHeight="1">
      <c r="A226" s="49" t="s">
        <v>26</v>
      </c>
      <c r="B226" s="49">
        <v>45842</v>
      </c>
      <c r="C226" s="49" t="s">
        <v>106</v>
      </c>
      <c r="D226" s="50" t="s">
        <v>79</v>
      </c>
      <c r="E226" s="51" t="s">
        <v>573</v>
      </c>
      <c r="F226" s="52" t="s">
        <v>100</v>
      </c>
      <c r="G226" s="52" t="s">
        <v>574</v>
      </c>
      <c r="H226" s="52" t="s">
        <v>93</v>
      </c>
      <c r="I226" s="52" t="s">
        <v>85</v>
      </c>
      <c r="J226" s="52" t="s">
        <v>85</v>
      </c>
      <c r="K226" s="52" t="s">
        <v>84</v>
      </c>
      <c r="L226" s="52" t="s">
        <v>263</v>
      </c>
      <c r="M226" s="52" t="s">
        <v>85</v>
      </c>
      <c r="N226" s="52" t="s">
        <v>85</v>
      </c>
      <c r="O226" s="44" t="s">
        <v>87</v>
      </c>
      <c r="P226" s="44" t="s">
        <v>86</v>
      </c>
      <c r="Q226" s="113" t="s">
        <v>85</v>
      </c>
    </row>
    <row r="227" spans="1:17" ht="49.5" customHeight="1">
      <c r="A227" s="49" t="s">
        <v>26</v>
      </c>
      <c r="B227" s="49">
        <v>45843</v>
      </c>
      <c r="C227" s="49" t="s">
        <v>106</v>
      </c>
      <c r="D227" s="50" t="s">
        <v>98</v>
      </c>
      <c r="E227" s="51" t="s">
        <v>575</v>
      </c>
      <c r="F227" s="52" t="s">
        <v>100</v>
      </c>
      <c r="G227" s="52" t="s">
        <v>576</v>
      </c>
      <c r="H227" s="52" t="s">
        <v>83</v>
      </c>
      <c r="I227" s="52" t="s">
        <v>85</v>
      </c>
      <c r="J227" s="52" t="s">
        <v>84</v>
      </c>
      <c r="K227" s="52" t="s">
        <v>85</v>
      </c>
      <c r="L227" s="52" t="s">
        <v>86</v>
      </c>
      <c r="M227" s="52" t="s">
        <v>85</v>
      </c>
      <c r="N227" s="52" t="s">
        <v>85</v>
      </c>
      <c r="O227" s="44" t="s">
        <v>87</v>
      </c>
      <c r="P227" s="44" t="s">
        <v>86</v>
      </c>
      <c r="Q227" s="113" t="s">
        <v>85</v>
      </c>
    </row>
    <row r="228" spans="1:17" ht="73.5" customHeight="1">
      <c r="A228" s="49" t="s">
        <v>26</v>
      </c>
      <c r="B228" s="49">
        <v>45843</v>
      </c>
      <c r="C228" s="49" t="s">
        <v>78</v>
      </c>
      <c r="D228" s="50" t="s">
        <v>98</v>
      </c>
      <c r="E228" s="56" t="s">
        <v>577</v>
      </c>
      <c r="F228" s="52" t="s">
        <v>100</v>
      </c>
      <c r="G228" s="52" t="s">
        <v>578</v>
      </c>
      <c r="H228" s="52" t="s">
        <v>83</v>
      </c>
      <c r="I228" s="52" t="s">
        <v>85</v>
      </c>
      <c r="J228" s="52" t="s">
        <v>84</v>
      </c>
      <c r="K228" s="52" t="s">
        <v>85</v>
      </c>
      <c r="L228" s="52" t="s">
        <v>86</v>
      </c>
      <c r="M228" s="52" t="s">
        <v>85</v>
      </c>
      <c r="N228" s="52" t="s">
        <v>85</v>
      </c>
      <c r="O228" s="44" t="s">
        <v>87</v>
      </c>
      <c r="P228" s="44" t="s">
        <v>86</v>
      </c>
      <c r="Q228" s="113" t="s">
        <v>85</v>
      </c>
    </row>
    <row r="229" spans="1:17" ht="67.5" customHeight="1">
      <c r="A229" s="49" t="s">
        <v>26</v>
      </c>
      <c r="B229" s="49">
        <v>45843</v>
      </c>
      <c r="C229" s="49" t="s">
        <v>78</v>
      </c>
      <c r="D229" s="50" t="s">
        <v>98</v>
      </c>
      <c r="E229" s="56" t="s">
        <v>579</v>
      </c>
      <c r="F229" s="52" t="s">
        <v>100</v>
      </c>
      <c r="G229" s="52" t="s">
        <v>580</v>
      </c>
      <c r="H229" s="60" t="s">
        <v>135</v>
      </c>
      <c r="I229" s="52" t="s">
        <v>85</v>
      </c>
      <c r="J229" s="52" t="s">
        <v>84</v>
      </c>
      <c r="K229" s="52" t="s">
        <v>85</v>
      </c>
      <c r="L229" s="52" t="s">
        <v>86</v>
      </c>
      <c r="M229" s="52" t="s">
        <v>85</v>
      </c>
      <c r="N229" s="52" t="s">
        <v>85</v>
      </c>
      <c r="O229" s="44" t="s">
        <v>87</v>
      </c>
      <c r="P229" s="44" t="s">
        <v>86</v>
      </c>
      <c r="Q229" s="113" t="s">
        <v>85</v>
      </c>
    </row>
    <row r="230" spans="1:17" ht="67.5" customHeight="1">
      <c r="A230" s="49" t="s">
        <v>26</v>
      </c>
      <c r="B230" s="49">
        <v>45844</v>
      </c>
      <c r="C230" s="49" t="s">
        <v>123</v>
      </c>
      <c r="D230" s="50" t="s">
        <v>98</v>
      </c>
      <c r="E230" s="56" t="s">
        <v>581</v>
      </c>
      <c r="F230" s="52" t="s">
        <v>100</v>
      </c>
      <c r="G230" s="52" t="s">
        <v>582</v>
      </c>
      <c r="H230" s="52" t="s">
        <v>126</v>
      </c>
      <c r="I230" s="52" t="s">
        <v>85</v>
      </c>
      <c r="J230" s="52" t="s">
        <v>84</v>
      </c>
      <c r="K230" s="52" t="s">
        <v>85</v>
      </c>
      <c r="L230" s="52" t="s">
        <v>86</v>
      </c>
      <c r="M230" s="52" t="s">
        <v>85</v>
      </c>
      <c r="N230" s="52" t="s">
        <v>85</v>
      </c>
      <c r="O230" s="44" t="s">
        <v>87</v>
      </c>
      <c r="P230" s="44" t="s">
        <v>86</v>
      </c>
      <c r="Q230" s="113" t="s">
        <v>85</v>
      </c>
    </row>
    <row r="231" spans="1:17" ht="79.5" customHeight="1">
      <c r="A231" s="49" t="s">
        <v>26</v>
      </c>
      <c r="B231" s="49">
        <v>45844</v>
      </c>
      <c r="C231" s="49" t="s">
        <v>78</v>
      </c>
      <c r="D231" s="50" t="s">
        <v>89</v>
      </c>
      <c r="E231" s="56" t="s">
        <v>583</v>
      </c>
      <c r="F231" s="52" t="s">
        <v>133</v>
      </c>
      <c r="G231" s="52" t="s">
        <v>584</v>
      </c>
      <c r="H231" s="60" t="s">
        <v>83</v>
      </c>
      <c r="I231" s="52" t="s">
        <v>85</v>
      </c>
      <c r="J231" s="52" t="s">
        <v>85</v>
      </c>
      <c r="K231" s="52" t="s">
        <v>84</v>
      </c>
      <c r="L231" s="52" t="s">
        <v>585</v>
      </c>
      <c r="M231" s="52" t="s">
        <v>85</v>
      </c>
      <c r="N231" s="52" t="s">
        <v>85</v>
      </c>
      <c r="O231" s="44" t="s">
        <v>118</v>
      </c>
      <c r="P231" s="44" t="s">
        <v>86</v>
      </c>
      <c r="Q231" s="113" t="s">
        <v>85</v>
      </c>
    </row>
    <row r="232" spans="1:17" ht="73.5" customHeight="1">
      <c r="A232" s="49" t="s">
        <v>26</v>
      </c>
      <c r="B232" s="49">
        <v>45845</v>
      </c>
      <c r="C232" s="49" t="s">
        <v>78</v>
      </c>
      <c r="D232" s="50" t="s">
        <v>79</v>
      </c>
      <c r="E232" s="56" t="s">
        <v>586</v>
      </c>
      <c r="F232" s="52" t="s">
        <v>83</v>
      </c>
      <c r="G232" s="52" t="s">
        <v>587</v>
      </c>
      <c r="H232" s="52" t="s">
        <v>93</v>
      </c>
      <c r="I232" s="52" t="s">
        <v>84</v>
      </c>
      <c r="J232" s="52" t="s">
        <v>85</v>
      </c>
      <c r="K232" s="52" t="s">
        <v>84</v>
      </c>
      <c r="L232" s="52" t="s">
        <v>588</v>
      </c>
      <c r="M232" s="52" t="s">
        <v>85</v>
      </c>
      <c r="N232" s="52" t="s">
        <v>85</v>
      </c>
      <c r="O232" s="44" t="s">
        <v>87</v>
      </c>
      <c r="P232" s="44" t="s">
        <v>86</v>
      </c>
      <c r="Q232" s="113" t="s">
        <v>85</v>
      </c>
    </row>
    <row r="233" spans="1:17" ht="68.25" customHeight="1">
      <c r="A233" s="49" t="s">
        <v>26</v>
      </c>
      <c r="B233" s="49">
        <v>45845</v>
      </c>
      <c r="C233" s="49" t="s">
        <v>106</v>
      </c>
      <c r="D233" s="50" t="s">
        <v>98</v>
      </c>
      <c r="E233" s="56" t="s">
        <v>589</v>
      </c>
      <c r="F233" s="52" t="s">
        <v>83</v>
      </c>
      <c r="G233" s="52" t="s">
        <v>590</v>
      </c>
      <c r="H233" s="52" t="s">
        <v>591</v>
      </c>
      <c r="I233" s="52" t="s">
        <v>84</v>
      </c>
      <c r="J233" s="52" t="s">
        <v>84</v>
      </c>
      <c r="K233" s="52" t="s">
        <v>85</v>
      </c>
      <c r="L233" s="52" t="s">
        <v>86</v>
      </c>
      <c r="M233" s="52" t="s">
        <v>85</v>
      </c>
      <c r="N233" s="52" t="s">
        <v>85</v>
      </c>
      <c r="O233" s="44" t="s">
        <v>87</v>
      </c>
      <c r="P233" s="44" t="s">
        <v>86</v>
      </c>
      <c r="Q233" s="113" t="s">
        <v>85</v>
      </c>
    </row>
    <row r="234" spans="1:17" ht="51" customHeight="1">
      <c r="A234" s="49" t="s">
        <v>26</v>
      </c>
      <c r="B234" s="49">
        <v>45846</v>
      </c>
      <c r="C234" s="49" t="s">
        <v>106</v>
      </c>
      <c r="D234" s="50" t="s">
        <v>98</v>
      </c>
      <c r="E234" s="56" t="s">
        <v>592</v>
      </c>
      <c r="F234" s="52" t="s">
        <v>100</v>
      </c>
      <c r="G234" s="52" t="s">
        <v>122</v>
      </c>
      <c r="H234" s="52" t="s">
        <v>83</v>
      </c>
      <c r="I234" s="52" t="s">
        <v>85</v>
      </c>
      <c r="J234" s="52" t="s">
        <v>84</v>
      </c>
      <c r="K234" s="52" t="s">
        <v>85</v>
      </c>
      <c r="L234" s="52" t="s">
        <v>86</v>
      </c>
      <c r="M234" s="52" t="s">
        <v>85</v>
      </c>
      <c r="N234" s="52" t="s">
        <v>85</v>
      </c>
      <c r="O234" s="52" t="s">
        <v>118</v>
      </c>
      <c r="P234" s="44" t="s">
        <v>1507</v>
      </c>
      <c r="Q234" s="113" t="s">
        <v>85</v>
      </c>
    </row>
    <row r="235" spans="1:17" ht="87" customHeight="1">
      <c r="A235" s="49" t="s">
        <v>26</v>
      </c>
      <c r="B235" s="49">
        <v>45847</v>
      </c>
      <c r="C235" s="49" t="s">
        <v>106</v>
      </c>
      <c r="D235" s="50" t="s">
        <v>79</v>
      </c>
      <c r="E235" s="51" t="s">
        <v>593</v>
      </c>
      <c r="F235" s="52" t="s">
        <v>153</v>
      </c>
      <c r="G235" s="52" t="s">
        <v>594</v>
      </c>
      <c r="H235" s="52" t="s">
        <v>135</v>
      </c>
      <c r="I235" s="52" t="s">
        <v>85</v>
      </c>
      <c r="J235" s="52" t="s">
        <v>84</v>
      </c>
      <c r="K235" s="52" t="s">
        <v>85</v>
      </c>
      <c r="L235" s="52" t="s">
        <v>86</v>
      </c>
      <c r="M235" s="52" t="s">
        <v>85</v>
      </c>
      <c r="N235" s="52" t="s">
        <v>85</v>
      </c>
      <c r="O235" s="44" t="s">
        <v>87</v>
      </c>
      <c r="P235" s="44" t="s">
        <v>1506</v>
      </c>
      <c r="Q235" s="113" t="s">
        <v>85</v>
      </c>
    </row>
    <row r="236" spans="1:17" ht="170.1" customHeight="1">
      <c r="A236" s="49" t="s">
        <v>26</v>
      </c>
      <c r="B236" s="49">
        <v>45847</v>
      </c>
      <c r="C236" s="49" t="s">
        <v>190</v>
      </c>
      <c r="D236" s="50" t="s">
        <v>89</v>
      </c>
      <c r="E236" s="56" t="s">
        <v>595</v>
      </c>
      <c r="F236" s="52" t="s">
        <v>100</v>
      </c>
      <c r="G236" s="52" t="s">
        <v>596</v>
      </c>
      <c r="H236" s="52" t="s">
        <v>83</v>
      </c>
      <c r="I236" s="52" t="s">
        <v>85</v>
      </c>
      <c r="J236" s="52" t="s">
        <v>84</v>
      </c>
      <c r="K236" s="52" t="s">
        <v>85</v>
      </c>
      <c r="L236" s="52" t="s">
        <v>86</v>
      </c>
      <c r="M236" s="52" t="s">
        <v>85</v>
      </c>
      <c r="N236" s="52" t="s">
        <v>85</v>
      </c>
      <c r="O236" s="52" t="s">
        <v>118</v>
      </c>
      <c r="P236" s="44" t="s">
        <v>86</v>
      </c>
      <c r="Q236" s="113" t="s">
        <v>85</v>
      </c>
    </row>
    <row r="237" spans="1:17" ht="96.9" customHeight="1">
      <c r="A237" s="49" t="s">
        <v>26</v>
      </c>
      <c r="B237" s="49">
        <v>45847</v>
      </c>
      <c r="C237" s="49" t="s">
        <v>78</v>
      </c>
      <c r="D237" s="50" t="s">
        <v>98</v>
      </c>
      <c r="E237" s="56" t="s">
        <v>597</v>
      </c>
      <c r="F237" s="52" t="s">
        <v>451</v>
      </c>
      <c r="G237" s="52" t="s">
        <v>598</v>
      </c>
      <c r="H237" s="52" t="s">
        <v>517</v>
      </c>
      <c r="I237" s="52" t="s">
        <v>85</v>
      </c>
      <c r="J237" s="52" t="s">
        <v>84</v>
      </c>
      <c r="K237" s="52" t="s">
        <v>85</v>
      </c>
      <c r="L237" s="52" t="s">
        <v>86</v>
      </c>
      <c r="M237" s="52" t="s">
        <v>85</v>
      </c>
      <c r="N237" s="52" t="s">
        <v>85</v>
      </c>
      <c r="O237" s="44" t="s">
        <v>118</v>
      </c>
      <c r="P237" s="113" t="s">
        <v>1497</v>
      </c>
      <c r="Q237" s="113" t="s">
        <v>85</v>
      </c>
    </row>
    <row r="238" spans="1:17" ht="71.25" customHeight="1">
      <c r="A238" s="49" t="s">
        <v>26</v>
      </c>
      <c r="B238" s="49">
        <v>45849</v>
      </c>
      <c r="C238" s="49" t="s">
        <v>190</v>
      </c>
      <c r="D238" s="50" t="s">
        <v>98</v>
      </c>
      <c r="E238" s="56" t="s">
        <v>599</v>
      </c>
      <c r="F238" s="52" t="s">
        <v>91</v>
      </c>
      <c r="G238" s="52" t="s">
        <v>600</v>
      </c>
      <c r="H238" s="52" t="s">
        <v>83</v>
      </c>
      <c r="I238" s="52" t="s">
        <v>85</v>
      </c>
      <c r="J238" s="52" t="s">
        <v>84</v>
      </c>
      <c r="K238" s="52" t="s">
        <v>85</v>
      </c>
      <c r="L238" s="52" t="s">
        <v>86</v>
      </c>
      <c r="M238" s="52" t="s">
        <v>84</v>
      </c>
      <c r="N238" s="52" t="s">
        <v>85</v>
      </c>
      <c r="O238" s="52" t="s">
        <v>118</v>
      </c>
      <c r="P238" s="44" t="s">
        <v>86</v>
      </c>
      <c r="Q238" s="113" t="s">
        <v>85</v>
      </c>
    </row>
    <row r="239" spans="1:17" ht="78.75" customHeight="1">
      <c r="A239" s="49" t="s">
        <v>26</v>
      </c>
      <c r="B239" s="49">
        <v>45850</v>
      </c>
      <c r="C239" s="49" t="s">
        <v>190</v>
      </c>
      <c r="D239" s="50" t="s">
        <v>98</v>
      </c>
      <c r="E239" s="56" t="s">
        <v>601</v>
      </c>
      <c r="F239" s="52" t="s">
        <v>508</v>
      </c>
      <c r="G239" s="52" t="s">
        <v>602</v>
      </c>
      <c r="H239" s="52" t="s">
        <v>83</v>
      </c>
      <c r="I239" s="52" t="s">
        <v>85</v>
      </c>
      <c r="J239" s="52" t="s">
        <v>84</v>
      </c>
      <c r="K239" s="52" t="s">
        <v>85</v>
      </c>
      <c r="L239" s="52" t="s">
        <v>86</v>
      </c>
      <c r="M239" s="52" t="s">
        <v>85</v>
      </c>
      <c r="N239" s="52" t="s">
        <v>85</v>
      </c>
      <c r="O239" s="52" t="s">
        <v>118</v>
      </c>
      <c r="P239" s="113" t="s">
        <v>1497</v>
      </c>
      <c r="Q239" s="113" t="s">
        <v>85</v>
      </c>
    </row>
    <row r="240" spans="1:17" ht="53.25" customHeight="1">
      <c r="A240" s="49" t="s">
        <v>26</v>
      </c>
      <c r="B240" s="49">
        <v>45850</v>
      </c>
      <c r="C240" s="49" t="s">
        <v>220</v>
      </c>
      <c r="D240" s="50" t="s">
        <v>79</v>
      </c>
      <c r="E240" s="56" t="s">
        <v>603</v>
      </c>
      <c r="F240" s="52" t="s">
        <v>604</v>
      </c>
      <c r="G240" s="52" t="s">
        <v>605</v>
      </c>
      <c r="H240" s="52" t="s">
        <v>591</v>
      </c>
      <c r="I240" s="52" t="s">
        <v>85</v>
      </c>
      <c r="J240" s="52" t="s">
        <v>84</v>
      </c>
      <c r="K240" s="52" t="s">
        <v>85</v>
      </c>
      <c r="L240" s="52" t="s">
        <v>86</v>
      </c>
      <c r="M240" s="52" t="s">
        <v>84</v>
      </c>
      <c r="N240" s="52" t="s">
        <v>85</v>
      </c>
      <c r="O240" s="44" t="s">
        <v>118</v>
      </c>
      <c r="P240" s="44" t="s">
        <v>86</v>
      </c>
      <c r="Q240" s="113" t="s">
        <v>85</v>
      </c>
    </row>
    <row r="241" spans="1:17" ht="117" customHeight="1">
      <c r="A241" s="49" t="s">
        <v>26</v>
      </c>
      <c r="B241" s="49">
        <v>45852</v>
      </c>
      <c r="C241" s="49" t="s">
        <v>78</v>
      </c>
      <c r="D241" s="50" t="s">
        <v>98</v>
      </c>
      <c r="E241" s="56" t="s">
        <v>606</v>
      </c>
      <c r="F241" s="52" t="s">
        <v>508</v>
      </c>
      <c r="G241" s="52" t="s">
        <v>607</v>
      </c>
      <c r="H241" s="52" t="s">
        <v>93</v>
      </c>
      <c r="I241" s="52" t="s">
        <v>85</v>
      </c>
      <c r="J241" s="52" t="s">
        <v>84</v>
      </c>
      <c r="K241" s="52" t="s">
        <v>85</v>
      </c>
      <c r="L241" s="52" t="s">
        <v>86</v>
      </c>
      <c r="M241" s="52" t="s">
        <v>85</v>
      </c>
      <c r="N241" s="52" t="s">
        <v>85</v>
      </c>
      <c r="O241" s="44" t="s">
        <v>87</v>
      </c>
      <c r="P241" s="113" t="s">
        <v>1507</v>
      </c>
      <c r="Q241" s="113" t="s">
        <v>85</v>
      </c>
    </row>
    <row r="242" spans="1:17" ht="84" customHeight="1">
      <c r="A242" s="49" t="s">
        <v>26</v>
      </c>
      <c r="B242" s="61">
        <v>45855</v>
      </c>
      <c r="C242" s="49" t="s">
        <v>123</v>
      </c>
      <c r="D242" s="50" t="s">
        <v>79</v>
      </c>
      <c r="E242" s="56" t="s">
        <v>608</v>
      </c>
      <c r="F242" s="52" t="s">
        <v>147</v>
      </c>
      <c r="G242" s="52" t="s">
        <v>609</v>
      </c>
      <c r="H242" s="52" t="s">
        <v>135</v>
      </c>
      <c r="I242" s="52" t="s">
        <v>84</v>
      </c>
      <c r="J242" s="52" t="s">
        <v>84</v>
      </c>
      <c r="K242" s="52" t="s">
        <v>85</v>
      </c>
      <c r="L242" s="52" t="s">
        <v>86</v>
      </c>
      <c r="M242" s="52" t="s">
        <v>85</v>
      </c>
      <c r="N242" s="52" t="s">
        <v>85</v>
      </c>
      <c r="O242" s="52" t="s">
        <v>118</v>
      </c>
      <c r="P242" s="44" t="s">
        <v>86</v>
      </c>
      <c r="Q242" s="113" t="s">
        <v>85</v>
      </c>
    </row>
    <row r="243" spans="1:17" ht="77.25" customHeight="1">
      <c r="A243" s="49" t="s">
        <v>26</v>
      </c>
      <c r="B243" s="49">
        <v>45856</v>
      </c>
      <c r="C243" s="49" t="s">
        <v>123</v>
      </c>
      <c r="D243" s="50" t="s">
        <v>98</v>
      </c>
      <c r="E243" s="56" t="s">
        <v>610</v>
      </c>
      <c r="F243" s="62" t="s">
        <v>100</v>
      </c>
      <c r="G243" s="52" t="s">
        <v>611</v>
      </c>
      <c r="H243" s="52" t="s">
        <v>135</v>
      </c>
      <c r="I243" s="52" t="s">
        <v>85</v>
      </c>
      <c r="J243" s="52" t="s">
        <v>84</v>
      </c>
      <c r="K243" s="52" t="s">
        <v>85</v>
      </c>
      <c r="L243" s="52" t="s">
        <v>86</v>
      </c>
      <c r="M243" s="52" t="s">
        <v>85</v>
      </c>
      <c r="N243" s="52" t="s">
        <v>85</v>
      </c>
      <c r="O243" s="52" t="s">
        <v>118</v>
      </c>
      <c r="P243" s="113" t="s">
        <v>1503</v>
      </c>
      <c r="Q243" s="113" t="s">
        <v>85</v>
      </c>
    </row>
    <row r="244" spans="1:17" ht="69" customHeight="1">
      <c r="A244" s="49" t="s">
        <v>26</v>
      </c>
      <c r="B244" s="49">
        <v>45856</v>
      </c>
      <c r="C244" s="49" t="s">
        <v>106</v>
      </c>
      <c r="D244" s="50" t="s">
        <v>98</v>
      </c>
      <c r="E244" s="56" t="s">
        <v>612</v>
      </c>
      <c r="F244" s="52" t="s">
        <v>100</v>
      </c>
      <c r="G244" s="52" t="s">
        <v>613</v>
      </c>
      <c r="H244" s="52" t="s">
        <v>135</v>
      </c>
      <c r="I244" s="52" t="s">
        <v>85</v>
      </c>
      <c r="J244" s="52" t="s">
        <v>84</v>
      </c>
      <c r="K244" s="52" t="s">
        <v>85</v>
      </c>
      <c r="L244" s="52" t="s">
        <v>86</v>
      </c>
      <c r="M244" s="52" t="s">
        <v>85</v>
      </c>
      <c r="N244" s="52" t="s">
        <v>85</v>
      </c>
      <c r="O244" s="44" t="s">
        <v>87</v>
      </c>
      <c r="P244" s="44" t="s">
        <v>86</v>
      </c>
      <c r="Q244" s="113" t="s">
        <v>85</v>
      </c>
    </row>
    <row r="245" spans="1:17" ht="114" customHeight="1">
      <c r="A245" s="49" t="s">
        <v>26</v>
      </c>
      <c r="B245" s="49">
        <v>45856</v>
      </c>
      <c r="C245" s="49" t="s">
        <v>78</v>
      </c>
      <c r="D245" s="50" t="s">
        <v>98</v>
      </c>
      <c r="E245" s="56" t="s">
        <v>614</v>
      </c>
      <c r="F245" s="52" t="s">
        <v>161</v>
      </c>
      <c r="G245" s="52" t="s">
        <v>140</v>
      </c>
      <c r="H245" s="52" t="s">
        <v>83</v>
      </c>
      <c r="I245" s="52" t="s">
        <v>85</v>
      </c>
      <c r="J245" s="52" t="s">
        <v>84</v>
      </c>
      <c r="K245" s="52" t="s">
        <v>85</v>
      </c>
      <c r="L245" s="52" t="s">
        <v>86</v>
      </c>
      <c r="M245" s="52" t="s">
        <v>85</v>
      </c>
      <c r="N245" s="52" t="s">
        <v>85</v>
      </c>
      <c r="O245" s="44" t="s">
        <v>87</v>
      </c>
      <c r="P245" s="44" t="s">
        <v>86</v>
      </c>
      <c r="Q245" s="113" t="s">
        <v>85</v>
      </c>
    </row>
    <row r="246" spans="1:17" ht="78" customHeight="1">
      <c r="A246" s="49" t="s">
        <v>26</v>
      </c>
      <c r="B246" s="49">
        <v>45857</v>
      </c>
      <c r="C246" s="49" t="s">
        <v>78</v>
      </c>
      <c r="D246" s="50" t="s">
        <v>98</v>
      </c>
      <c r="E246" s="56" t="s">
        <v>615</v>
      </c>
      <c r="F246" s="52" t="s">
        <v>100</v>
      </c>
      <c r="G246" s="52" t="s">
        <v>616</v>
      </c>
      <c r="H246" s="52" t="s">
        <v>83</v>
      </c>
      <c r="I246" s="52" t="s">
        <v>85</v>
      </c>
      <c r="J246" s="52" t="s">
        <v>84</v>
      </c>
      <c r="K246" s="52" t="s">
        <v>85</v>
      </c>
      <c r="L246" s="52" t="s">
        <v>86</v>
      </c>
      <c r="M246" s="52" t="s">
        <v>85</v>
      </c>
      <c r="N246" s="52" t="s">
        <v>85</v>
      </c>
      <c r="O246" s="44" t="s">
        <v>87</v>
      </c>
      <c r="P246" s="44" t="s">
        <v>86</v>
      </c>
      <c r="Q246" s="113" t="s">
        <v>85</v>
      </c>
    </row>
    <row r="247" spans="1:17" ht="64.5" customHeight="1">
      <c r="A247" s="49" t="s">
        <v>26</v>
      </c>
      <c r="B247" s="61">
        <v>45857</v>
      </c>
      <c r="C247" s="49" t="s">
        <v>106</v>
      </c>
      <c r="D247" s="50" t="s">
        <v>98</v>
      </c>
      <c r="E247" s="56" t="s">
        <v>617</v>
      </c>
      <c r="F247" s="52" t="s">
        <v>618</v>
      </c>
      <c r="G247" s="52" t="s">
        <v>619</v>
      </c>
      <c r="H247" s="52" t="s">
        <v>135</v>
      </c>
      <c r="I247" s="52" t="s">
        <v>84</v>
      </c>
      <c r="J247" s="52" t="s">
        <v>84</v>
      </c>
      <c r="K247" s="52" t="s">
        <v>85</v>
      </c>
      <c r="L247" s="52" t="s">
        <v>86</v>
      </c>
      <c r="M247" s="52" t="s">
        <v>85</v>
      </c>
      <c r="N247" s="52" t="s">
        <v>85</v>
      </c>
      <c r="O247" s="44" t="s">
        <v>87</v>
      </c>
      <c r="P247" s="44" t="s">
        <v>86</v>
      </c>
      <c r="Q247" s="113" t="s">
        <v>85</v>
      </c>
    </row>
    <row r="248" spans="1:17" ht="105" customHeight="1">
      <c r="A248" s="49" t="s">
        <v>26</v>
      </c>
      <c r="B248" s="49">
        <v>45858</v>
      </c>
      <c r="C248" s="49" t="s">
        <v>88</v>
      </c>
      <c r="D248" s="50" t="s">
        <v>79</v>
      </c>
      <c r="E248" s="56" t="s">
        <v>620</v>
      </c>
      <c r="F248" s="52" t="s">
        <v>147</v>
      </c>
      <c r="G248" s="52" t="s">
        <v>621</v>
      </c>
      <c r="H248" s="52" t="s">
        <v>93</v>
      </c>
      <c r="I248" s="52" t="s">
        <v>84</v>
      </c>
      <c r="J248" s="52" t="s">
        <v>85</v>
      </c>
      <c r="K248" s="52" t="s">
        <v>84</v>
      </c>
      <c r="L248" s="52" t="s">
        <v>622</v>
      </c>
      <c r="M248" s="52" t="s">
        <v>85</v>
      </c>
      <c r="N248" s="52" t="s">
        <v>85</v>
      </c>
      <c r="O248" s="44" t="s">
        <v>87</v>
      </c>
      <c r="P248" s="44" t="s">
        <v>86</v>
      </c>
      <c r="Q248" s="113" t="s">
        <v>85</v>
      </c>
    </row>
    <row r="249" spans="1:17" ht="79.5" customHeight="1">
      <c r="A249" s="49" t="s">
        <v>26</v>
      </c>
      <c r="B249" s="49">
        <v>45862</v>
      </c>
      <c r="C249" s="49" t="s">
        <v>88</v>
      </c>
      <c r="D249" s="50" t="s">
        <v>79</v>
      </c>
      <c r="E249" s="56" t="s">
        <v>623</v>
      </c>
      <c r="F249" s="52" t="s">
        <v>91</v>
      </c>
      <c r="G249" s="52" t="s">
        <v>624</v>
      </c>
      <c r="H249" s="52" t="s">
        <v>591</v>
      </c>
      <c r="I249" s="52" t="s">
        <v>85</v>
      </c>
      <c r="J249" s="52" t="s">
        <v>85</v>
      </c>
      <c r="K249" s="52" t="s">
        <v>84</v>
      </c>
      <c r="L249" s="52" t="s">
        <v>625</v>
      </c>
      <c r="M249" s="52" t="s">
        <v>84</v>
      </c>
      <c r="N249" s="52" t="s">
        <v>85</v>
      </c>
      <c r="O249" s="44" t="s">
        <v>87</v>
      </c>
      <c r="P249" s="44" t="s">
        <v>86</v>
      </c>
      <c r="Q249" s="113" t="s">
        <v>85</v>
      </c>
    </row>
    <row r="250" spans="1:17" ht="66.75" customHeight="1">
      <c r="A250" s="49" t="s">
        <v>26</v>
      </c>
      <c r="B250" s="49">
        <v>45863</v>
      </c>
      <c r="C250" s="49" t="s">
        <v>106</v>
      </c>
      <c r="D250" s="50" t="s">
        <v>79</v>
      </c>
      <c r="E250" s="56" t="s">
        <v>626</v>
      </c>
      <c r="F250" s="52" t="s">
        <v>91</v>
      </c>
      <c r="G250" s="52" t="s">
        <v>627</v>
      </c>
      <c r="H250" s="52" t="s">
        <v>83</v>
      </c>
      <c r="I250" s="52" t="s">
        <v>85</v>
      </c>
      <c r="J250" s="52" t="s">
        <v>84</v>
      </c>
      <c r="K250" s="52" t="s">
        <v>85</v>
      </c>
      <c r="L250" s="52" t="s">
        <v>86</v>
      </c>
      <c r="M250" s="52" t="s">
        <v>85</v>
      </c>
      <c r="N250" s="52" t="s">
        <v>85</v>
      </c>
      <c r="O250" s="44" t="s">
        <v>87</v>
      </c>
      <c r="P250" s="44" t="s">
        <v>86</v>
      </c>
      <c r="Q250" s="113" t="s">
        <v>85</v>
      </c>
    </row>
    <row r="251" spans="1:17" ht="67.5" customHeight="1">
      <c r="A251" s="49" t="s">
        <v>26</v>
      </c>
      <c r="B251" s="49">
        <v>45863</v>
      </c>
      <c r="C251" s="49" t="s">
        <v>88</v>
      </c>
      <c r="D251" s="50" t="s">
        <v>79</v>
      </c>
      <c r="E251" s="56" t="s">
        <v>628</v>
      </c>
      <c r="F251" s="52" t="s">
        <v>91</v>
      </c>
      <c r="G251" s="52" t="s">
        <v>629</v>
      </c>
      <c r="H251" s="52" t="s">
        <v>591</v>
      </c>
      <c r="I251" s="52" t="s">
        <v>85</v>
      </c>
      <c r="J251" s="52" t="s">
        <v>85</v>
      </c>
      <c r="K251" s="52" t="s">
        <v>84</v>
      </c>
      <c r="L251" s="52" t="s">
        <v>630</v>
      </c>
      <c r="M251" s="52" t="s">
        <v>85</v>
      </c>
      <c r="N251" s="52" t="s">
        <v>85</v>
      </c>
      <c r="O251" s="44" t="s">
        <v>87</v>
      </c>
      <c r="P251" s="44" t="s">
        <v>86</v>
      </c>
      <c r="Q251" s="113" t="s">
        <v>85</v>
      </c>
    </row>
    <row r="252" spans="1:17" ht="69.75" customHeight="1">
      <c r="A252" s="49" t="s">
        <v>26</v>
      </c>
      <c r="B252" s="49">
        <v>45865</v>
      </c>
      <c r="C252" s="49" t="s">
        <v>106</v>
      </c>
      <c r="D252" s="50" t="s">
        <v>89</v>
      </c>
      <c r="E252" s="56" t="s">
        <v>631</v>
      </c>
      <c r="F252" s="52" t="s">
        <v>91</v>
      </c>
      <c r="G252" s="52" t="s">
        <v>632</v>
      </c>
      <c r="H252" s="52" t="s">
        <v>83</v>
      </c>
      <c r="I252" s="52" t="s">
        <v>85</v>
      </c>
      <c r="J252" s="52" t="s">
        <v>85</v>
      </c>
      <c r="K252" s="52" t="s">
        <v>84</v>
      </c>
      <c r="L252" s="52" t="s">
        <v>155</v>
      </c>
      <c r="M252" s="52" t="s">
        <v>85</v>
      </c>
      <c r="N252" s="52" t="s">
        <v>85</v>
      </c>
      <c r="O252" s="52" t="s">
        <v>118</v>
      </c>
      <c r="P252" s="44" t="s">
        <v>86</v>
      </c>
      <c r="Q252" s="113" t="s">
        <v>84</v>
      </c>
    </row>
    <row r="253" spans="1:17" ht="102" customHeight="1">
      <c r="A253" s="49" t="s">
        <v>26</v>
      </c>
      <c r="B253" s="49">
        <v>45865</v>
      </c>
      <c r="C253" s="49" t="s">
        <v>88</v>
      </c>
      <c r="D253" s="50" t="s">
        <v>79</v>
      </c>
      <c r="E253" s="56" t="s">
        <v>633</v>
      </c>
      <c r="F253" s="52" t="s">
        <v>91</v>
      </c>
      <c r="G253" s="52" t="s">
        <v>93</v>
      </c>
      <c r="H253" s="52" t="s">
        <v>93</v>
      </c>
      <c r="I253" s="52" t="s">
        <v>85</v>
      </c>
      <c r="J253" s="52" t="s">
        <v>85</v>
      </c>
      <c r="K253" s="52" t="s">
        <v>84</v>
      </c>
      <c r="L253" s="52" t="s">
        <v>263</v>
      </c>
      <c r="M253" s="52" t="s">
        <v>85</v>
      </c>
      <c r="N253" s="52" t="s">
        <v>85</v>
      </c>
      <c r="O253" s="44" t="s">
        <v>87</v>
      </c>
      <c r="P253" s="44" t="s">
        <v>86</v>
      </c>
      <c r="Q253" s="113" t="s">
        <v>85</v>
      </c>
    </row>
    <row r="254" spans="1:17" ht="115.5" customHeight="1">
      <c r="A254" s="49" t="s">
        <v>26</v>
      </c>
      <c r="B254" s="49">
        <v>45866</v>
      </c>
      <c r="C254" s="49" t="s">
        <v>88</v>
      </c>
      <c r="D254" s="50" t="s">
        <v>98</v>
      </c>
      <c r="E254" s="56" t="s">
        <v>634</v>
      </c>
      <c r="F254" s="52" t="s">
        <v>100</v>
      </c>
      <c r="G254" s="52" t="s">
        <v>635</v>
      </c>
      <c r="H254" s="52" t="s">
        <v>126</v>
      </c>
      <c r="I254" s="52" t="s">
        <v>85</v>
      </c>
      <c r="J254" s="52" t="s">
        <v>84</v>
      </c>
      <c r="K254" s="52" t="s">
        <v>85</v>
      </c>
      <c r="L254" s="52" t="s">
        <v>86</v>
      </c>
      <c r="M254" s="52" t="s">
        <v>85</v>
      </c>
      <c r="N254" s="52" t="s">
        <v>85</v>
      </c>
      <c r="O254" s="52" t="s">
        <v>118</v>
      </c>
      <c r="P254" s="44" t="s">
        <v>86</v>
      </c>
      <c r="Q254" s="113" t="s">
        <v>85</v>
      </c>
    </row>
    <row r="255" spans="1:17" ht="91.5" customHeight="1">
      <c r="A255" s="49" t="s">
        <v>26</v>
      </c>
      <c r="B255" s="49">
        <v>45867</v>
      </c>
      <c r="C255" s="49" t="s">
        <v>190</v>
      </c>
      <c r="D255" s="50" t="s">
        <v>98</v>
      </c>
      <c r="E255" s="56" t="s">
        <v>636</v>
      </c>
      <c r="F255" s="62" t="s">
        <v>81</v>
      </c>
      <c r="G255" s="52" t="s">
        <v>637</v>
      </c>
      <c r="H255" s="52" t="s">
        <v>175</v>
      </c>
      <c r="I255" s="52" t="s">
        <v>85</v>
      </c>
      <c r="J255" s="52" t="s">
        <v>84</v>
      </c>
      <c r="K255" s="52" t="s">
        <v>85</v>
      </c>
      <c r="L255" s="52" t="s">
        <v>86</v>
      </c>
      <c r="M255" s="52" t="s">
        <v>85</v>
      </c>
      <c r="N255" s="52" t="s">
        <v>85</v>
      </c>
      <c r="O255" s="52" t="s">
        <v>118</v>
      </c>
      <c r="P255" s="113" t="s">
        <v>1507</v>
      </c>
      <c r="Q255" s="113" t="s">
        <v>85</v>
      </c>
    </row>
    <row r="256" spans="1:17" ht="114" customHeight="1">
      <c r="A256" s="49" t="s">
        <v>26</v>
      </c>
      <c r="B256" s="49">
        <v>45869</v>
      </c>
      <c r="C256" s="49" t="s">
        <v>78</v>
      </c>
      <c r="D256" s="50" t="s">
        <v>98</v>
      </c>
      <c r="E256" s="56" t="s">
        <v>638</v>
      </c>
      <c r="F256" s="52" t="s">
        <v>543</v>
      </c>
      <c r="G256" s="52" t="s">
        <v>140</v>
      </c>
      <c r="H256" s="52" t="s">
        <v>83</v>
      </c>
      <c r="I256" s="52" t="s">
        <v>85</v>
      </c>
      <c r="J256" s="52" t="s">
        <v>84</v>
      </c>
      <c r="K256" s="52" t="s">
        <v>85</v>
      </c>
      <c r="L256" s="52" t="s">
        <v>86</v>
      </c>
      <c r="M256" s="52" t="s">
        <v>85</v>
      </c>
      <c r="N256" s="52" t="s">
        <v>84</v>
      </c>
      <c r="O256" s="44" t="s">
        <v>87</v>
      </c>
      <c r="P256" s="113" t="s">
        <v>1507</v>
      </c>
      <c r="Q256" s="113" t="s">
        <v>85</v>
      </c>
    </row>
    <row r="257" spans="1:17" ht="78.75" customHeight="1">
      <c r="A257" s="49" t="s">
        <v>27</v>
      </c>
      <c r="B257" s="49">
        <v>45871</v>
      </c>
      <c r="C257" s="49" t="s">
        <v>190</v>
      </c>
      <c r="D257" s="50" t="s">
        <v>98</v>
      </c>
      <c r="E257" s="56" t="s">
        <v>639</v>
      </c>
      <c r="F257" s="52" t="s">
        <v>100</v>
      </c>
      <c r="G257" s="52" t="s">
        <v>640</v>
      </c>
      <c r="H257" s="52" t="s">
        <v>175</v>
      </c>
      <c r="I257" s="52" t="s">
        <v>85</v>
      </c>
      <c r="J257" s="52" t="s">
        <v>84</v>
      </c>
      <c r="K257" s="52" t="s">
        <v>85</v>
      </c>
      <c r="L257" s="52" t="s">
        <v>86</v>
      </c>
      <c r="M257" s="52" t="s">
        <v>85</v>
      </c>
      <c r="N257" s="52" t="s">
        <v>85</v>
      </c>
      <c r="O257" s="52" t="s">
        <v>118</v>
      </c>
      <c r="P257" s="44" t="s">
        <v>86</v>
      </c>
      <c r="Q257" s="113" t="s">
        <v>85</v>
      </c>
    </row>
    <row r="258" spans="1:17" ht="102" customHeight="1">
      <c r="A258" s="49" t="s">
        <v>27</v>
      </c>
      <c r="B258" s="49">
        <v>45872</v>
      </c>
      <c r="C258" s="49" t="s">
        <v>106</v>
      </c>
      <c r="D258" s="50" t="s">
        <v>98</v>
      </c>
      <c r="E258" s="56" t="s">
        <v>641</v>
      </c>
      <c r="F258" s="52" t="s">
        <v>604</v>
      </c>
      <c r="G258" s="52" t="s">
        <v>642</v>
      </c>
      <c r="H258" s="52" t="s">
        <v>135</v>
      </c>
      <c r="I258" s="52" t="s">
        <v>85</v>
      </c>
      <c r="J258" s="52" t="s">
        <v>84</v>
      </c>
      <c r="K258" s="52" t="s">
        <v>85</v>
      </c>
      <c r="L258" s="52" t="s">
        <v>86</v>
      </c>
      <c r="M258" s="52" t="s">
        <v>85</v>
      </c>
      <c r="N258" s="52" t="s">
        <v>85</v>
      </c>
      <c r="O258" s="44" t="s">
        <v>87</v>
      </c>
      <c r="P258" s="44" t="s">
        <v>86</v>
      </c>
      <c r="Q258" s="113" t="s">
        <v>85</v>
      </c>
    </row>
    <row r="259" spans="1:17" ht="75" customHeight="1">
      <c r="A259" s="49" t="s">
        <v>27</v>
      </c>
      <c r="B259" s="49">
        <v>45872</v>
      </c>
      <c r="C259" s="49" t="s">
        <v>78</v>
      </c>
      <c r="D259" s="50" t="s">
        <v>98</v>
      </c>
      <c r="E259" s="56" t="s">
        <v>643</v>
      </c>
      <c r="F259" s="52" t="s">
        <v>100</v>
      </c>
      <c r="G259" s="52" t="s">
        <v>644</v>
      </c>
      <c r="H259" s="52" t="s">
        <v>83</v>
      </c>
      <c r="I259" s="52" t="s">
        <v>85</v>
      </c>
      <c r="J259" s="52" t="s">
        <v>84</v>
      </c>
      <c r="K259" s="52" t="s">
        <v>85</v>
      </c>
      <c r="L259" s="52" t="s">
        <v>86</v>
      </c>
      <c r="M259" s="52" t="s">
        <v>85</v>
      </c>
      <c r="N259" s="52" t="s">
        <v>85</v>
      </c>
      <c r="O259" s="44" t="s">
        <v>87</v>
      </c>
      <c r="P259" s="44" t="s">
        <v>86</v>
      </c>
      <c r="Q259" s="113" t="s">
        <v>85</v>
      </c>
    </row>
    <row r="260" spans="1:17" ht="66" customHeight="1">
      <c r="A260" s="49" t="s">
        <v>27</v>
      </c>
      <c r="B260" s="49">
        <v>45874</v>
      </c>
      <c r="C260" s="49" t="s">
        <v>106</v>
      </c>
      <c r="D260" s="50" t="s">
        <v>98</v>
      </c>
      <c r="E260" s="56" t="s">
        <v>645</v>
      </c>
      <c r="F260" s="52" t="s">
        <v>81</v>
      </c>
      <c r="G260" s="52" t="s">
        <v>646</v>
      </c>
      <c r="H260" s="52" t="s">
        <v>83</v>
      </c>
      <c r="I260" s="52" t="s">
        <v>85</v>
      </c>
      <c r="J260" s="52" t="s">
        <v>84</v>
      </c>
      <c r="K260" s="52" t="s">
        <v>85</v>
      </c>
      <c r="L260" s="52" t="s">
        <v>86</v>
      </c>
      <c r="M260" s="52" t="s">
        <v>85</v>
      </c>
      <c r="N260" s="52" t="s">
        <v>85</v>
      </c>
      <c r="O260" s="44" t="s">
        <v>87</v>
      </c>
      <c r="P260" s="113" t="s">
        <v>1497</v>
      </c>
      <c r="Q260" s="113" t="s">
        <v>85</v>
      </c>
    </row>
    <row r="261" spans="1:17" ht="112.5" customHeight="1">
      <c r="A261" s="49" t="s">
        <v>27</v>
      </c>
      <c r="B261" s="49">
        <v>45874</v>
      </c>
      <c r="C261" s="49" t="s">
        <v>106</v>
      </c>
      <c r="D261" s="50" t="s">
        <v>98</v>
      </c>
      <c r="E261" s="51" t="s">
        <v>647</v>
      </c>
      <c r="F261" s="52" t="s">
        <v>378</v>
      </c>
      <c r="G261" s="52" t="s">
        <v>648</v>
      </c>
      <c r="H261" s="52" t="s">
        <v>114</v>
      </c>
      <c r="I261" s="52" t="s">
        <v>85</v>
      </c>
      <c r="J261" s="52" t="s">
        <v>84</v>
      </c>
      <c r="K261" s="52" t="s">
        <v>85</v>
      </c>
      <c r="L261" s="52" t="s">
        <v>86</v>
      </c>
      <c r="M261" s="52" t="s">
        <v>85</v>
      </c>
      <c r="N261" s="52" t="s">
        <v>85</v>
      </c>
      <c r="O261" s="52" t="s">
        <v>118</v>
      </c>
      <c r="P261" s="113" t="s">
        <v>1511</v>
      </c>
      <c r="Q261" s="113" t="s">
        <v>85</v>
      </c>
    </row>
    <row r="262" spans="1:17" ht="102.75" customHeight="1">
      <c r="A262" s="49" t="s">
        <v>27</v>
      </c>
      <c r="B262" s="49">
        <v>45874</v>
      </c>
      <c r="C262" s="49" t="s">
        <v>78</v>
      </c>
      <c r="D262" s="50" t="s">
        <v>98</v>
      </c>
      <c r="E262" s="56" t="s">
        <v>649</v>
      </c>
      <c r="F262" s="52" t="s">
        <v>618</v>
      </c>
      <c r="G262" s="52" t="s">
        <v>650</v>
      </c>
      <c r="H262" s="52" t="s">
        <v>651</v>
      </c>
      <c r="I262" s="52" t="s">
        <v>84</v>
      </c>
      <c r="J262" s="52" t="s">
        <v>84</v>
      </c>
      <c r="K262" s="52" t="s">
        <v>85</v>
      </c>
      <c r="L262" s="52" t="s">
        <v>86</v>
      </c>
      <c r="M262" s="52" t="s">
        <v>85</v>
      </c>
      <c r="N262" s="52" t="s">
        <v>85</v>
      </c>
      <c r="O262" s="44" t="s">
        <v>87</v>
      </c>
      <c r="P262" s="44" t="s">
        <v>86</v>
      </c>
      <c r="Q262" s="113" t="s">
        <v>85</v>
      </c>
    </row>
    <row r="263" spans="1:17" ht="87" customHeight="1">
      <c r="A263" s="49" t="s">
        <v>27</v>
      </c>
      <c r="B263" s="49">
        <v>45875</v>
      </c>
      <c r="C263" s="49" t="s">
        <v>88</v>
      </c>
      <c r="D263" s="50" t="s">
        <v>98</v>
      </c>
      <c r="E263" s="56" t="s">
        <v>652</v>
      </c>
      <c r="F263" s="52" t="s">
        <v>91</v>
      </c>
      <c r="G263" s="52" t="s">
        <v>653</v>
      </c>
      <c r="H263" s="52" t="s">
        <v>135</v>
      </c>
      <c r="I263" s="52" t="s">
        <v>85</v>
      </c>
      <c r="J263" s="52" t="s">
        <v>84</v>
      </c>
      <c r="K263" s="52" t="s">
        <v>85</v>
      </c>
      <c r="L263" s="52" t="s">
        <v>86</v>
      </c>
      <c r="M263" s="52" t="s">
        <v>85</v>
      </c>
      <c r="N263" s="52" t="s">
        <v>85</v>
      </c>
      <c r="O263" s="52" t="s">
        <v>118</v>
      </c>
      <c r="P263" s="113" t="s">
        <v>1497</v>
      </c>
      <c r="Q263" s="113" t="s">
        <v>85</v>
      </c>
    </row>
    <row r="264" spans="1:17" ht="62.25" customHeight="1">
      <c r="A264" s="49" t="s">
        <v>27</v>
      </c>
      <c r="B264" s="49">
        <v>45875</v>
      </c>
      <c r="C264" s="49" t="s">
        <v>78</v>
      </c>
      <c r="D264" s="50" t="s">
        <v>98</v>
      </c>
      <c r="E264" s="56" t="s">
        <v>654</v>
      </c>
      <c r="F264" s="52" t="s">
        <v>100</v>
      </c>
      <c r="G264" s="52" t="s">
        <v>655</v>
      </c>
      <c r="H264" s="52" t="s">
        <v>126</v>
      </c>
      <c r="I264" s="52" t="s">
        <v>85</v>
      </c>
      <c r="J264" s="52" t="s">
        <v>84</v>
      </c>
      <c r="K264" s="52" t="s">
        <v>85</v>
      </c>
      <c r="L264" s="52" t="s">
        <v>86</v>
      </c>
      <c r="M264" s="52" t="s">
        <v>85</v>
      </c>
      <c r="N264" s="52" t="s">
        <v>85</v>
      </c>
      <c r="O264" s="44" t="s">
        <v>87</v>
      </c>
      <c r="P264" s="44" t="s">
        <v>86</v>
      </c>
      <c r="Q264" s="113" t="s">
        <v>85</v>
      </c>
    </row>
    <row r="265" spans="1:17" ht="103.5" customHeight="1">
      <c r="A265" s="49" t="s">
        <v>27</v>
      </c>
      <c r="B265" s="49">
        <v>45876</v>
      </c>
      <c r="C265" s="49" t="s">
        <v>123</v>
      </c>
      <c r="D265" s="50" t="s">
        <v>98</v>
      </c>
      <c r="E265" s="56" t="s">
        <v>656</v>
      </c>
      <c r="F265" s="52" t="s">
        <v>100</v>
      </c>
      <c r="G265" s="52" t="s">
        <v>657</v>
      </c>
      <c r="H265" s="52" t="s">
        <v>135</v>
      </c>
      <c r="I265" s="52" t="s">
        <v>85</v>
      </c>
      <c r="J265" s="52" t="s">
        <v>84</v>
      </c>
      <c r="K265" s="52" t="s">
        <v>85</v>
      </c>
      <c r="L265" s="52" t="s">
        <v>86</v>
      </c>
      <c r="M265" s="52" t="s">
        <v>85</v>
      </c>
      <c r="N265" s="52" t="s">
        <v>85</v>
      </c>
      <c r="O265" s="52" t="s">
        <v>118</v>
      </c>
      <c r="P265" s="113" t="s">
        <v>1497</v>
      </c>
      <c r="Q265" s="113" t="s">
        <v>85</v>
      </c>
    </row>
    <row r="266" spans="1:17" ht="42.75" customHeight="1">
      <c r="A266" s="49" t="s">
        <v>27</v>
      </c>
      <c r="B266" s="49">
        <v>45877</v>
      </c>
      <c r="C266" s="49" t="s">
        <v>190</v>
      </c>
      <c r="D266" s="50" t="s">
        <v>98</v>
      </c>
      <c r="E266" s="56" t="s">
        <v>658</v>
      </c>
      <c r="F266" s="52" t="s">
        <v>81</v>
      </c>
      <c r="G266" s="52" t="s">
        <v>659</v>
      </c>
      <c r="H266" s="52" t="s">
        <v>517</v>
      </c>
      <c r="I266" s="52" t="s">
        <v>85</v>
      </c>
      <c r="J266" s="52" t="s">
        <v>84</v>
      </c>
      <c r="K266" s="52" t="s">
        <v>85</v>
      </c>
      <c r="L266" s="52" t="s">
        <v>86</v>
      </c>
      <c r="M266" s="52" t="s">
        <v>85</v>
      </c>
      <c r="N266" s="52" t="s">
        <v>85</v>
      </c>
      <c r="O266" s="52" t="s">
        <v>118</v>
      </c>
      <c r="P266" s="44" t="s">
        <v>86</v>
      </c>
      <c r="Q266" s="113" t="s">
        <v>85</v>
      </c>
    </row>
    <row r="267" spans="1:17" ht="63" customHeight="1">
      <c r="A267" s="49" t="s">
        <v>27</v>
      </c>
      <c r="B267" s="49">
        <v>45877</v>
      </c>
      <c r="C267" s="49" t="s">
        <v>106</v>
      </c>
      <c r="D267" s="50" t="s">
        <v>79</v>
      </c>
      <c r="E267" s="56" t="s">
        <v>660</v>
      </c>
      <c r="F267" s="52" t="s">
        <v>661</v>
      </c>
      <c r="G267" s="52" t="s">
        <v>662</v>
      </c>
      <c r="H267" s="52" t="s">
        <v>453</v>
      </c>
      <c r="I267" s="52" t="s">
        <v>84</v>
      </c>
      <c r="J267" s="52" t="s">
        <v>84</v>
      </c>
      <c r="K267" s="52" t="s">
        <v>85</v>
      </c>
      <c r="L267" s="52" t="s">
        <v>86</v>
      </c>
      <c r="M267" s="52" t="s">
        <v>85</v>
      </c>
      <c r="N267" s="52" t="s">
        <v>85</v>
      </c>
      <c r="O267" s="44" t="s">
        <v>87</v>
      </c>
      <c r="P267" s="44" t="s">
        <v>86</v>
      </c>
      <c r="Q267" s="113" t="s">
        <v>85</v>
      </c>
    </row>
    <row r="268" spans="1:17" ht="82.5" customHeight="1">
      <c r="A268" s="49" t="s">
        <v>27</v>
      </c>
      <c r="B268" s="49">
        <v>45878</v>
      </c>
      <c r="C268" s="49" t="s">
        <v>190</v>
      </c>
      <c r="D268" s="50" t="s">
        <v>98</v>
      </c>
      <c r="E268" s="56" t="s">
        <v>663</v>
      </c>
      <c r="F268" s="52" t="s">
        <v>81</v>
      </c>
      <c r="G268" s="52" t="s">
        <v>664</v>
      </c>
      <c r="H268" s="52" t="s">
        <v>135</v>
      </c>
      <c r="I268" s="52" t="s">
        <v>85</v>
      </c>
      <c r="J268" s="52" t="s">
        <v>84</v>
      </c>
      <c r="K268" s="52" t="s">
        <v>85</v>
      </c>
      <c r="L268" s="52" t="s">
        <v>86</v>
      </c>
      <c r="M268" s="52" t="s">
        <v>85</v>
      </c>
      <c r="N268" s="52" t="s">
        <v>85</v>
      </c>
      <c r="O268" s="52" t="s">
        <v>118</v>
      </c>
      <c r="P268" s="44" t="s">
        <v>86</v>
      </c>
      <c r="Q268" s="113" t="s">
        <v>85</v>
      </c>
    </row>
    <row r="269" spans="1:17" ht="99.75" customHeight="1">
      <c r="A269" s="49" t="s">
        <v>27</v>
      </c>
      <c r="B269" s="49">
        <v>45878</v>
      </c>
      <c r="C269" s="49" t="s">
        <v>78</v>
      </c>
      <c r="D269" s="50" t="s">
        <v>98</v>
      </c>
      <c r="E269" s="56" t="s">
        <v>665</v>
      </c>
      <c r="F269" s="52" t="s">
        <v>508</v>
      </c>
      <c r="G269" s="52" t="s">
        <v>666</v>
      </c>
      <c r="H269" s="52" t="s">
        <v>93</v>
      </c>
      <c r="I269" s="52" t="s">
        <v>85</v>
      </c>
      <c r="J269" s="52" t="s">
        <v>84</v>
      </c>
      <c r="K269" s="52" t="s">
        <v>85</v>
      </c>
      <c r="L269" s="52" t="s">
        <v>86</v>
      </c>
      <c r="M269" s="52" t="s">
        <v>85</v>
      </c>
      <c r="N269" s="52" t="s">
        <v>85</v>
      </c>
      <c r="O269" s="44" t="s">
        <v>87</v>
      </c>
      <c r="P269" s="44" t="s">
        <v>86</v>
      </c>
      <c r="Q269" s="113" t="s">
        <v>85</v>
      </c>
    </row>
    <row r="270" spans="1:17" ht="102" customHeight="1">
      <c r="A270" s="49" t="s">
        <v>27</v>
      </c>
      <c r="B270" s="49">
        <v>45880</v>
      </c>
      <c r="C270" s="49" t="s">
        <v>88</v>
      </c>
      <c r="D270" s="50" t="s">
        <v>89</v>
      </c>
      <c r="E270" s="56" t="s">
        <v>667</v>
      </c>
      <c r="F270" s="52" t="s">
        <v>668</v>
      </c>
      <c r="G270" s="52" t="s">
        <v>669</v>
      </c>
      <c r="H270" s="52" t="s">
        <v>670</v>
      </c>
      <c r="I270" s="52" t="s">
        <v>85</v>
      </c>
      <c r="J270" s="52" t="s">
        <v>85</v>
      </c>
      <c r="K270" s="52" t="s">
        <v>84</v>
      </c>
      <c r="L270" s="52" t="s">
        <v>671</v>
      </c>
      <c r="M270" s="52" t="s">
        <v>85</v>
      </c>
      <c r="N270" s="52" t="s">
        <v>85</v>
      </c>
      <c r="O270" s="52" t="s">
        <v>118</v>
      </c>
      <c r="P270" s="44" t="s">
        <v>86</v>
      </c>
      <c r="Q270" s="113" t="s">
        <v>85</v>
      </c>
    </row>
    <row r="271" spans="1:17" ht="62.25" customHeight="1">
      <c r="A271" s="49" t="s">
        <v>27</v>
      </c>
      <c r="B271" s="49">
        <v>45880</v>
      </c>
      <c r="C271" s="49" t="s">
        <v>106</v>
      </c>
      <c r="D271" s="50" t="s">
        <v>79</v>
      </c>
      <c r="E271" s="56" t="s">
        <v>672</v>
      </c>
      <c r="F271" s="52" t="s">
        <v>161</v>
      </c>
      <c r="G271" s="52" t="s">
        <v>673</v>
      </c>
      <c r="H271" s="52" t="s">
        <v>93</v>
      </c>
      <c r="I271" s="52" t="s">
        <v>84</v>
      </c>
      <c r="J271" s="52" t="s">
        <v>85</v>
      </c>
      <c r="K271" s="52" t="s">
        <v>84</v>
      </c>
      <c r="L271" s="52" t="s">
        <v>674</v>
      </c>
      <c r="M271" s="52" t="s">
        <v>85</v>
      </c>
      <c r="N271" s="52" t="s">
        <v>85</v>
      </c>
      <c r="O271" s="44" t="s">
        <v>87</v>
      </c>
      <c r="P271" s="44" t="s">
        <v>86</v>
      </c>
      <c r="Q271" s="113" t="s">
        <v>85</v>
      </c>
    </row>
    <row r="272" spans="1:17" ht="91.5" customHeight="1">
      <c r="A272" s="49" t="s">
        <v>27</v>
      </c>
      <c r="B272" s="49">
        <v>45881</v>
      </c>
      <c r="C272" s="49" t="s">
        <v>106</v>
      </c>
      <c r="D272" s="50" t="s">
        <v>79</v>
      </c>
      <c r="E272" s="56" t="s">
        <v>675</v>
      </c>
      <c r="F272" s="52" t="s">
        <v>91</v>
      </c>
      <c r="G272" s="52" t="s">
        <v>676</v>
      </c>
      <c r="H272" s="52" t="s">
        <v>251</v>
      </c>
      <c r="I272" s="52" t="s">
        <v>84</v>
      </c>
      <c r="J272" s="52" t="s">
        <v>85</v>
      </c>
      <c r="K272" s="52" t="s">
        <v>84</v>
      </c>
      <c r="L272" s="52" t="s">
        <v>677</v>
      </c>
      <c r="M272" s="52" t="s">
        <v>85</v>
      </c>
      <c r="N272" s="52" t="s">
        <v>85</v>
      </c>
      <c r="O272" s="44" t="s">
        <v>87</v>
      </c>
      <c r="P272" s="44" t="s">
        <v>86</v>
      </c>
      <c r="Q272" s="113" t="s">
        <v>85</v>
      </c>
    </row>
    <row r="273" spans="1:17" ht="56.25" customHeight="1">
      <c r="A273" s="49" t="s">
        <v>27</v>
      </c>
      <c r="B273" s="49">
        <v>45881</v>
      </c>
      <c r="C273" s="49" t="s">
        <v>106</v>
      </c>
      <c r="D273" s="50" t="s">
        <v>98</v>
      </c>
      <c r="E273" s="56" t="s">
        <v>678</v>
      </c>
      <c r="F273" s="52" t="s">
        <v>100</v>
      </c>
      <c r="G273" s="52" t="s">
        <v>679</v>
      </c>
      <c r="H273" s="52" t="s">
        <v>126</v>
      </c>
      <c r="I273" s="52" t="s">
        <v>85</v>
      </c>
      <c r="J273" s="52" t="s">
        <v>84</v>
      </c>
      <c r="K273" s="52" t="s">
        <v>85</v>
      </c>
      <c r="L273" s="52" t="s">
        <v>86</v>
      </c>
      <c r="M273" s="52" t="s">
        <v>85</v>
      </c>
      <c r="N273" s="52" t="s">
        <v>85</v>
      </c>
      <c r="O273" s="44" t="s">
        <v>87</v>
      </c>
      <c r="P273" s="44" t="s">
        <v>86</v>
      </c>
      <c r="Q273" s="113" t="s">
        <v>85</v>
      </c>
    </row>
    <row r="274" spans="1:17" ht="87" customHeight="1">
      <c r="A274" s="49" t="s">
        <v>27</v>
      </c>
      <c r="B274" s="49">
        <v>45883</v>
      </c>
      <c r="C274" s="49" t="s">
        <v>220</v>
      </c>
      <c r="D274" s="50" t="s">
        <v>98</v>
      </c>
      <c r="E274" s="56" t="s">
        <v>680</v>
      </c>
      <c r="F274" s="52" t="s">
        <v>100</v>
      </c>
      <c r="G274" s="52" t="s">
        <v>681</v>
      </c>
      <c r="H274" s="52" t="s">
        <v>517</v>
      </c>
      <c r="I274" s="52" t="s">
        <v>85</v>
      </c>
      <c r="J274" s="52" t="s">
        <v>84</v>
      </c>
      <c r="K274" s="52" t="s">
        <v>85</v>
      </c>
      <c r="L274" s="52" t="s">
        <v>86</v>
      </c>
      <c r="M274" s="52" t="s">
        <v>85</v>
      </c>
      <c r="N274" s="52" t="s">
        <v>85</v>
      </c>
      <c r="O274" s="52" t="s">
        <v>118</v>
      </c>
      <c r="P274" s="44" t="s">
        <v>1497</v>
      </c>
      <c r="Q274" s="113" t="s">
        <v>85</v>
      </c>
    </row>
    <row r="275" spans="1:17" ht="150" customHeight="1">
      <c r="A275" s="49" t="s">
        <v>27</v>
      </c>
      <c r="B275" s="49">
        <v>45883</v>
      </c>
      <c r="C275" s="49" t="s">
        <v>78</v>
      </c>
      <c r="D275" s="50" t="s">
        <v>79</v>
      </c>
      <c r="E275" s="56" t="s">
        <v>682</v>
      </c>
      <c r="F275" s="52" t="s">
        <v>91</v>
      </c>
      <c r="G275" s="52" t="s">
        <v>683</v>
      </c>
      <c r="H275" s="52" t="s">
        <v>684</v>
      </c>
      <c r="I275" s="52" t="s">
        <v>85</v>
      </c>
      <c r="J275" s="52" t="s">
        <v>85</v>
      </c>
      <c r="K275" s="52" t="s">
        <v>84</v>
      </c>
      <c r="L275" s="52" t="s">
        <v>424</v>
      </c>
      <c r="M275" s="52" t="s">
        <v>84</v>
      </c>
      <c r="N275" s="52" t="s">
        <v>85</v>
      </c>
      <c r="O275" s="44" t="s">
        <v>87</v>
      </c>
      <c r="P275" s="44" t="s">
        <v>86</v>
      </c>
      <c r="Q275" s="113" t="s">
        <v>85</v>
      </c>
    </row>
    <row r="276" spans="1:17" ht="62.25" customHeight="1">
      <c r="A276" s="49" t="s">
        <v>27</v>
      </c>
      <c r="B276" s="49">
        <v>45886</v>
      </c>
      <c r="C276" s="49" t="s">
        <v>88</v>
      </c>
      <c r="D276" s="50" t="s">
        <v>89</v>
      </c>
      <c r="E276" s="56" t="s">
        <v>685</v>
      </c>
      <c r="F276" s="52" t="s">
        <v>618</v>
      </c>
      <c r="G276" s="52" t="s">
        <v>686</v>
      </c>
      <c r="H276" s="52" t="s">
        <v>251</v>
      </c>
      <c r="I276" s="52" t="s">
        <v>85</v>
      </c>
      <c r="J276" s="52" t="s">
        <v>84</v>
      </c>
      <c r="K276" s="52" t="s">
        <v>85</v>
      </c>
      <c r="L276" s="52" t="s">
        <v>86</v>
      </c>
      <c r="M276" s="52" t="s">
        <v>84</v>
      </c>
      <c r="N276" s="52" t="s">
        <v>85</v>
      </c>
      <c r="O276" s="52" t="s">
        <v>118</v>
      </c>
      <c r="P276" s="44" t="s">
        <v>86</v>
      </c>
      <c r="Q276" s="113" t="s">
        <v>85</v>
      </c>
    </row>
    <row r="277" spans="1:17" ht="180" customHeight="1">
      <c r="A277" s="49" t="s">
        <v>27</v>
      </c>
      <c r="B277" s="49">
        <v>45888</v>
      </c>
      <c r="C277" s="49" t="s">
        <v>88</v>
      </c>
      <c r="D277" s="50" t="s">
        <v>98</v>
      </c>
      <c r="E277" s="56" t="s">
        <v>687</v>
      </c>
      <c r="F277" s="52" t="s">
        <v>100</v>
      </c>
      <c r="G277" s="52" t="s">
        <v>688</v>
      </c>
      <c r="H277" s="52" t="s">
        <v>689</v>
      </c>
      <c r="I277" s="52" t="s">
        <v>85</v>
      </c>
      <c r="J277" s="52" t="s">
        <v>84</v>
      </c>
      <c r="K277" s="52" t="s">
        <v>85</v>
      </c>
      <c r="L277" s="52" t="s">
        <v>86</v>
      </c>
      <c r="M277" s="52" t="s">
        <v>85</v>
      </c>
      <c r="N277" s="52" t="s">
        <v>85</v>
      </c>
      <c r="O277" s="44" t="s">
        <v>87</v>
      </c>
      <c r="P277" s="44" t="s">
        <v>1498</v>
      </c>
      <c r="Q277" s="113" t="s">
        <v>85</v>
      </c>
    </row>
    <row r="278" spans="1:17" ht="75" customHeight="1">
      <c r="A278" s="49" t="s">
        <v>27</v>
      </c>
      <c r="B278" s="49">
        <v>45893</v>
      </c>
      <c r="C278" s="49" t="s">
        <v>88</v>
      </c>
      <c r="D278" s="50" t="s">
        <v>98</v>
      </c>
      <c r="E278" s="56" t="s">
        <v>690</v>
      </c>
      <c r="F278" s="52" t="s">
        <v>100</v>
      </c>
      <c r="G278" s="52" t="s">
        <v>691</v>
      </c>
      <c r="H278" s="52" t="s">
        <v>517</v>
      </c>
      <c r="I278" s="52" t="s">
        <v>85</v>
      </c>
      <c r="J278" s="52" t="s">
        <v>84</v>
      </c>
      <c r="K278" s="52" t="s">
        <v>85</v>
      </c>
      <c r="L278" s="52" t="s">
        <v>86</v>
      </c>
      <c r="M278" s="52" t="s">
        <v>85</v>
      </c>
      <c r="N278" s="52" t="s">
        <v>84</v>
      </c>
      <c r="O278" s="44" t="s">
        <v>87</v>
      </c>
      <c r="P278" s="44" t="s">
        <v>86</v>
      </c>
      <c r="Q278" s="113" t="s">
        <v>85</v>
      </c>
    </row>
    <row r="279" spans="1:17" ht="75" customHeight="1">
      <c r="A279" s="49" t="s">
        <v>27</v>
      </c>
      <c r="B279" s="49">
        <v>45893</v>
      </c>
      <c r="C279" s="49" t="s">
        <v>78</v>
      </c>
      <c r="D279" s="50" t="s">
        <v>98</v>
      </c>
      <c r="E279" s="56" t="s">
        <v>692</v>
      </c>
      <c r="F279" s="52" t="s">
        <v>604</v>
      </c>
      <c r="G279" s="52" t="s">
        <v>693</v>
      </c>
      <c r="H279" s="52" t="s">
        <v>409</v>
      </c>
      <c r="I279" s="52" t="s">
        <v>84</v>
      </c>
      <c r="J279" s="52" t="s">
        <v>84</v>
      </c>
      <c r="K279" s="52" t="s">
        <v>85</v>
      </c>
      <c r="L279" s="52" t="s">
        <v>86</v>
      </c>
      <c r="M279" s="52" t="s">
        <v>85</v>
      </c>
      <c r="N279" s="52" t="s">
        <v>85</v>
      </c>
      <c r="O279" s="52" t="s">
        <v>118</v>
      </c>
      <c r="P279" s="44" t="s">
        <v>86</v>
      </c>
      <c r="Q279" s="113" t="s">
        <v>85</v>
      </c>
    </row>
    <row r="280" spans="1:17" ht="87" customHeight="1">
      <c r="A280" s="49" t="s">
        <v>27</v>
      </c>
      <c r="B280" s="49">
        <v>45894</v>
      </c>
      <c r="C280" s="49" t="s">
        <v>78</v>
      </c>
      <c r="D280" s="50" t="s">
        <v>79</v>
      </c>
      <c r="E280" s="56" t="s">
        <v>694</v>
      </c>
      <c r="F280" s="52" t="s">
        <v>100</v>
      </c>
      <c r="G280" s="52" t="s">
        <v>695</v>
      </c>
      <c r="H280" s="60" t="s">
        <v>93</v>
      </c>
      <c r="I280" s="52" t="s">
        <v>85</v>
      </c>
      <c r="J280" s="52" t="s">
        <v>84</v>
      </c>
      <c r="K280" s="52" t="s">
        <v>85</v>
      </c>
      <c r="L280" s="52" t="s">
        <v>86</v>
      </c>
      <c r="M280" s="52" t="s">
        <v>85</v>
      </c>
      <c r="N280" s="52" t="s">
        <v>85</v>
      </c>
      <c r="O280" s="44" t="s">
        <v>87</v>
      </c>
      <c r="P280" s="44" t="s">
        <v>86</v>
      </c>
      <c r="Q280" s="113" t="s">
        <v>85</v>
      </c>
    </row>
    <row r="281" spans="1:17" ht="137.25" customHeight="1">
      <c r="A281" s="49" t="s">
        <v>27</v>
      </c>
      <c r="B281" s="49">
        <v>45894</v>
      </c>
      <c r="C281" s="49" t="s">
        <v>78</v>
      </c>
      <c r="D281" s="50" t="s">
        <v>79</v>
      </c>
      <c r="E281" s="56" t="s">
        <v>696</v>
      </c>
      <c r="F281" s="52" t="s">
        <v>81</v>
      </c>
      <c r="G281" s="52" t="s">
        <v>697</v>
      </c>
      <c r="H281" s="52" t="s">
        <v>126</v>
      </c>
      <c r="I281" s="52" t="s">
        <v>85</v>
      </c>
      <c r="J281" s="52" t="s">
        <v>84</v>
      </c>
      <c r="K281" s="52" t="s">
        <v>85</v>
      </c>
      <c r="L281" s="52" t="s">
        <v>86</v>
      </c>
      <c r="M281" s="52" t="s">
        <v>85</v>
      </c>
      <c r="N281" s="52" t="s">
        <v>84</v>
      </c>
      <c r="O281" s="44" t="s">
        <v>87</v>
      </c>
      <c r="P281" s="44" t="s">
        <v>1497</v>
      </c>
      <c r="Q281" s="113" t="s">
        <v>85</v>
      </c>
    </row>
    <row r="282" spans="1:17" ht="78.75" customHeight="1">
      <c r="A282" s="49" t="s">
        <v>27</v>
      </c>
      <c r="B282" s="49">
        <v>45895</v>
      </c>
      <c r="C282" s="49" t="s">
        <v>190</v>
      </c>
      <c r="D282" s="50" t="s">
        <v>98</v>
      </c>
      <c r="E282" s="56" t="s">
        <v>698</v>
      </c>
      <c r="F282" s="52" t="s">
        <v>100</v>
      </c>
      <c r="G282" s="52" t="s">
        <v>664</v>
      </c>
      <c r="H282" s="60" t="s">
        <v>93</v>
      </c>
      <c r="I282" s="52" t="s">
        <v>85</v>
      </c>
      <c r="J282" s="52" t="s">
        <v>84</v>
      </c>
      <c r="K282" s="52" t="s">
        <v>85</v>
      </c>
      <c r="L282" s="52" t="s">
        <v>86</v>
      </c>
      <c r="M282" s="52" t="s">
        <v>85</v>
      </c>
      <c r="N282" s="52" t="s">
        <v>85</v>
      </c>
      <c r="O282" s="52" t="s">
        <v>118</v>
      </c>
      <c r="P282" s="44" t="s">
        <v>1498</v>
      </c>
      <c r="Q282" s="113" t="s">
        <v>85</v>
      </c>
    </row>
    <row r="283" spans="1:17" ht="87" customHeight="1">
      <c r="A283" s="49" t="s">
        <v>27</v>
      </c>
      <c r="B283" s="49">
        <v>45896</v>
      </c>
      <c r="C283" s="49" t="s">
        <v>106</v>
      </c>
      <c r="D283" s="50" t="s">
        <v>79</v>
      </c>
      <c r="E283" s="56" t="s">
        <v>699</v>
      </c>
      <c r="F283" s="52" t="s">
        <v>100</v>
      </c>
      <c r="G283" s="52" t="s">
        <v>700</v>
      </c>
      <c r="H283" s="52" t="s">
        <v>689</v>
      </c>
      <c r="I283" s="52" t="s">
        <v>84</v>
      </c>
      <c r="J283" s="52" t="s">
        <v>84</v>
      </c>
      <c r="K283" s="52" t="s">
        <v>85</v>
      </c>
      <c r="L283" s="52" t="s">
        <v>86</v>
      </c>
      <c r="M283" s="52" t="s">
        <v>85</v>
      </c>
      <c r="N283" s="52" t="s">
        <v>85</v>
      </c>
      <c r="O283" s="44" t="s">
        <v>87</v>
      </c>
      <c r="P283" s="44" t="s">
        <v>86</v>
      </c>
      <c r="Q283" s="113" t="s">
        <v>85</v>
      </c>
    </row>
    <row r="284" spans="1:17" ht="75" customHeight="1">
      <c r="A284" s="49" t="s">
        <v>27</v>
      </c>
      <c r="B284" s="49">
        <v>45896</v>
      </c>
      <c r="C284" s="49" t="s">
        <v>78</v>
      </c>
      <c r="D284" s="50" t="s">
        <v>98</v>
      </c>
      <c r="E284" s="56" t="s">
        <v>701</v>
      </c>
      <c r="F284" s="52" t="s">
        <v>702</v>
      </c>
      <c r="G284" s="52" t="s">
        <v>703</v>
      </c>
      <c r="H284" s="52" t="s">
        <v>405</v>
      </c>
      <c r="I284" s="52" t="s">
        <v>85</v>
      </c>
      <c r="J284" s="52" t="s">
        <v>84</v>
      </c>
      <c r="K284" s="52" t="s">
        <v>85</v>
      </c>
      <c r="L284" s="52" t="s">
        <v>86</v>
      </c>
      <c r="M284" s="52" t="s">
        <v>85</v>
      </c>
      <c r="N284" s="52" t="s">
        <v>85</v>
      </c>
      <c r="O284" s="52" t="s">
        <v>118</v>
      </c>
      <c r="P284" s="44" t="s">
        <v>1500</v>
      </c>
      <c r="Q284" s="113" t="s">
        <v>85</v>
      </c>
    </row>
    <row r="285" spans="1:17" ht="91.5" customHeight="1">
      <c r="A285" s="49" t="s">
        <v>27</v>
      </c>
      <c r="B285" s="49">
        <v>45898</v>
      </c>
      <c r="C285" s="49" t="s">
        <v>106</v>
      </c>
      <c r="D285" s="50" t="s">
        <v>98</v>
      </c>
      <c r="E285" s="55" t="s">
        <v>704</v>
      </c>
      <c r="F285" s="52" t="s">
        <v>350</v>
      </c>
      <c r="G285" s="52" t="s">
        <v>705</v>
      </c>
      <c r="H285" s="52" t="s">
        <v>405</v>
      </c>
      <c r="I285" s="52" t="s">
        <v>85</v>
      </c>
      <c r="J285" s="52" t="s">
        <v>84</v>
      </c>
      <c r="K285" s="52" t="s">
        <v>85</v>
      </c>
      <c r="L285" s="52" t="s">
        <v>86</v>
      </c>
      <c r="M285" s="52" t="s">
        <v>85</v>
      </c>
      <c r="N285" s="52" t="s">
        <v>85</v>
      </c>
      <c r="O285" s="44" t="s">
        <v>87</v>
      </c>
      <c r="P285" s="44" t="s">
        <v>1498</v>
      </c>
      <c r="Q285" s="113" t="s">
        <v>85</v>
      </c>
    </row>
    <row r="286" spans="1:17" ht="105.75" customHeight="1">
      <c r="A286" s="49" t="s">
        <v>27</v>
      </c>
      <c r="B286" s="49">
        <v>45899</v>
      </c>
      <c r="C286" s="49" t="s">
        <v>123</v>
      </c>
      <c r="D286" s="50" t="s">
        <v>98</v>
      </c>
      <c r="E286" s="56" t="s">
        <v>706</v>
      </c>
      <c r="F286" s="52" t="s">
        <v>707</v>
      </c>
      <c r="G286" s="52" t="s">
        <v>708</v>
      </c>
      <c r="H286" s="52" t="s">
        <v>689</v>
      </c>
      <c r="I286" s="52" t="s">
        <v>85</v>
      </c>
      <c r="J286" s="52" t="s">
        <v>84</v>
      </c>
      <c r="K286" s="52" t="s">
        <v>85</v>
      </c>
      <c r="L286" s="52" t="s">
        <v>86</v>
      </c>
      <c r="M286" s="52" t="s">
        <v>85</v>
      </c>
      <c r="N286" s="52" t="s">
        <v>85</v>
      </c>
      <c r="O286" s="52" t="s">
        <v>118</v>
      </c>
      <c r="P286" s="44" t="s">
        <v>1507</v>
      </c>
      <c r="Q286" s="113" t="s">
        <v>85</v>
      </c>
    </row>
    <row r="287" spans="1:17" ht="49.5" customHeight="1">
      <c r="A287" s="49" t="s">
        <v>28</v>
      </c>
      <c r="B287" s="49">
        <v>45901</v>
      </c>
      <c r="C287" s="49" t="s">
        <v>78</v>
      </c>
      <c r="D287" s="50" t="s">
        <v>98</v>
      </c>
      <c r="E287" s="51" t="s">
        <v>709</v>
      </c>
      <c r="F287" s="52" t="s">
        <v>100</v>
      </c>
      <c r="G287" s="52" t="s">
        <v>710</v>
      </c>
      <c r="H287" s="52" t="s">
        <v>684</v>
      </c>
      <c r="I287" s="52" t="s">
        <v>85</v>
      </c>
      <c r="J287" s="52" t="s">
        <v>84</v>
      </c>
      <c r="K287" s="52" t="s">
        <v>85</v>
      </c>
      <c r="L287" s="52" t="s">
        <v>86</v>
      </c>
      <c r="M287" s="52" t="s">
        <v>85</v>
      </c>
      <c r="N287" s="52" t="s">
        <v>85</v>
      </c>
      <c r="O287" s="44" t="s">
        <v>87</v>
      </c>
      <c r="P287" s="44" t="s">
        <v>86</v>
      </c>
      <c r="Q287" s="113" t="s">
        <v>85</v>
      </c>
    </row>
    <row r="288" spans="1:17" ht="37.5" customHeight="1">
      <c r="A288" s="49" t="s">
        <v>28</v>
      </c>
      <c r="B288" s="49">
        <v>45903</v>
      </c>
      <c r="C288" s="49" t="s">
        <v>220</v>
      </c>
      <c r="D288" s="50" t="s">
        <v>98</v>
      </c>
      <c r="E288" s="51" t="s">
        <v>711</v>
      </c>
      <c r="F288" s="52" t="s">
        <v>100</v>
      </c>
      <c r="G288" s="52" t="s">
        <v>712</v>
      </c>
      <c r="H288" s="52" t="s">
        <v>689</v>
      </c>
      <c r="I288" s="52" t="s">
        <v>85</v>
      </c>
      <c r="J288" s="52" t="s">
        <v>84</v>
      </c>
      <c r="K288" s="52" t="s">
        <v>85</v>
      </c>
      <c r="L288" s="52" t="s">
        <v>86</v>
      </c>
      <c r="M288" s="52" t="s">
        <v>85</v>
      </c>
      <c r="N288" s="52" t="s">
        <v>85</v>
      </c>
      <c r="O288" s="52" t="s">
        <v>118</v>
      </c>
      <c r="P288" s="44" t="s">
        <v>86</v>
      </c>
      <c r="Q288" s="113" t="s">
        <v>85</v>
      </c>
    </row>
    <row r="289" spans="1:17" ht="123" customHeight="1">
      <c r="A289" s="49" t="s">
        <v>28</v>
      </c>
      <c r="B289" s="49">
        <v>45905</v>
      </c>
      <c r="C289" s="49" t="s">
        <v>78</v>
      </c>
      <c r="D289" s="50" t="s">
        <v>98</v>
      </c>
      <c r="E289" s="56" t="s">
        <v>713</v>
      </c>
      <c r="F289" s="52" t="s">
        <v>100</v>
      </c>
      <c r="G289" s="52" t="s">
        <v>714</v>
      </c>
      <c r="H289" s="52" t="s">
        <v>527</v>
      </c>
      <c r="I289" s="52" t="s">
        <v>85</v>
      </c>
      <c r="J289" s="52" t="s">
        <v>84</v>
      </c>
      <c r="K289" s="52" t="s">
        <v>85</v>
      </c>
      <c r="L289" s="52" t="s">
        <v>86</v>
      </c>
      <c r="M289" s="52" t="s">
        <v>85</v>
      </c>
      <c r="N289" s="52" t="s">
        <v>85</v>
      </c>
      <c r="O289" s="52" t="s">
        <v>118</v>
      </c>
      <c r="P289" s="44" t="s">
        <v>86</v>
      </c>
      <c r="Q289" s="113" t="s">
        <v>85</v>
      </c>
    </row>
    <row r="290" spans="1:17" ht="153.75" customHeight="1">
      <c r="A290" s="49" t="s">
        <v>28</v>
      </c>
      <c r="B290" s="49">
        <v>45906</v>
      </c>
      <c r="C290" s="49" t="s">
        <v>78</v>
      </c>
      <c r="D290" s="50" t="s">
        <v>98</v>
      </c>
      <c r="E290" s="51" t="s">
        <v>715</v>
      </c>
      <c r="F290" s="52" t="s">
        <v>91</v>
      </c>
      <c r="G290" s="52" t="s">
        <v>716</v>
      </c>
      <c r="H290" s="52" t="s">
        <v>405</v>
      </c>
      <c r="I290" s="52" t="s">
        <v>85</v>
      </c>
      <c r="J290" s="52" t="s">
        <v>84</v>
      </c>
      <c r="K290" s="52" t="s">
        <v>85</v>
      </c>
      <c r="L290" s="52" t="s">
        <v>86</v>
      </c>
      <c r="M290" s="52" t="s">
        <v>85</v>
      </c>
      <c r="N290" s="52" t="s">
        <v>85</v>
      </c>
      <c r="O290" s="44" t="s">
        <v>87</v>
      </c>
      <c r="P290" s="44" t="s">
        <v>86</v>
      </c>
      <c r="Q290" s="113" t="s">
        <v>85</v>
      </c>
    </row>
    <row r="291" spans="1:17" ht="49.5" customHeight="1">
      <c r="A291" s="49" t="s">
        <v>28</v>
      </c>
      <c r="B291" s="49">
        <v>45906</v>
      </c>
      <c r="C291" s="49" t="s">
        <v>88</v>
      </c>
      <c r="D291" s="50" t="s">
        <v>98</v>
      </c>
      <c r="E291" s="56" t="s">
        <v>717</v>
      </c>
      <c r="F291" s="52" t="s">
        <v>100</v>
      </c>
      <c r="G291" s="52" t="s">
        <v>718</v>
      </c>
      <c r="H291" s="52" t="s">
        <v>405</v>
      </c>
      <c r="I291" s="52" t="s">
        <v>85</v>
      </c>
      <c r="J291" s="52" t="s">
        <v>84</v>
      </c>
      <c r="K291" s="52" t="s">
        <v>85</v>
      </c>
      <c r="L291" s="52" t="s">
        <v>86</v>
      </c>
      <c r="M291" s="52" t="s">
        <v>85</v>
      </c>
      <c r="N291" s="52" t="s">
        <v>85</v>
      </c>
      <c r="O291" s="52" t="s">
        <v>118</v>
      </c>
      <c r="P291" s="44" t="s">
        <v>1497</v>
      </c>
      <c r="Q291" s="113" t="s">
        <v>85</v>
      </c>
    </row>
    <row r="292" spans="1:17" ht="134.25" customHeight="1">
      <c r="A292" s="49" t="s">
        <v>28</v>
      </c>
      <c r="B292" s="49">
        <v>45906</v>
      </c>
      <c r="C292" s="49" t="s">
        <v>106</v>
      </c>
      <c r="D292" s="50" t="s">
        <v>98</v>
      </c>
      <c r="E292" s="56" t="s">
        <v>719</v>
      </c>
      <c r="F292" s="52" t="s">
        <v>91</v>
      </c>
      <c r="G292" s="52" t="s">
        <v>720</v>
      </c>
      <c r="H292" s="52" t="s">
        <v>527</v>
      </c>
      <c r="I292" s="52" t="s">
        <v>85</v>
      </c>
      <c r="J292" s="52" t="s">
        <v>84</v>
      </c>
      <c r="K292" s="52" t="s">
        <v>85</v>
      </c>
      <c r="L292" s="52" t="s">
        <v>86</v>
      </c>
      <c r="M292" s="52" t="s">
        <v>85</v>
      </c>
      <c r="N292" s="52" t="s">
        <v>85</v>
      </c>
      <c r="O292" s="52" t="s">
        <v>118</v>
      </c>
      <c r="P292" s="44" t="s">
        <v>86</v>
      </c>
      <c r="Q292" s="113" t="s">
        <v>85</v>
      </c>
    </row>
    <row r="293" spans="1:17" ht="83.25" customHeight="1">
      <c r="A293" s="49" t="s">
        <v>28</v>
      </c>
      <c r="B293" s="49">
        <v>45908</v>
      </c>
      <c r="C293" s="49" t="s">
        <v>123</v>
      </c>
      <c r="D293" s="50" t="s">
        <v>79</v>
      </c>
      <c r="E293" s="56" t="s">
        <v>721</v>
      </c>
      <c r="F293" s="52" t="s">
        <v>91</v>
      </c>
      <c r="G293" s="52" t="s">
        <v>722</v>
      </c>
      <c r="H293" s="52" t="s">
        <v>670</v>
      </c>
      <c r="I293" s="52" t="s">
        <v>85</v>
      </c>
      <c r="J293" s="52" t="s">
        <v>84</v>
      </c>
      <c r="K293" s="52" t="s">
        <v>85</v>
      </c>
      <c r="L293" s="52" t="s">
        <v>86</v>
      </c>
      <c r="M293" s="52" t="s">
        <v>85</v>
      </c>
      <c r="N293" s="52" t="s">
        <v>85</v>
      </c>
      <c r="O293" s="44" t="s">
        <v>87</v>
      </c>
      <c r="P293" s="44" t="s">
        <v>86</v>
      </c>
      <c r="Q293" s="113" t="s">
        <v>85</v>
      </c>
    </row>
    <row r="294" spans="1:17" ht="75" customHeight="1">
      <c r="A294" s="49" t="s">
        <v>28</v>
      </c>
      <c r="B294" s="49">
        <v>45908</v>
      </c>
      <c r="C294" s="49" t="s">
        <v>106</v>
      </c>
      <c r="D294" s="50" t="s">
        <v>79</v>
      </c>
      <c r="E294" s="56" t="s">
        <v>723</v>
      </c>
      <c r="F294" s="52" t="s">
        <v>100</v>
      </c>
      <c r="G294" s="52" t="s">
        <v>724</v>
      </c>
      <c r="H294" s="52" t="s">
        <v>93</v>
      </c>
      <c r="I294" s="52" t="s">
        <v>85</v>
      </c>
      <c r="J294" s="52" t="s">
        <v>84</v>
      </c>
      <c r="K294" s="52" t="s">
        <v>85</v>
      </c>
      <c r="L294" s="52" t="s">
        <v>86</v>
      </c>
      <c r="M294" s="52" t="s">
        <v>85</v>
      </c>
      <c r="N294" s="52" t="s">
        <v>85</v>
      </c>
      <c r="O294" s="44" t="s">
        <v>87</v>
      </c>
      <c r="P294" s="44" t="s">
        <v>86</v>
      </c>
      <c r="Q294" s="113" t="s">
        <v>85</v>
      </c>
    </row>
    <row r="295" spans="1:17" ht="90.75" customHeight="1">
      <c r="A295" s="49" t="s">
        <v>28</v>
      </c>
      <c r="B295" s="49">
        <v>45910</v>
      </c>
      <c r="C295" s="49" t="s">
        <v>78</v>
      </c>
      <c r="D295" s="50" t="s">
        <v>98</v>
      </c>
      <c r="E295" s="56" t="s">
        <v>725</v>
      </c>
      <c r="F295" s="52" t="s">
        <v>100</v>
      </c>
      <c r="G295" s="52" t="s">
        <v>726</v>
      </c>
      <c r="H295" s="52" t="s">
        <v>405</v>
      </c>
      <c r="I295" s="52" t="s">
        <v>85</v>
      </c>
      <c r="J295" s="52" t="s">
        <v>84</v>
      </c>
      <c r="K295" s="52" t="s">
        <v>85</v>
      </c>
      <c r="L295" s="52" t="s">
        <v>86</v>
      </c>
      <c r="M295" s="52" t="s">
        <v>84</v>
      </c>
      <c r="N295" s="52" t="s">
        <v>85</v>
      </c>
      <c r="O295" s="44" t="s">
        <v>87</v>
      </c>
      <c r="P295" s="44" t="s">
        <v>1498</v>
      </c>
      <c r="Q295" s="113" t="s">
        <v>85</v>
      </c>
    </row>
    <row r="296" spans="1:17" ht="199.5" customHeight="1">
      <c r="A296" s="49" t="s">
        <v>28</v>
      </c>
      <c r="B296" s="49">
        <v>45910</v>
      </c>
      <c r="C296" s="49" t="s">
        <v>123</v>
      </c>
      <c r="D296" s="50" t="s">
        <v>98</v>
      </c>
      <c r="E296" s="56" t="s">
        <v>727</v>
      </c>
      <c r="F296" s="52" t="s">
        <v>702</v>
      </c>
      <c r="G296" s="52" t="s">
        <v>728</v>
      </c>
      <c r="H296" s="52" t="s">
        <v>93</v>
      </c>
      <c r="I296" s="52" t="s">
        <v>85</v>
      </c>
      <c r="J296" s="52" t="s">
        <v>85</v>
      </c>
      <c r="K296" s="52" t="s">
        <v>84</v>
      </c>
      <c r="L296" s="52" t="s">
        <v>729</v>
      </c>
      <c r="M296" s="52" t="s">
        <v>85</v>
      </c>
      <c r="N296" s="52" t="s">
        <v>85</v>
      </c>
      <c r="O296" s="44" t="s">
        <v>87</v>
      </c>
      <c r="P296" s="44" t="s">
        <v>86</v>
      </c>
      <c r="Q296" s="113" t="s">
        <v>85</v>
      </c>
    </row>
    <row r="297" spans="1:17" ht="94.5" customHeight="1">
      <c r="A297" s="49" t="s">
        <v>28</v>
      </c>
      <c r="B297" s="49">
        <v>45911</v>
      </c>
      <c r="C297" s="49" t="s">
        <v>106</v>
      </c>
      <c r="D297" s="50" t="s">
        <v>98</v>
      </c>
      <c r="E297" s="56" t="s">
        <v>730</v>
      </c>
      <c r="F297" s="52" t="s">
        <v>100</v>
      </c>
      <c r="G297" s="52" t="s">
        <v>731</v>
      </c>
      <c r="H297" s="52" t="s">
        <v>135</v>
      </c>
      <c r="I297" s="52" t="s">
        <v>85</v>
      </c>
      <c r="J297" s="52" t="s">
        <v>84</v>
      </c>
      <c r="K297" s="52" t="s">
        <v>85</v>
      </c>
      <c r="L297" s="52" t="s">
        <v>86</v>
      </c>
      <c r="M297" s="52" t="s">
        <v>85</v>
      </c>
      <c r="N297" s="52" t="s">
        <v>85</v>
      </c>
      <c r="O297" s="44" t="s">
        <v>87</v>
      </c>
      <c r="P297" s="44" t="s">
        <v>86</v>
      </c>
      <c r="Q297" s="113" t="s">
        <v>85</v>
      </c>
    </row>
    <row r="298" spans="1:17" ht="108" customHeight="1">
      <c r="A298" s="49" t="s">
        <v>28</v>
      </c>
      <c r="B298" s="49">
        <v>45915</v>
      </c>
      <c r="C298" s="49" t="s">
        <v>78</v>
      </c>
      <c r="D298" s="50" t="s">
        <v>79</v>
      </c>
      <c r="E298" s="56" t="s">
        <v>732</v>
      </c>
      <c r="F298" s="52" t="s">
        <v>733</v>
      </c>
      <c r="G298" s="52" t="s">
        <v>734</v>
      </c>
      <c r="H298" s="52" t="s">
        <v>453</v>
      </c>
      <c r="I298" s="52" t="s">
        <v>85</v>
      </c>
      <c r="J298" s="52" t="s">
        <v>85</v>
      </c>
      <c r="K298" s="52" t="s">
        <v>84</v>
      </c>
      <c r="L298" s="52" t="s">
        <v>735</v>
      </c>
      <c r="M298" s="52" t="s">
        <v>85</v>
      </c>
      <c r="N298" s="52" t="s">
        <v>85</v>
      </c>
      <c r="O298" s="44" t="s">
        <v>87</v>
      </c>
      <c r="P298" s="44" t="s">
        <v>86</v>
      </c>
      <c r="Q298" s="113" t="s">
        <v>85</v>
      </c>
    </row>
    <row r="299" spans="1:17" ht="108" customHeight="1">
      <c r="A299" s="49" t="s">
        <v>28</v>
      </c>
      <c r="B299" s="49">
        <v>45915</v>
      </c>
      <c r="C299" s="49" t="s">
        <v>123</v>
      </c>
      <c r="D299" s="50" t="s">
        <v>79</v>
      </c>
      <c r="E299" s="56" t="s">
        <v>736</v>
      </c>
      <c r="F299" s="52" t="s">
        <v>707</v>
      </c>
      <c r="G299" s="52" t="s">
        <v>737</v>
      </c>
      <c r="H299" s="52" t="s">
        <v>670</v>
      </c>
      <c r="I299" s="52" t="s">
        <v>85</v>
      </c>
      <c r="J299" s="52" t="s">
        <v>85</v>
      </c>
      <c r="K299" s="52" t="s">
        <v>84</v>
      </c>
      <c r="L299" s="52" t="s">
        <v>738</v>
      </c>
      <c r="M299" s="52" t="s">
        <v>84</v>
      </c>
      <c r="N299" s="52" t="s">
        <v>85</v>
      </c>
      <c r="O299" s="52" t="s">
        <v>118</v>
      </c>
      <c r="P299" s="44" t="s">
        <v>86</v>
      </c>
      <c r="Q299" s="113" t="s">
        <v>85</v>
      </c>
    </row>
    <row r="300" spans="1:17" ht="83.25" customHeight="1">
      <c r="A300" s="49" t="s">
        <v>28</v>
      </c>
      <c r="B300" s="49">
        <v>45917</v>
      </c>
      <c r="C300" s="49" t="s">
        <v>88</v>
      </c>
      <c r="D300" s="50" t="s">
        <v>98</v>
      </c>
      <c r="E300" s="56" t="s">
        <v>739</v>
      </c>
      <c r="F300" s="52" t="s">
        <v>350</v>
      </c>
      <c r="G300" s="52" t="s">
        <v>740</v>
      </c>
      <c r="H300" s="52" t="s">
        <v>689</v>
      </c>
      <c r="I300" s="52" t="s">
        <v>85</v>
      </c>
      <c r="J300" s="52" t="s">
        <v>84</v>
      </c>
      <c r="K300" s="52" t="s">
        <v>85</v>
      </c>
      <c r="L300" s="52" t="s">
        <v>86</v>
      </c>
      <c r="M300" s="52" t="s">
        <v>85</v>
      </c>
      <c r="N300" s="52" t="s">
        <v>84</v>
      </c>
      <c r="O300" s="44" t="s">
        <v>87</v>
      </c>
      <c r="P300" s="44" t="s">
        <v>86</v>
      </c>
      <c r="Q300" s="113" t="s">
        <v>85</v>
      </c>
    </row>
    <row r="301" spans="1:17" ht="155.25" customHeight="1">
      <c r="A301" s="49" t="s">
        <v>28</v>
      </c>
      <c r="B301" s="49">
        <v>45918</v>
      </c>
      <c r="C301" s="49" t="s">
        <v>88</v>
      </c>
      <c r="D301" s="50" t="s">
        <v>79</v>
      </c>
      <c r="E301" s="56" t="s">
        <v>741</v>
      </c>
      <c r="F301" s="52" t="s">
        <v>350</v>
      </c>
      <c r="G301" s="52" t="s">
        <v>742</v>
      </c>
      <c r="H301" s="52" t="s">
        <v>405</v>
      </c>
      <c r="I301" s="52" t="s">
        <v>85</v>
      </c>
      <c r="J301" s="52" t="s">
        <v>84</v>
      </c>
      <c r="K301" s="52" t="s">
        <v>85</v>
      </c>
      <c r="L301" s="52" t="s">
        <v>86</v>
      </c>
      <c r="M301" s="52" t="s">
        <v>85</v>
      </c>
      <c r="N301" s="52" t="s">
        <v>85</v>
      </c>
      <c r="O301" s="44" t="s">
        <v>87</v>
      </c>
      <c r="P301" s="44" t="s">
        <v>86</v>
      </c>
      <c r="Q301" s="113" t="s">
        <v>85</v>
      </c>
    </row>
    <row r="302" spans="1:17" ht="135.75" customHeight="1">
      <c r="A302" s="49" t="s">
        <v>28</v>
      </c>
      <c r="B302" s="49">
        <v>45918</v>
      </c>
      <c r="C302" s="49" t="s">
        <v>78</v>
      </c>
      <c r="D302" s="50" t="s">
        <v>98</v>
      </c>
      <c r="E302" s="56" t="s">
        <v>743</v>
      </c>
      <c r="F302" s="52" t="s">
        <v>707</v>
      </c>
      <c r="G302" s="52" t="s">
        <v>290</v>
      </c>
      <c r="H302" s="52" t="s">
        <v>126</v>
      </c>
      <c r="I302" s="52" t="s">
        <v>85</v>
      </c>
      <c r="J302" s="52" t="s">
        <v>84</v>
      </c>
      <c r="K302" s="52" t="s">
        <v>85</v>
      </c>
      <c r="L302" s="52" t="s">
        <v>86</v>
      </c>
      <c r="M302" s="52" t="s">
        <v>85</v>
      </c>
      <c r="N302" s="52" t="s">
        <v>85</v>
      </c>
      <c r="O302" s="44" t="s">
        <v>87</v>
      </c>
      <c r="P302" s="44" t="s">
        <v>1500</v>
      </c>
      <c r="Q302" s="113" t="s">
        <v>85</v>
      </c>
    </row>
    <row r="303" spans="1:17" ht="82.5" customHeight="1">
      <c r="A303" s="49" t="s">
        <v>28</v>
      </c>
      <c r="B303" s="49">
        <v>45921</v>
      </c>
      <c r="C303" s="49" t="s">
        <v>190</v>
      </c>
      <c r="D303" s="50" t="s">
        <v>79</v>
      </c>
      <c r="E303" s="56" t="s">
        <v>744</v>
      </c>
      <c r="F303" s="52" t="s">
        <v>147</v>
      </c>
      <c r="G303" s="52" t="s">
        <v>745</v>
      </c>
      <c r="H303" s="52" t="s">
        <v>83</v>
      </c>
      <c r="I303" s="52" t="s">
        <v>85</v>
      </c>
      <c r="J303" s="52" t="s">
        <v>84</v>
      </c>
      <c r="K303" s="52" t="s">
        <v>85</v>
      </c>
      <c r="L303" s="52" t="s">
        <v>86</v>
      </c>
      <c r="M303" s="52" t="s">
        <v>85</v>
      </c>
      <c r="N303" s="52" t="s">
        <v>85</v>
      </c>
      <c r="O303" s="52" t="s">
        <v>118</v>
      </c>
      <c r="P303" s="44" t="s">
        <v>86</v>
      </c>
      <c r="Q303" s="113" t="s">
        <v>85</v>
      </c>
    </row>
    <row r="304" spans="1:17" ht="107.25" customHeight="1">
      <c r="A304" s="49" t="s">
        <v>28</v>
      </c>
      <c r="B304" s="49">
        <v>45922</v>
      </c>
      <c r="C304" s="49" t="s">
        <v>123</v>
      </c>
      <c r="D304" s="50" t="s">
        <v>98</v>
      </c>
      <c r="E304" s="56" t="s">
        <v>746</v>
      </c>
      <c r="F304" s="52" t="s">
        <v>707</v>
      </c>
      <c r="G304" s="52" t="s">
        <v>747</v>
      </c>
      <c r="H304" s="52" t="s">
        <v>689</v>
      </c>
      <c r="I304" s="52" t="s">
        <v>85</v>
      </c>
      <c r="J304" s="52" t="s">
        <v>84</v>
      </c>
      <c r="K304" s="52" t="s">
        <v>85</v>
      </c>
      <c r="L304" s="52" t="s">
        <v>86</v>
      </c>
      <c r="M304" s="52" t="s">
        <v>85</v>
      </c>
      <c r="N304" s="52" t="s">
        <v>85</v>
      </c>
      <c r="O304" s="52" t="s">
        <v>118</v>
      </c>
      <c r="P304" s="44" t="s">
        <v>1498</v>
      </c>
      <c r="Q304" s="113" t="s">
        <v>85</v>
      </c>
    </row>
    <row r="305" spans="1:17" ht="93" customHeight="1">
      <c r="A305" s="49" t="s">
        <v>28</v>
      </c>
      <c r="B305" s="49">
        <v>45922</v>
      </c>
      <c r="C305" s="49" t="s">
        <v>78</v>
      </c>
      <c r="D305" s="50" t="s">
        <v>98</v>
      </c>
      <c r="E305" s="56" t="s">
        <v>748</v>
      </c>
      <c r="F305" s="52" t="s">
        <v>350</v>
      </c>
      <c r="G305" s="52" t="s">
        <v>749</v>
      </c>
      <c r="H305" s="52" t="s">
        <v>405</v>
      </c>
      <c r="I305" s="52" t="s">
        <v>85</v>
      </c>
      <c r="J305" s="52" t="s">
        <v>84</v>
      </c>
      <c r="K305" s="52" t="s">
        <v>85</v>
      </c>
      <c r="L305" s="52" t="s">
        <v>86</v>
      </c>
      <c r="M305" s="52" t="s">
        <v>85</v>
      </c>
      <c r="N305" s="52" t="s">
        <v>85</v>
      </c>
      <c r="O305" s="44" t="s">
        <v>87</v>
      </c>
      <c r="P305" s="44" t="s">
        <v>1500</v>
      </c>
      <c r="Q305" s="113" t="s">
        <v>85</v>
      </c>
    </row>
    <row r="306" spans="1:17" ht="70.5" customHeight="1">
      <c r="A306" s="49" t="s">
        <v>28</v>
      </c>
      <c r="B306" s="49">
        <v>45923</v>
      </c>
      <c r="C306" s="49" t="s">
        <v>106</v>
      </c>
      <c r="D306" s="50" t="s">
        <v>98</v>
      </c>
      <c r="E306" s="56" t="s">
        <v>750</v>
      </c>
      <c r="F306" s="52" t="s">
        <v>100</v>
      </c>
      <c r="G306" s="52" t="s">
        <v>751</v>
      </c>
      <c r="H306" s="52" t="s">
        <v>405</v>
      </c>
      <c r="I306" s="52" t="s">
        <v>85</v>
      </c>
      <c r="J306" s="52" t="s">
        <v>84</v>
      </c>
      <c r="K306" s="52" t="s">
        <v>85</v>
      </c>
      <c r="L306" s="52" t="s">
        <v>86</v>
      </c>
      <c r="M306" s="52" t="s">
        <v>85</v>
      </c>
      <c r="N306" s="52" t="s">
        <v>85</v>
      </c>
      <c r="O306" s="44" t="s">
        <v>87</v>
      </c>
      <c r="P306" s="44" t="s">
        <v>86</v>
      </c>
      <c r="Q306" s="113" t="s">
        <v>85</v>
      </c>
    </row>
    <row r="307" spans="1:17" ht="90" customHeight="1">
      <c r="A307" s="49" t="s">
        <v>28</v>
      </c>
      <c r="B307" s="49">
        <v>45924</v>
      </c>
      <c r="C307" s="49" t="s">
        <v>78</v>
      </c>
      <c r="D307" s="50" t="s">
        <v>79</v>
      </c>
      <c r="E307" s="51" t="s">
        <v>752</v>
      </c>
      <c r="F307" s="52" t="s">
        <v>91</v>
      </c>
      <c r="G307" s="52" t="s">
        <v>753</v>
      </c>
      <c r="H307" s="52" t="s">
        <v>591</v>
      </c>
      <c r="I307" s="52" t="s">
        <v>84</v>
      </c>
      <c r="J307" s="52" t="s">
        <v>85</v>
      </c>
      <c r="K307" s="52" t="s">
        <v>84</v>
      </c>
      <c r="L307" s="52" t="s">
        <v>754</v>
      </c>
      <c r="M307" s="52" t="s">
        <v>85</v>
      </c>
      <c r="N307" s="52" t="s">
        <v>85</v>
      </c>
      <c r="O307" s="44" t="s">
        <v>87</v>
      </c>
      <c r="P307" s="44" t="s">
        <v>86</v>
      </c>
      <c r="Q307" s="113" t="s">
        <v>85</v>
      </c>
    </row>
    <row r="308" spans="1:17" ht="101.25" customHeight="1">
      <c r="A308" s="49" t="s">
        <v>28</v>
      </c>
      <c r="B308" s="49">
        <v>45925</v>
      </c>
      <c r="C308" s="49" t="s">
        <v>78</v>
      </c>
      <c r="D308" s="50" t="s">
        <v>98</v>
      </c>
      <c r="E308" s="56" t="s">
        <v>755</v>
      </c>
      <c r="F308" s="52" t="s">
        <v>618</v>
      </c>
      <c r="G308" s="52" t="s">
        <v>756</v>
      </c>
      <c r="H308" s="52" t="s">
        <v>517</v>
      </c>
      <c r="I308" s="52" t="s">
        <v>85</v>
      </c>
      <c r="J308" s="52" t="s">
        <v>84</v>
      </c>
      <c r="K308" s="52" t="s">
        <v>85</v>
      </c>
      <c r="L308" s="52" t="s">
        <v>86</v>
      </c>
      <c r="M308" s="52" t="s">
        <v>85</v>
      </c>
      <c r="N308" s="52" t="s">
        <v>85</v>
      </c>
      <c r="O308" s="44" t="s">
        <v>87</v>
      </c>
      <c r="P308" s="44" t="s">
        <v>86</v>
      </c>
      <c r="Q308" s="113" t="s">
        <v>85</v>
      </c>
    </row>
    <row r="309" spans="1:17" ht="49.5" customHeight="1">
      <c r="A309" s="49" t="s">
        <v>28</v>
      </c>
      <c r="B309" s="49">
        <v>45925</v>
      </c>
      <c r="C309" s="49" t="s">
        <v>78</v>
      </c>
      <c r="D309" s="50" t="s">
        <v>83</v>
      </c>
      <c r="E309" s="56" t="s">
        <v>757</v>
      </c>
      <c r="F309" s="52" t="s">
        <v>91</v>
      </c>
      <c r="G309" s="52" t="s">
        <v>758</v>
      </c>
      <c r="H309" s="52" t="s">
        <v>83</v>
      </c>
      <c r="I309" s="52" t="s">
        <v>84</v>
      </c>
      <c r="J309" s="52" t="s">
        <v>84</v>
      </c>
      <c r="K309" s="52" t="s">
        <v>85</v>
      </c>
      <c r="L309" s="52" t="s">
        <v>759</v>
      </c>
      <c r="M309" s="52" t="s">
        <v>85</v>
      </c>
      <c r="N309" s="52" t="s">
        <v>85</v>
      </c>
      <c r="O309" s="52" t="s">
        <v>87</v>
      </c>
      <c r="P309" s="44" t="s">
        <v>1503</v>
      </c>
      <c r="Q309" s="113" t="s">
        <v>85</v>
      </c>
    </row>
    <row r="310" spans="1:17" ht="169.5" customHeight="1">
      <c r="A310" s="49" t="s">
        <v>28</v>
      </c>
      <c r="B310" s="49">
        <v>45925</v>
      </c>
      <c r="C310" s="49" t="s">
        <v>78</v>
      </c>
      <c r="D310" s="50" t="s">
        <v>83</v>
      </c>
      <c r="E310" s="56" t="s">
        <v>760</v>
      </c>
      <c r="F310" s="52" t="s">
        <v>661</v>
      </c>
      <c r="G310" s="52" t="s">
        <v>761</v>
      </c>
      <c r="H310" s="52" t="s">
        <v>684</v>
      </c>
      <c r="I310" s="52" t="s">
        <v>84</v>
      </c>
      <c r="J310" s="52" t="s">
        <v>84</v>
      </c>
      <c r="K310" s="52" t="s">
        <v>85</v>
      </c>
      <c r="L310" s="52" t="s">
        <v>86</v>
      </c>
      <c r="M310" s="52" t="s">
        <v>85</v>
      </c>
      <c r="N310" s="52" t="s">
        <v>85</v>
      </c>
      <c r="O310" s="52" t="s">
        <v>87</v>
      </c>
      <c r="P310" s="44" t="s">
        <v>1503</v>
      </c>
      <c r="Q310" s="113" t="s">
        <v>85</v>
      </c>
    </row>
    <row r="311" spans="1:17" ht="105" customHeight="1">
      <c r="A311" s="49" t="s">
        <v>28</v>
      </c>
      <c r="B311" s="49">
        <v>45926</v>
      </c>
      <c r="C311" s="49" t="s">
        <v>123</v>
      </c>
      <c r="D311" s="50" t="s">
        <v>98</v>
      </c>
      <c r="E311" s="56" t="s">
        <v>762</v>
      </c>
      <c r="F311" s="52" t="s">
        <v>147</v>
      </c>
      <c r="G311" s="52" t="s">
        <v>763</v>
      </c>
      <c r="H311" s="52" t="s">
        <v>135</v>
      </c>
      <c r="I311" s="52" t="s">
        <v>85</v>
      </c>
      <c r="J311" s="52" t="s">
        <v>84</v>
      </c>
      <c r="K311" s="52" t="s">
        <v>85</v>
      </c>
      <c r="L311" s="52" t="s">
        <v>86</v>
      </c>
      <c r="M311" s="52" t="s">
        <v>85</v>
      </c>
      <c r="N311" s="52" t="s">
        <v>85</v>
      </c>
      <c r="O311" s="52" t="s">
        <v>118</v>
      </c>
      <c r="P311" s="44" t="s">
        <v>1507</v>
      </c>
      <c r="Q311" s="113" t="s">
        <v>85</v>
      </c>
    </row>
    <row r="312" spans="1:17" ht="60" customHeight="1">
      <c r="A312" s="49" t="s">
        <v>28</v>
      </c>
      <c r="B312" s="49">
        <v>45927</v>
      </c>
      <c r="C312" s="49" t="s">
        <v>78</v>
      </c>
      <c r="D312" s="50" t="s">
        <v>98</v>
      </c>
      <c r="E312" s="56" t="s">
        <v>764</v>
      </c>
      <c r="F312" s="52" t="s">
        <v>707</v>
      </c>
      <c r="G312" s="52" t="s">
        <v>470</v>
      </c>
      <c r="H312" s="52" t="s">
        <v>135</v>
      </c>
      <c r="I312" s="52" t="s">
        <v>85</v>
      </c>
      <c r="J312" s="52" t="s">
        <v>84</v>
      </c>
      <c r="K312" s="52" t="s">
        <v>85</v>
      </c>
      <c r="L312" s="52" t="s">
        <v>86</v>
      </c>
      <c r="M312" s="52" t="s">
        <v>85</v>
      </c>
      <c r="N312" s="52" t="s">
        <v>85</v>
      </c>
      <c r="O312" s="44" t="s">
        <v>87</v>
      </c>
      <c r="P312" s="44" t="s">
        <v>1500</v>
      </c>
      <c r="Q312" s="113" t="s">
        <v>85</v>
      </c>
    </row>
    <row r="313" spans="1:17" ht="112.5" customHeight="1">
      <c r="A313" s="49" t="s">
        <v>28</v>
      </c>
      <c r="B313" s="49">
        <v>45927</v>
      </c>
      <c r="C313" s="49" t="s">
        <v>106</v>
      </c>
      <c r="D313" s="50" t="s">
        <v>98</v>
      </c>
      <c r="E313" s="56" t="s">
        <v>765</v>
      </c>
      <c r="F313" s="52" t="s">
        <v>350</v>
      </c>
      <c r="G313" s="52" t="s">
        <v>766</v>
      </c>
      <c r="H313" s="52" t="s">
        <v>126</v>
      </c>
      <c r="I313" s="52" t="s">
        <v>85</v>
      </c>
      <c r="J313" s="52" t="s">
        <v>84</v>
      </c>
      <c r="K313" s="52" t="s">
        <v>85</v>
      </c>
      <c r="L313" s="52" t="s">
        <v>86</v>
      </c>
      <c r="M313" s="52" t="s">
        <v>85</v>
      </c>
      <c r="N313" s="52" t="s">
        <v>85</v>
      </c>
      <c r="O313" s="44" t="s">
        <v>87</v>
      </c>
      <c r="P313" s="44" t="s">
        <v>86</v>
      </c>
      <c r="Q313" s="113" t="s">
        <v>85</v>
      </c>
    </row>
    <row r="314" spans="1:17" ht="86.25" customHeight="1">
      <c r="A314" s="49" t="s">
        <v>28</v>
      </c>
      <c r="B314" s="49">
        <v>45928</v>
      </c>
      <c r="C314" s="49" t="s">
        <v>78</v>
      </c>
      <c r="D314" s="50" t="s">
        <v>79</v>
      </c>
      <c r="E314" s="56" t="s">
        <v>767</v>
      </c>
      <c r="F314" s="52" t="s">
        <v>91</v>
      </c>
      <c r="G314" s="52" t="s">
        <v>768</v>
      </c>
      <c r="H314" s="52" t="s">
        <v>93</v>
      </c>
      <c r="I314" s="52" t="s">
        <v>85</v>
      </c>
      <c r="J314" s="52" t="s">
        <v>85</v>
      </c>
      <c r="K314" s="52" t="s">
        <v>84</v>
      </c>
      <c r="L314" s="52" t="s">
        <v>769</v>
      </c>
      <c r="M314" s="52" t="s">
        <v>85</v>
      </c>
      <c r="N314" s="52" t="s">
        <v>85</v>
      </c>
      <c r="O314" s="44" t="s">
        <v>87</v>
      </c>
      <c r="P314" s="44" t="s">
        <v>86</v>
      </c>
      <c r="Q314" s="113" t="s">
        <v>85</v>
      </c>
    </row>
    <row r="315" spans="1:17" ht="112.5" customHeight="1">
      <c r="A315" s="49" t="s">
        <v>28</v>
      </c>
      <c r="B315" s="49">
        <v>45930</v>
      </c>
      <c r="C315" s="49" t="s">
        <v>106</v>
      </c>
      <c r="D315" s="50" t="s">
        <v>98</v>
      </c>
      <c r="E315" s="56" t="s">
        <v>770</v>
      </c>
      <c r="F315" s="52" t="s">
        <v>350</v>
      </c>
      <c r="G315" s="52" t="s">
        <v>771</v>
      </c>
      <c r="H315" s="52" t="s">
        <v>93</v>
      </c>
      <c r="I315" s="52" t="s">
        <v>85</v>
      </c>
      <c r="J315" s="52" t="s">
        <v>84</v>
      </c>
      <c r="K315" s="52" t="s">
        <v>85</v>
      </c>
      <c r="L315" s="52" t="s">
        <v>86</v>
      </c>
      <c r="M315" s="52" t="s">
        <v>85</v>
      </c>
      <c r="N315" s="52" t="s">
        <v>85</v>
      </c>
      <c r="O315" s="52" t="s">
        <v>87</v>
      </c>
      <c r="P315" s="44" t="s">
        <v>1500</v>
      </c>
      <c r="Q315" s="113" t="s">
        <v>85</v>
      </c>
    </row>
    <row r="316" spans="1:17" ht="69" customHeight="1">
      <c r="A316" s="49" t="s">
        <v>28</v>
      </c>
      <c r="B316" s="49">
        <v>45930</v>
      </c>
      <c r="C316" s="49" t="s">
        <v>123</v>
      </c>
      <c r="D316" s="50" t="s">
        <v>79</v>
      </c>
      <c r="E316" s="56" t="s">
        <v>772</v>
      </c>
      <c r="F316" s="52" t="s">
        <v>100</v>
      </c>
      <c r="G316" s="52" t="s">
        <v>773</v>
      </c>
      <c r="H316" s="52" t="s">
        <v>126</v>
      </c>
      <c r="I316" s="52" t="s">
        <v>85</v>
      </c>
      <c r="J316" s="52" t="s">
        <v>84</v>
      </c>
      <c r="K316" s="52" t="s">
        <v>85</v>
      </c>
      <c r="L316" s="52" t="s">
        <v>86</v>
      </c>
      <c r="M316" s="52" t="s">
        <v>85</v>
      </c>
      <c r="N316" s="52" t="s">
        <v>85</v>
      </c>
      <c r="O316" s="52" t="s">
        <v>87</v>
      </c>
      <c r="P316" s="44" t="s">
        <v>86</v>
      </c>
      <c r="Q316" s="113" t="s">
        <v>85</v>
      </c>
    </row>
    <row r="317" spans="1:17" ht="89.25" customHeight="1">
      <c r="A317" s="49" t="s">
        <v>29</v>
      </c>
      <c r="B317" s="49">
        <v>45932</v>
      </c>
      <c r="C317" s="49" t="s">
        <v>106</v>
      </c>
      <c r="D317" s="50" t="s">
        <v>79</v>
      </c>
      <c r="E317" s="51" t="s">
        <v>774</v>
      </c>
      <c r="F317" s="52" t="s">
        <v>775</v>
      </c>
      <c r="G317" s="44" t="s">
        <v>776</v>
      </c>
      <c r="H317" s="52" t="s">
        <v>670</v>
      </c>
      <c r="I317" s="52" t="s">
        <v>85</v>
      </c>
      <c r="J317" s="52" t="s">
        <v>85</v>
      </c>
      <c r="K317" s="52" t="s">
        <v>84</v>
      </c>
      <c r="L317" s="52" t="s">
        <v>777</v>
      </c>
      <c r="M317" s="52" t="s">
        <v>85</v>
      </c>
      <c r="N317" s="52" t="s">
        <v>85</v>
      </c>
      <c r="O317" s="52" t="s">
        <v>87</v>
      </c>
      <c r="P317" s="44" t="s">
        <v>86</v>
      </c>
      <c r="Q317" s="113" t="s">
        <v>84</v>
      </c>
    </row>
    <row r="318" spans="1:17" ht="160.5" customHeight="1">
      <c r="A318" s="49" t="s">
        <v>29</v>
      </c>
      <c r="B318" s="49">
        <v>45933</v>
      </c>
      <c r="C318" s="49" t="s">
        <v>78</v>
      </c>
      <c r="D318" s="50" t="s">
        <v>98</v>
      </c>
      <c r="E318" s="51" t="s">
        <v>778</v>
      </c>
      <c r="F318" s="52" t="s">
        <v>779</v>
      </c>
      <c r="G318" s="52" t="s">
        <v>780</v>
      </c>
      <c r="H318" s="52" t="s">
        <v>670</v>
      </c>
      <c r="I318" s="52" t="s">
        <v>84</v>
      </c>
      <c r="J318" s="52" t="s">
        <v>84</v>
      </c>
      <c r="K318" s="52" t="s">
        <v>85</v>
      </c>
      <c r="L318" s="52" t="s">
        <v>86</v>
      </c>
      <c r="M318" s="52" t="s">
        <v>85</v>
      </c>
      <c r="N318" s="52" t="s">
        <v>85</v>
      </c>
      <c r="O318" s="52" t="s">
        <v>87</v>
      </c>
      <c r="P318" s="44" t="s">
        <v>86</v>
      </c>
      <c r="Q318" s="113" t="s">
        <v>85</v>
      </c>
    </row>
    <row r="319" spans="1:17" ht="99.75" customHeight="1">
      <c r="A319" s="49" t="s">
        <v>29</v>
      </c>
      <c r="B319" s="49">
        <v>45935</v>
      </c>
      <c r="C319" s="49" t="s">
        <v>106</v>
      </c>
      <c r="D319" s="50" t="s">
        <v>98</v>
      </c>
      <c r="E319" s="51" t="s">
        <v>781</v>
      </c>
      <c r="F319" s="52" t="s">
        <v>775</v>
      </c>
      <c r="G319" s="52" t="s">
        <v>782</v>
      </c>
      <c r="H319" s="52" t="s">
        <v>405</v>
      </c>
      <c r="I319" s="52" t="s">
        <v>85</v>
      </c>
      <c r="J319" s="52" t="s">
        <v>84</v>
      </c>
      <c r="K319" s="52" t="s">
        <v>85</v>
      </c>
      <c r="L319" s="52" t="s">
        <v>86</v>
      </c>
      <c r="M319" s="52" t="s">
        <v>85</v>
      </c>
      <c r="N319" s="52" t="s">
        <v>85</v>
      </c>
      <c r="O319" s="52" t="s">
        <v>87</v>
      </c>
      <c r="P319" s="44" t="s">
        <v>86</v>
      </c>
      <c r="Q319" s="113" t="s">
        <v>85</v>
      </c>
    </row>
    <row r="320" spans="1:17" ht="115.5" customHeight="1">
      <c r="A320" s="49" t="s">
        <v>29</v>
      </c>
      <c r="B320" s="49">
        <v>45935</v>
      </c>
      <c r="C320" s="49" t="s">
        <v>106</v>
      </c>
      <c r="D320" s="50" t="s">
        <v>98</v>
      </c>
      <c r="E320" s="51" t="s">
        <v>783</v>
      </c>
      <c r="F320" s="52" t="s">
        <v>779</v>
      </c>
      <c r="G320" s="52" t="s">
        <v>784</v>
      </c>
      <c r="H320" s="60" t="s">
        <v>651</v>
      </c>
      <c r="I320" s="52" t="s">
        <v>85</v>
      </c>
      <c r="J320" s="52" t="s">
        <v>84</v>
      </c>
      <c r="K320" s="52" t="s">
        <v>85</v>
      </c>
      <c r="L320" s="52" t="s">
        <v>86</v>
      </c>
      <c r="M320" s="52" t="s">
        <v>85</v>
      </c>
      <c r="N320" s="52" t="s">
        <v>85</v>
      </c>
      <c r="O320" s="52" t="s">
        <v>87</v>
      </c>
      <c r="P320" s="44" t="s">
        <v>86</v>
      </c>
      <c r="Q320" s="113" t="s">
        <v>85</v>
      </c>
    </row>
    <row r="321" spans="1:17" ht="124.5" customHeight="1">
      <c r="A321" s="49" t="s">
        <v>29</v>
      </c>
      <c r="B321" s="49">
        <v>45938</v>
      </c>
      <c r="C321" s="49" t="s">
        <v>78</v>
      </c>
      <c r="D321" s="50" t="s">
        <v>98</v>
      </c>
      <c r="E321" s="56" t="s">
        <v>785</v>
      </c>
      <c r="F321" s="52" t="s">
        <v>786</v>
      </c>
      <c r="G321" s="52" t="s">
        <v>787</v>
      </c>
      <c r="H321" s="52" t="s">
        <v>405</v>
      </c>
      <c r="I321" s="52" t="s">
        <v>85</v>
      </c>
      <c r="J321" s="52" t="s">
        <v>84</v>
      </c>
      <c r="K321" s="52" t="s">
        <v>85</v>
      </c>
      <c r="L321" s="52" t="s">
        <v>86</v>
      </c>
      <c r="M321" s="52" t="s">
        <v>85</v>
      </c>
      <c r="N321" s="52" t="s">
        <v>85</v>
      </c>
      <c r="O321" s="52" t="s">
        <v>87</v>
      </c>
      <c r="P321" s="44" t="s">
        <v>86</v>
      </c>
      <c r="Q321" s="113" t="s">
        <v>85</v>
      </c>
    </row>
    <row r="322" spans="1:17" ht="201.75" customHeight="1">
      <c r="A322" s="49" t="s">
        <v>29</v>
      </c>
      <c r="B322" s="49">
        <v>45938</v>
      </c>
      <c r="C322" s="49" t="s">
        <v>88</v>
      </c>
      <c r="D322" s="50" t="s">
        <v>98</v>
      </c>
      <c r="E322" s="56" t="s">
        <v>788</v>
      </c>
      <c r="F322" s="52" t="s">
        <v>153</v>
      </c>
      <c r="G322" s="52" t="s">
        <v>150</v>
      </c>
      <c r="H322" s="52" t="s">
        <v>117</v>
      </c>
      <c r="I322" s="52" t="s">
        <v>85</v>
      </c>
      <c r="J322" s="52" t="s">
        <v>84</v>
      </c>
      <c r="K322" s="52" t="s">
        <v>85</v>
      </c>
      <c r="L322" s="52" t="s">
        <v>86</v>
      </c>
      <c r="M322" s="52" t="s">
        <v>85</v>
      </c>
      <c r="N322" s="52" t="s">
        <v>85</v>
      </c>
      <c r="O322" s="52" t="s">
        <v>87</v>
      </c>
      <c r="P322" s="44" t="s">
        <v>86</v>
      </c>
      <c r="Q322" s="113" t="s">
        <v>85</v>
      </c>
    </row>
    <row r="323" spans="1:17" ht="75" customHeight="1">
      <c r="A323" s="49" t="s">
        <v>29</v>
      </c>
      <c r="B323" s="49">
        <v>45939</v>
      </c>
      <c r="C323" s="49" t="s">
        <v>78</v>
      </c>
      <c r="D323" s="50" t="s">
        <v>98</v>
      </c>
      <c r="E323" s="56" t="s">
        <v>789</v>
      </c>
      <c r="F323" s="52" t="s">
        <v>451</v>
      </c>
      <c r="G323" s="52" t="s">
        <v>790</v>
      </c>
      <c r="H323" s="52" t="s">
        <v>651</v>
      </c>
      <c r="I323" s="52" t="s">
        <v>85</v>
      </c>
      <c r="J323" s="52" t="s">
        <v>84</v>
      </c>
      <c r="K323" s="52" t="s">
        <v>85</v>
      </c>
      <c r="L323" s="52" t="s">
        <v>86</v>
      </c>
      <c r="M323" s="52" t="s">
        <v>85</v>
      </c>
      <c r="N323" s="52" t="s">
        <v>85</v>
      </c>
      <c r="O323" s="52" t="s">
        <v>87</v>
      </c>
      <c r="P323" s="44" t="s">
        <v>1497</v>
      </c>
      <c r="Q323" s="113" t="s">
        <v>85</v>
      </c>
    </row>
    <row r="324" spans="1:17" ht="137.25" customHeight="1">
      <c r="A324" s="49" t="s">
        <v>29</v>
      </c>
      <c r="B324" s="49">
        <v>45941</v>
      </c>
      <c r="C324" s="49" t="s">
        <v>78</v>
      </c>
      <c r="D324" s="50" t="s">
        <v>98</v>
      </c>
      <c r="E324" s="51" t="s">
        <v>791</v>
      </c>
      <c r="F324" s="52" t="s">
        <v>350</v>
      </c>
      <c r="G324" s="52" t="s">
        <v>792</v>
      </c>
      <c r="H324" s="52" t="s">
        <v>651</v>
      </c>
      <c r="I324" s="52" t="s">
        <v>85</v>
      </c>
      <c r="J324" s="52" t="s">
        <v>84</v>
      </c>
      <c r="K324" s="52" t="s">
        <v>85</v>
      </c>
      <c r="L324" s="52" t="s">
        <v>86</v>
      </c>
      <c r="M324" s="52" t="s">
        <v>85</v>
      </c>
      <c r="N324" s="52" t="s">
        <v>85</v>
      </c>
      <c r="O324" s="52" t="s">
        <v>118</v>
      </c>
      <c r="P324" s="44" t="s">
        <v>1497</v>
      </c>
      <c r="Q324" s="113" t="s">
        <v>85</v>
      </c>
    </row>
    <row r="325" spans="1:17" ht="99.75" customHeight="1">
      <c r="A325" s="49" t="s">
        <v>29</v>
      </c>
      <c r="B325" s="49">
        <v>45942</v>
      </c>
      <c r="C325" s="49" t="s">
        <v>106</v>
      </c>
      <c r="D325" s="50" t="s">
        <v>240</v>
      </c>
      <c r="E325" s="56" t="s">
        <v>793</v>
      </c>
      <c r="F325" s="63" t="s">
        <v>668</v>
      </c>
      <c r="G325" s="52" t="s">
        <v>794</v>
      </c>
      <c r="H325" s="52" t="s">
        <v>453</v>
      </c>
      <c r="I325" s="52" t="s">
        <v>84</v>
      </c>
      <c r="J325" s="52" t="s">
        <v>84</v>
      </c>
      <c r="K325" s="52" t="s">
        <v>85</v>
      </c>
      <c r="L325" s="52" t="s">
        <v>86</v>
      </c>
      <c r="M325" s="52" t="s">
        <v>85</v>
      </c>
      <c r="N325" s="52" t="s">
        <v>85</v>
      </c>
      <c r="O325" s="44" t="s">
        <v>87</v>
      </c>
      <c r="P325" s="44" t="s">
        <v>86</v>
      </c>
      <c r="Q325" s="113" t="s">
        <v>85</v>
      </c>
    </row>
    <row r="326" spans="1:17" ht="62.25" customHeight="1">
      <c r="A326" s="49" t="s">
        <v>29</v>
      </c>
      <c r="B326" s="49">
        <v>45942</v>
      </c>
      <c r="C326" s="49" t="s">
        <v>88</v>
      </c>
      <c r="D326" s="50" t="s">
        <v>83</v>
      </c>
      <c r="E326" s="56" t="s">
        <v>795</v>
      </c>
      <c r="F326" s="52" t="s">
        <v>526</v>
      </c>
      <c r="G326" s="52" t="s">
        <v>796</v>
      </c>
      <c r="H326" s="52" t="s">
        <v>405</v>
      </c>
      <c r="I326" s="52" t="s">
        <v>85</v>
      </c>
      <c r="J326" s="52" t="s">
        <v>84</v>
      </c>
      <c r="K326" s="52" t="s">
        <v>85</v>
      </c>
      <c r="L326" s="52" t="s">
        <v>86</v>
      </c>
      <c r="M326" s="52" t="s">
        <v>85</v>
      </c>
      <c r="N326" s="52" t="s">
        <v>85</v>
      </c>
      <c r="O326" s="44" t="s">
        <v>87</v>
      </c>
      <c r="P326" s="44" t="s">
        <v>1499</v>
      </c>
      <c r="Q326" s="113" t="s">
        <v>85</v>
      </c>
    </row>
    <row r="327" spans="1:17" ht="99.75" customHeight="1">
      <c r="A327" s="49" t="s">
        <v>29</v>
      </c>
      <c r="B327" s="49">
        <v>45944</v>
      </c>
      <c r="C327" s="49" t="s">
        <v>78</v>
      </c>
      <c r="D327" s="50" t="s">
        <v>79</v>
      </c>
      <c r="E327" s="51" t="s">
        <v>797</v>
      </c>
      <c r="F327" s="52" t="s">
        <v>96</v>
      </c>
      <c r="G327" s="52" t="s">
        <v>798</v>
      </c>
      <c r="H327" s="52" t="s">
        <v>799</v>
      </c>
      <c r="I327" s="52" t="s">
        <v>85</v>
      </c>
      <c r="J327" s="52" t="s">
        <v>84</v>
      </c>
      <c r="K327" s="52" t="s">
        <v>85</v>
      </c>
      <c r="L327" s="52" t="s">
        <v>86</v>
      </c>
      <c r="M327" s="52" t="s">
        <v>85</v>
      </c>
      <c r="N327" s="52" t="s">
        <v>85</v>
      </c>
      <c r="O327" s="44" t="s">
        <v>87</v>
      </c>
      <c r="P327" s="44" t="s">
        <v>86</v>
      </c>
      <c r="Q327" s="113" t="s">
        <v>85</v>
      </c>
    </row>
    <row r="328" spans="1:17" ht="49.5" customHeight="1">
      <c r="A328" s="49" t="s">
        <v>29</v>
      </c>
      <c r="B328" s="49">
        <v>45944</v>
      </c>
      <c r="C328" s="49" t="s">
        <v>106</v>
      </c>
      <c r="D328" s="50" t="s">
        <v>79</v>
      </c>
      <c r="E328" s="51" t="s">
        <v>800</v>
      </c>
      <c r="F328" s="52" t="s">
        <v>350</v>
      </c>
      <c r="G328" s="52" t="s">
        <v>801</v>
      </c>
      <c r="H328" s="52" t="s">
        <v>453</v>
      </c>
      <c r="I328" s="52" t="s">
        <v>85</v>
      </c>
      <c r="J328" s="52" t="s">
        <v>84</v>
      </c>
      <c r="K328" s="52" t="s">
        <v>85</v>
      </c>
      <c r="L328" s="52" t="s">
        <v>86</v>
      </c>
      <c r="M328" s="52" t="s">
        <v>85</v>
      </c>
      <c r="N328" s="52" t="s">
        <v>85</v>
      </c>
      <c r="O328" s="44" t="s">
        <v>87</v>
      </c>
      <c r="P328" s="44" t="s">
        <v>86</v>
      </c>
      <c r="Q328" s="113" t="s">
        <v>85</v>
      </c>
    </row>
    <row r="329" spans="1:17" ht="86.25" customHeight="1">
      <c r="A329" s="49" t="s">
        <v>29</v>
      </c>
      <c r="B329" s="49">
        <v>45945</v>
      </c>
      <c r="C329" s="49" t="s">
        <v>123</v>
      </c>
      <c r="D329" s="50" t="s">
        <v>98</v>
      </c>
      <c r="E329" s="51" t="s">
        <v>802</v>
      </c>
      <c r="F329" s="52" t="s">
        <v>96</v>
      </c>
      <c r="G329" s="52" t="s">
        <v>83</v>
      </c>
      <c r="H329" s="52" t="s">
        <v>517</v>
      </c>
      <c r="I329" s="52" t="s">
        <v>85</v>
      </c>
      <c r="J329" s="52" t="s">
        <v>84</v>
      </c>
      <c r="K329" s="52" t="s">
        <v>85</v>
      </c>
      <c r="L329" s="52" t="s">
        <v>86</v>
      </c>
      <c r="M329" s="52" t="s">
        <v>85</v>
      </c>
      <c r="N329" s="52" t="s">
        <v>85</v>
      </c>
      <c r="O329" s="52" t="s">
        <v>118</v>
      </c>
      <c r="P329" s="44" t="s">
        <v>1500</v>
      </c>
      <c r="Q329" s="113" t="s">
        <v>85</v>
      </c>
    </row>
    <row r="330" spans="1:17" ht="237" customHeight="1">
      <c r="A330" s="49" t="s">
        <v>29</v>
      </c>
      <c r="B330" s="49">
        <v>45946</v>
      </c>
      <c r="C330" s="49" t="s">
        <v>78</v>
      </c>
      <c r="D330" s="50" t="s">
        <v>240</v>
      </c>
      <c r="E330" s="56" t="s">
        <v>803</v>
      </c>
      <c r="F330" s="52" t="s">
        <v>350</v>
      </c>
      <c r="G330" s="52" t="s">
        <v>804</v>
      </c>
      <c r="H330" s="60" t="s">
        <v>670</v>
      </c>
      <c r="I330" s="52" t="s">
        <v>85</v>
      </c>
      <c r="J330" s="52" t="s">
        <v>84</v>
      </c>
      <c r="K330" s="52" t="s">
        <v>85</v>
      </c>
      <c r="L330" s="52" t="s">
        <v>86</v>
      </c>
      <c r="M330" s="52" t="s">
        <v>85</v>
      </c>
      <c r="N330" s="52" t="s">
        <v>84</v>
      </c>
      <c r="O330" s="44" t="s">
        <v>87</v>
      </c>
      <c r="P330" s="44" t="s">
        <v>86</v>
      </c>
      <c r="Q330" s="113" t="s">
        <v>85</v>
      </c>
    </row>
    <row r="331" spans="1:17" ht="124.5" customHeight="1">
      <c r="A331" s="49" t="s">
        <v>29</v>
      </c>
      <c r="B331" s="49">
        <v>45947</v>
      </c>
      <c r="C331" s="49" t="s">
        <v>123</v>
      </c>
      <c r="D331" s="50" t="s">
        <v>98</v>
      </c>
      <c r="E331" s="51" t="s">
        <v>805</v>
      </c>
      <c r="F331" s="52" t="s">
        <v>350</v>
      </c>
      <c r="G331" s="52" t="s">
        <v>563</v>
      </c>
      <c r="H331" s="60" t="s">
        <v>114</v>
      </c>
      <c r="I331" s="52" t="s">
        <v>85</v>
      </c>
      <c r="J331" s="52" t="s">
        <v>84</v>
      </c>
      <c r="K331" s="52" t="s">
        <v>85</v>
      </c>
      <c r="L331" s="52" t="s">
        <v>86</v>
      </c>
      <c r="M331" s="52" t="s">
        <v>84</v>
      </c>
      <c r="N331" s="52" t="s">
        <v>85</v>
      </c>
      <c r="O331" s="44" t="s">
        <v>87</v>
      </c>
      <c r="P331" s="44" t="s">
        <v>1511</v>
      </c>
      <c r="Q331" s="113" t="s">
        <v>85</v>
      </c>
    </row>
    <row r="332" spans="1:17" ht="122.25" customHeight="1">
      <c r="A332" s="49" t="s">
        <v>29</v>
      </c>
      <c r="B332" s="49">
        <v>45948</v>
      </c>
      <c r="C332" s="49" t="s">
        <v>78</v>
      </c>
      <c r="D332" s="50" t="s">
        <v>98</v>
      </c>
      <c r="E332" s="51" t="s">
        <v>806</v>
      </c>
      <c r="F332" s="52" t="s">
        <v>96</v>
      </c>
      <c r="G332" s="52" t="s">
        <v>807</v>
      </c>
      <c r="H332" s="52" t="s">
        <v>409</v>
      </c>
      <c r="I332" s="52" t="s">
        <v>85</v>
      </c>
      <c r="J332" s="52" t="s">
        <v>84</v>
      </c>
      <c r="K332" s="52" t="s">
        <v>85</v>
      </c>
      <c r="L332" s="52" t="s">
        <v>86</v>
      </c>
      <c r="M332" s="52" t="s">
        <v>85</v>
      </c>
      <c r="N332" s="52" t="s">
        <v>85</v>
      </c>
      <c r="O332" s="52" t="s">
        <v>118</v>
      </c>
      <c r="P332" s="44" t="s">
        <v>86</v>
      </c>
      <c r="Q332" s="113" t="s">
        <v>85</v>
      </c>
    </row>
    <row r="333" spans="1:17" ht="112.5" customHeight="1">
      <c r="A333" s="49" t="s">
        <v>29</v>
      </c>
      <c r="B333" s="49">
        <v>45949</v>
      </c>
      <c r="C333" s="49" t="s">
        <v>78</v>
      </c>
      <c r="D333" s="50" t="s">
        <v>98</v>
      </c>
      <c r="E333" s="56" t="s">
        <v>808</v>
      </c>
      <c r="F333" s="52" t="s">
        <v>604</v>
      </c>
      <c r="G333" s="52" t="s">
        <v>809</v>
      </c>
      <c r="H333" s="52" t="s">
        <v>114</v>
      </c>
      <c r="I333" s="52" t="s">
        <v>85</v>
      </c>
      <c r="J333" s="52" t="s">
        <v>85</v>
      </c>
      <c r="K333" s="52" t="s">
        <v>84</v>
      </c>
      <c r="L333" s="52" t="s">
        <v>810</v>
      </c>
      <c r="M333" s="52" t="s">
        <v>85</v>
      </c>
      <c r="N333" s="52" t="s">
        <v>85</v>
      </c>
      <c r="O333" s="44" t="s">
        <v>87</v>
      </c>
      <c r="P333" s="44" t="s">
        <v>86</v>
      </c>
      <c r="Q333" s="113" t="s">
        <v>85</v>
      </c>
    </row>
    <row r="334" spans="1:17" ht="87" customHeight="1">
      <c r="A334" s="49" t="s">
        <v>29</v>
      </c>
      <c r="B334" s="49">
        <v>45951</v>
      </c>
      <c r="C334" s="49" t="s">
        <v>190</v>
      </c>
      <c r="D334" s="50" t="s">
        <v>79</v>
      </c>
      <c r="E334" s="56" t="s">
        <v>811</v>
      </c>
      <c r="F334" s="52" t="s">
        <v>350</v>
      </c>
      <c r="G334" s="52" t="s">
        <v>812</v>
      </c>
      <c r="H334" s="52" t="s">
        <v>517</v>
      </c>
      <c r="I334" s="52" t="s">
        <v>84</v>
      </c>
      <c r="J334" s="52" t="s">
        <v>84</v>
      </c>
      <c r="K334" s="52" t="s">
        <v>85</v>
      </c>
      <c r="L334" s="52" t="s">
        <v>86</v>
      </c>
      <c r="M334" s="52" t="s">
        <v>85</v>
      </c>
      <c r="N334" s="52" t="s">
        <v>85</v>
      </c>
      <c r="O334" s="52" t="s">
        <v>118</v>
      </c>
      <c r="P334" s="44" t="s">
        <v>86</v>
      </c>
      <c r="Q334" s="113" t="s">
        <v>85</v>
      </c>
    </row>
    <row r="335" spans="1:17" ht="124.5" customHeight="1">
      <c r="A335" s="49" t="s">
        <v>29</v>
      </c>
      <c r="B335" s="49">
        <v>45951</v>
      </c>
      <c r="C335" s="49" t="s">
        <v>88</v>
      </c>
      <c r="D335" s="50" t="s">
        <v>89</v>
      </c>
      <c r="E335" s="56" t="s">
        <v>813</v>
      </c>
      <c r="F335" s="52" t="s">
        <v>133</v>
      </c>
      <c r="G335" s="52" t="s">
        <v>814</v>
      </c>
      <c r="H335" s="52" t="s">
        <v>684</v>
      </c>
      <c r="I335" s="52" t="s">
        <v>84</v>
      </c>
      <c r="J335" s="52" t="s">
        <v>84</v>
      </c>
      <c r="K335" s="52" t="s">
        <v>85</v>
      </c>
      <c r="L335" s="52" t="s">
        <v>86</v>
      </c>
      <c r="M335" s="52" t="s">
        <v>85</v>
      </c>
      <c r="N335" s="52" t="s">
        <v>85</v>
      </c>
      <c r="O335" s="44" t="s">
        <v>87</v>
      </c>
      <c r="P335" s="44" t="s">
        <v>86</v>
      </c>
      <c r="Q335" s="113" t="s">
        <v>85</v>
      </c>
    </row>
    <row r="336" spans="1:17" ht="112.5" customHeight="1">
      <c r="A336" s="49" t="s">
        <v>29</v>
      </c>
      <c r="B336" s="49">
        <v>45953</v>
      </c>
      <c r="C336" s="49" t="s">
        <v>123</v>
      </c>
      <c r="D336" s="50" t="s">
        <v>98</v>
      </c>
      <c r="E336" s="56" t="s">
        <v>815</v>
      </c>
      <c r="F336" s="52" t="s">
        <v>350</v>
      </c>
      <c r="G336" s="52" t="s">
        <v>613</v>
      </c>
      <c r="H336" s="52" t="s">
        <v>651</v>
      </c>
      <c r="I336" s="52" t="s">
        <v>85</v>
      </c>
      <c r="J336" s="52" t="s">
        <v>84</v>
      </c>
      <c r="K336" s="52" t="s">
        <v>85</v>
      </c>
      <c r="L336" s="52" t="s">
        <v>86</v>
      </c>
      <c r="M336" s="52" t="s">
        <v>85</v>
      </c>
      <c r="N336" s="52" t="s">
        <v>84</v>
      </c>
      <c r="O336" s="44" t="s">
        <v>87</v>
      </c>
      <c r="P336" s="44" t="s">
        <v>86</v>
      </c>
      <c r="Q336" s="113" t="s">
        <v>570</v>
      </c>
    </row>
    <row r="337" spans="1:17" ht="99.75" customHeight="1">
      <c r="A337" s="49" t="s">
        <v>29</v>
      </c>
      <c r="B337" s="49">
        <v>45954</v>
      </c>
      <c r="C337" s="49" t="s">
        <v>106</v>
      </c>
      <c r="D337" s="50" t="s">
        <v>79</v>
      </c>
      <c r="E337" s="51" t="s">
        <v>816</v>
      </c>
      <c r="F337" s="52" t="s">
        <v>133</v>
      </c>
      <c r="G337" s="44" t="s">
        <v>817</v>
      </c>
      <c r="H337" s="52" t="s">
        <v>684</v>
      </c>
      <c r="I337" s="52" t="s">
        <v>85</v>
      </c>
      <c r="J337" s="52" t="s">
        <v>84</v>
      </c>
      <c r="K337" s="52" t="s">
        <v>85</v>
      </c>
      <c r="L337" s="52" t="s">
        <v>86</v>
      </c>
      <c r="M337" s="52" t="s">
        <v>85</v>
      </c>
      <c r="N337" s="52" t="s">
        <v>85</v>
      </c>
      <c r="O337" s="44" t="s">
        <v>87</v>
      </c>
      <c r="P337" s="127" t="s">
        <v>86</v>
      </c>
      <c r="Q337" s="113" t="s">
        <v>85</v>
      </c>
    </row>
    <row r="338" spans="1:17" ht="137.25" customHeight="1">
      <c r="A338" s="49" t="s">
        <v>29</v>
      </c>
      <c r="B338" s="49">
        <v>45954</v>
      </c>
      <c r="C338" s="49" t="s">
        <v>78</v>
      </c>
      <c r="D338" s="50" t="s">
        <v>98</v>
      </c>
      <c r="E338" s="51" t="s">
        <v>818</v>
      </c>
      <c r="F338" s="52" t="s">
        <v>350</v>
      </c>
      <c r="G338" s="52" t="s">
        <v>819</v>
      </c>
      <c r="H338" s="52" t="s">
        <v>453</v>
      </c>
      <c r="I338" s="52" t="s">
        <v>85</v>
      </c>
      <c r="J338" s="52" t="s">
        <v>84</v>
      </c>
      <c r="K338" s="52" t="s">
        <v>85</v>
      </c>
      <c r="L338" s="52" t="s">
        <v>86</v>
      </c>
      <c r="M338" s="52" t="s">
        <v>85</v>
      </c>
      <c r="N338" s="52" t="s">
        <v>85</v>
      </c>
      <c r="O338" s="44" t="s">
        <v>87</v>
      </c>
      <c r="P338" s="127" t="s">
        <v>86</v>
      </c>
      <c r="Q338" s="113" t="s">
        <v>85</v>
      </c>
    </row>
    <row r="339" spans="1:17" ht="137.25" customHeight="1">
      <c r="A339" s="49" t="s">
        <v>29</v>
      </c>
      <c r="B339" s="49">
        <v>45954</v>
      </c>
      <c r="C339" s="49" t="s">
        <v>78</v>
      </c>
      <c r="D339" s="50" t="s">
        <v>98</v>
      </c>
      <c r="E339" s="56" t="s">
        <v>820</v>
      </c>
      <c r="F339" s="52" t="s">
        <v>81</v>
      </c>
      <c r="G339" s="52" t="s">
        <v>320</v>
      </c>
      <c r="H339" s="52" t="s">
        <v>405</v>
      </c>
      <c r="I339" s="52" t="s">
        <v>85</v>
      </c>
      <c r="J339" s="52" t="s">
        <v>84</v>
      </c>
      <c r="K339" s="52" t="s">
        <v>85</v>
      </c>
      <c r="L339" s="52" t="s">
        <v>86</v>
      </c>
      <c r="M339" s="52" t="s">
        <v>85</v>
      </c>
      <c r="N339" s="52" t="s">
        <v>85</v>
      </c>
      <c r="O339" s="44" t="s">
        <v>87</v>
      </c>
      <c r="P339" s="44" t="s">
        <v>1504</v>
      </c>
      <c r="Q339" s="113" t="s">
        <v>85</v>
      </c>
    </row>
    <row r="340" spans="1:17" ht="62.25" customHeight="1">
      <c r="A340" s="49" t="s">
        <v>29</v>
      </c>
      <c r="B340" s="49">
        <v>45954</v>
      </c>
      <c r="C340" s="49" t="s">
        <v>78</v>
      </c>
      <c r="D340" s="50" t="s">
        <v>83</v>
      </c>
      <c r="E340" s="56" t="s">
        <v>821</v>
      </c>
      <c r="F340" s="52" t="s">
        <v>350</v>
      </c>
      <c r="G340" s="52" t="s">
        <v>822</v>
      </c>
      <c r="H340" s="52" t="s">
        <v>684</v>
      </c>
      <c r="I340" s="52" t="s">
        <v>85</v>
      </c>
      <c r="J340" s="52" t="s">
        <v>85</v>
      </c>
      <c r="K340" s="52" t="s">
        <v>84</v>
      </c>
      <c r="L340" s="52" t="s">
        <v>823</v>
      </c>
      <c r="M340" s="52" t="s">
        <v>85</v>
      </c>
      <c r="N340" s="52" t="s">
        <v>85</v>
      </c>
      <c r="O340" s="44" t="s">
        <v>87</v>
      </c>
      <c r="P340" s="44" t="s">
        <v>86</v>
      </c>
      <c r="Q340" s="113" t="s">
        <v>85</v>
      </c>
    </row>
    <row r="341" spans="1:17" ht="99.75" customHeight="1">
      <c r="A341" s="49" t="s">
        <v>29</v>
      </c>
      <c r="B341" s="49">
        <v>45955</v>
      </c>
      <c r="C341" s="49" t="s">
        <v>106</v>
      </c>
      <c r="D341" s="50" t="s">
        <v>240</v>
      </c>
      <c r="E341" s="56" t="s">
        <v>824</v>
      </c>
      <c r="F341" s="52" t="s">
        <v>161</v>
      </c>
      <c r="G341" s="52" t="s">
        <v>825</v>
      </c>
      <c r="H341" s="52" t="s">
        <v>517</v>
      </c>
      <c r="I341" s="52" t="s">
        <v>85</v>
      </c>
      <c r="J341" s="52" t="s">
        <v>84</v>
      </c>
      <c r="K341" s="52" t="s">
        <v>85</v>
      </c>
      <c r="L341" s="52" t="s">
        <v>86</v>
      </c>
      <c r="M341" s="52" t="s">
        <v>85</v>
      </c>
      <c r="N341" s="52" t="s">
        <v>85</v>
      </c>
      <c r="O341" s="44" t="s">
        <v>87</v>
      </c>
      <c r="P341" s="44" t="s">
        <v>86</v>
      </c>
      <c r="Q341" s="113" t="s">
        <v>85</v>
      </c>
    </row>
    <row r="342" spans="1:17" ht="87" customHeight="1">
      <c r="A342" s="49" t="s">
        <v>29</v>
      </c>
      <c r="B342" s="49">
        <v>45955</v>
      </c>
      <c r="C342" s="49" t="s">
        <v>106</v>
      </c>
      <c r="D342" s="50" t="s">
        <v>98</v>
      </c>
      <c r="E342" s="56" t="s">
        <v>826</v>
      </c>
      <c r="F342" s="52" t="s">
        <v>372</v>
      </c>
      <c r="G342" s="52" t="s">
        <v>827</v>
      </c>
      <c r="H342" s="52" t="s">
        <v>405</v>
      </c>
      <c r="I342" s="52" t="s">
        <v>85</v>
      </c>
      <c r="J342" s="52" t="s">
        <v>84</v>
      </c>
      <c r="K342" s="52" t="s">
        <v>85</v>
      </c>
      <c r="L342" s="52" t="s">
        <v>86</v>
      </c>
      <c r="M342" s="52" t="s">
        <v>85</v>
      </c>
      <c r="N342" s="52" t="s">
        <v>85</v>
      </c>
      <c r="O342" s="44" t="s">
        <v>87</v>
      </c>
      <c r="P342" s="44" t="s">
        <v>86</v>
      </c>
      <c r="Q342" s="113" t="s">
        <v>85</v>
      </c>
    </row>
    <row r="343" spans="1:17" ht="62.25" customHeight="1">
      <c r="A343" s="49" t="s">
        <v>29</v>
      </c>
      <c r="B343" s="49">
        <v>45956</v>
      </c>
      <c r="C343" s="49" t="s">
        <v>106</v>
      </c>
      <c r="D343" s="50" t="s">
        <v>98</v>
      </c>
      <c r="E343" s="56" t="s">
        <v>828</v>
      </c>
      <c r="F343" s="52" t="s">
        <v>829</v>
      </c>
      <c r="G343" s="52" t="s">
        <v>830</v>
      </c>
      <c r="H343" s="52" t="s">
        <v>117</v>
      </c>
      <c r="I343" s="52" t="s">
        <v>85</v>
      </c>
      <c r="J343" s="52" t="s">
        <v>84</v>
      </c>
      <c r="K343" s="52" t="s">
        <v>85</v>
      </c>
      <c r="L343" s="52" t="s">
        <v>86</v>
      </c>
      <c r="M343" s="52" t="s">
        <v>85</v>
      </c>
      <c r="N343" s="52" t="s">
        <v>85</v>
      </c>
      <c r="O343" s="44" t="s">
        <v>87</v>
      </c>
      <c r="P343" s="44" t="s">
        <v>86</v>
      </c>
      <c r="Q343" s="113" t="s">
        <v>85</v>
      </c>
    </row>
    <row r="344" spans="1:17" ht="62.25" customHeight="1">
      <c r="A344" s="49" t="s">
        <v>29</v>
      </c>
      <c r="B344" s="49">
        <v>45957</v>
      </c>
      <c r="C344" s="49" t="s">
        <v>106</v>
      </c>
      <c r="D344" s="50" t="s">
        <v>79</v>
      </c>
      <c r="E344" s="51" t="s">
        <v>831</v>
      </c>
      <c r="F344" s="52" t="s">
        <v>133</v>
      </c>
      <c r="G344" s="52" t="s">
        <v>832</v>
      </c>
      <c r="H344" s="52" t="s">
        <v>453</v>
      </c>
      <c r="I344" s="52" t="s">
        <v>84</v>
      </c>
      <c r="J344" s="52" t="s">
        <v>84</v>
      </c>
      <c r="K344" s="52" t="s">
        <v>85</v>
      </c>
      <c r="L344" s="52" t="s">
        <v>86</v>
      </c>
      <c r="M344" s="52" t="s">
        <v>85</v>
      </c>
      <c r="N344" s="52" t="s">
        <v>85</v>
      </c>
      <c r="O344" s="44" t="s">
        <v>87</v>
      </c>
      <c r="P344" s="44" t="s">
        <v>86</v>
      </c>
      <c r="Q344" s="113" t="s">
        <v>85</v>
      </c>
    </row>
    <row r="345" spans="1:17" ht="150" customHeight="1">
      <c r="A345" s="49" t="s">
        <v>29</v>
      </c>
      <c r="B345" s="49">
        <v>45958</v>
      </c>
      <c r="C345" s="49" t="s">
        <v>190</v>
      </c>
      <c r="D345" s="50" t="s">
        <v>98</v>
      </c>
      <c r="E345" s="56" t="s">
        <v>833</v>
      </c>
      <c r="F345" s="52" t="s">
        <v>350</v>
      </c>
      <c r="G345" s="52" t="s">
        <v>834</v>
      </c>
      <c r="H345" s="52" t="s">
        <v>517</v>
      </c>
      <c r="I345" s="52" t="s">
        <v>85</v>
      </c>
      <c r="J345" s="52" t="s">
        <v>84</v>
      </c>
      <c r="K345" s="52" t="s">
        <v>85</v>
      </c>
      <c r="L345" s="52" t="s">
        <v>86</v>
      </c>
      <c r="M345" s="52" t="s">
        <v>85</v>
      </c>
      <c r="N345" s="52" t="s">
        <v>85</v>
      </c>
      <c r="O345" s="52" t="s">
        <v>118</v>
      </c>
      <c r="P345" s="44" t="s">
        <v>1498</v>
      </c>
      <c r="Q345" s="113" t="s">
        <v>85</v>
      </c>
    </row>
    <row r="346" spans="1:17" ht="195.75" customHeight="1">
      <c r="A346" s="49" t="s">
        <v>29</v>
      </c>
      <c r="B346" s="49">
        <v>45958</v>
      </c>
      <c r="C346" s="49" t="s">
        <v>220</v>
      </c>
      <c r="D346" s="50" t="s">
        <v>98</v>
      </c>
      <c r="E346" s="51" t="s">
        <v>835</v>
      </c>
      <c r="F346" s="60" t="s">
        <v>100</v>
      </c>
      <c r="G346" s="52" t="s">
        <v>836</v>
      </c>
      <c r="H346" s="52" t="s">
        <v>689</v>
      </c>
      <c r="I346" s="52" t="s">
        <v>84</v>
      </c>
      <c r="J346" s="52" t="s">
        <v>84</v>
      </c>
      <c r="K346" s="52" t="s">
        <v>85</v>
      </c>
      <c r="L346" s="52" t="s">
        <v>86</v>
      </c>
      <c r="M346" s="52" t="s">
        <v>85</v>
      </c>
      <c r="N346" s="52" t="s">
        <v>85</v>
      </c>
      <c r="O346" s="44" t="s">
        <v>118</v>
      </c>
      <c r="P346" s="44" t="s">
        <v>86</v>
      </c>
      <c r="Q346" s="113" t="s">
        <v>85</v>
      </c>
    </row>
    <row r="347" spans="1:17" ht="99.75" customHeight="1">
      <c r="A347" s="49" t="s">
        <v>29</v>
      </c>
      <c r="B347" s="49">
        <v>45959</v>
      </c>
      <c r="C347" s="49" t="s">
        <v>88</v>
      </c>
      <c r="D347" s="50" t="s">
        <v>98</v>
      </c>
      <c r="E347" s="56" t="s">
        <v>837</v>
      </c>
      <c r="F347" s="52" t="s">
        <v>350</v>
      </c>
      <c r="G347" s="52" t="s">
        <v>838</v>
      </c>
      <c r="H347" s="52" t="s">
        <v>670</v>
      </c>
      <c r="I347" s="52" t="s">
        <v>85</v>
      </c>
      <c r="J347" s="52" t="s">
        <v>84</v>
      </c>
      <c r="K347" s="52" t="s">
        <v>85</v>
      </c>
      <c r="L347" s="52" t="s">
        <v>86</v>
      </c>
      <c r="M347" s="52" t="s">
        <v>85</v>
      </c>
      <c r="N347" s="52" t="s">
        <v>85</v>
      </c>
      <c r="O347" s="52" t="s">
        <v>87</v>
      </c>
      <c r="P347" s="44" t="s">
        <v>86</v>
      </c>
      <c r="Q347" s="113" t="s">
        <v>85</v>
      </c>
    </row>
    <row r="348" spans="1:17" ht="55.5" customHeight="1">
      <c r="A348" s="49" t="s">
        <v>29</v>
      </c>
      <c r="B348" s="49">
        <v>45961</v>
      </c>
      <c r="C348" s="49" t="s">
        <v>190</v>
      </c>
      <c r="D348" s="50" t="s">
        <v>98</v>
      </c>
      <c r="E348" s="56" t="s">
        <v>839</v>
      </c>
      <c r="F348" s="52" t="s">
        <v>100</v>
      </c>
      <c r="G348" s="44" t="s">
        <v>840</v>
      </c>
      <c r="H348" s="44" t="s">
        <v>517</v>
      </c>
      <c r="I348" s="52" t="s">
        <v>85</v>
      </c>
      <c r="J348" s="52" t="s">
        <v>84</v>
      </c>
      <c r="K348" s="52" t="s">
        <v>85</v>
      </c>
      <c r="L348" s="52" t="s">
        <v>86</v>
      </c>
      <c r="M348" s="52" t="s">
        <v>85</v>
      </c>
      <c r="N348" s="52" t="s">
        <v>85</v>
      </c>
      <c r="O348" s="52" t="s">
        <v>118</v>
      </c>
      <c r="P348" s="113" t="s">
        <v>1497</v>
      </c>
      <c r="Q348" s="113" t="s">
        <v>85</v>
      </c>
    </row>
    <row r="349" spans="1:17" ht="75" customHeight="1">
      <c r="A349" s="49" t="s">
        <v>29</v>
      </c>
      <c r="B349" s="49">
        <v>45961</v>
      </c>
      <c r="C349" s="49" t="s">
        <v>78</v>
      </c>
      <c r="D349" s="50" t="s">
        <v>98</v>
      </c>
      <c r="E349" s="56" t="s">
        <v>841</v>
      </c>
      <c r="F349" s="52" t="s">
        <v>81</v>
      </c>
      <c r="G349" s="52" t="s">
        <v>842</v>
      </c>
      <c r="H349" s="44" t="s">
        <v>517</v>
      </c>
      <c r="I349" s="52" t="s">
        <v>85</v>
      </c>
      <c r="J349" s="52" t="s">
        <v>84</v>
      </c>
      <c r="K349" s="52" t="s">
        <v>85</v>
      </c>
      <c r="L349" s="52" t="s">
        <v>86</v>
      </c>
      <c r="M349" s="52" t="s">
        <v>85</v>
      </c>
      <c r="N349" s="52" t="s">
        <v>85</v>
      </c>
      <c r="O349" s="44" t="s">
        <v>87</v>
      </c>
      <c r="P349" s="113" t="s">
        <v>1497</v>
      </c>
      <c r="Q349" s="113" t="s">
        <v>85</v>
      </c>
    </row>
    <row r="350" spans="1:17" ht="75" customHeight="1">
      <c r="A350" s="49" t="s">
        <v>30</v>
      </c>
      <c r="B350" s="49">
        <v>45962</v>
      </c>
      <c r="C350" s="49" t="s">
        <v>106</v>
      </c>
      <c r="D350" s="50" t="s">
        <v>98</v>
      </c>
      <c r="E350" s="56" t="s">
        <v>843</v>
      </c>
      <c r="F350" s="52" t="s">
        <v>350</v>
      </c>
      <c r="G350" s="52" t="s">
        <v>844</v>
      </c>
      <c r="H350" s="52" t="s">
        <v>405</v>
      </c>
      <c r="I350" s="52" t="s">
        <v>85</v>
      </c>
      <c r="J350" s="52" t="s">
        <v>84</v>
      </c>
      <c r="K350" s="52" t="s">
        <v>85</v>
      </c>
      <c r="L350" s="52" t="s">
        <v>86</v>
      </c>
      <c r="M350" s="52" t="s">
        <v>85</v>
      </c>
      <c r="N350" s="52" t="s">
        <v>85</v>
      </c>
      <c r="O350" s="44" t="s">
        <v>87</v>
      </c>
      <c r="P350" s="113" t="s">
        <v>1497</v>
      </c>
      <c r="Q350" s="113" t="s">
        <v>85</v>
      </c>
    </row>
    <row r="351" spans="1:17" ht="160.5" customHeight="1">
      <c r="A351" s="49" t="s">
        <v>30</v>
      </c>
      <c r="B351" s="49">
        <v>45963</v>
      </c>
      <c r="C351" s="49" t="s">
        <v>123</v>
      </c>
      <c r="D351" s="50" t="s">
        <v>98</v>
      </c>
      <c r="E351" s="56" t="s">
        <v>845</v>
      </c>
      <c r="F351" s="52" t="s">
        <v>350</v>
      </c>
      <c r="G351" s="52" t="s">
        <v>846</v>
      </c>
      <c r="H351" s="60" t="s">
        <v>102</v>
      </c>
      <c r="I351" s="52" t="s">
        <v>85</v>
      </c>
      <c r="J351" s="52" t="s">
        <v>84</v>
      </c>
      <c r="K351" s="52" t="s">
        <v>85</v>
      </c>
      <c r="L351" s="52" t="s">
        <v>86</v>
      </c>
      <c r="M351" s="52" t="s">
        <v>85</v>
      </c>
      <c r="N351" s="52" t="s">
        <v>85</v>
      </c>
      <c r="O351" s="44" t="s">
        <v>87</v>
      </c>
      <c r="P351" s="113" t="s">
        <v>1497</v>
      </c>
      <c r="Q351" s="113" t="s">
        <v>85</v>
      </c>
    </row>
    <row r="352" spans="1:17" ht="80.25" customHeight="1">
      <c r="A352" s="49" t="s">
        <v>30</v>
      </c>
      <c r="B352" s="49">
        <v>45967</v>
      </c>
      <c r="C352" s="49" t="s">
        <v>78</v>
      </c>
      <c r="D352" s="50" t="s">
        <v>83</v>
      </c>
      <c r="E352" s="56" t="s">
        <v>847</v>
      </c>
      <c r="F352" s="52" t="s">
        <v>451</v>
      </c>
      <c r="G352" s="52" t="s">
        <v>848</v>
      </c>
      <c r="H352" s="52" t="s">
        <v>405</v>
      </c>
      <c r="I352" s="52" t="s">
        <v>84</v>
      </c>
      <c r="J352" s="52" t="s">
        <v>84</v>
      </c>
      <c r="K352" s="52" t="s">
        <v>85</v>
      </c>
      <c r="L352" s="52" t="s">
        <v>86</v>
      </c>
      <c r="M352" s="52" t="s">
        <v>85</v>
      </c>
      <c r="N352" s="52" t="s">
        <v>85</v>
      </c>
      <c r="O352" s="44" t="s">
        <v>87</v>
      </c>
      <c r="P352" s="113" t="s">
        <v>1507</v>
      </c>
      <c r="Q352" s="113" t="s">
        <v>85</v>
      </c>
    </row>
    <row r="353" spans="1:17" ht="75" customHeight="1">
      <c r="A353" s="49" t="s">
        <v>30</v>
      </c>
      <c r="B353" s="49">
        <v>45968</v>
      </c>
      <c r="C353" s="49" t="s">
        <v>78</v>
      </c>
      <c r="D353" s="50" t="s">
        <v>79</v>
      </c>
      <c r="E353" s="56" t="s">
        <v>849</v>
      </c>
      <c r="F353" s="52" t="s">
        <v>133</v>
      </c>
      <c r="G353" s="52" t="s">
        <v>850</v>
      </c>
      <c r="H353" s="52" t="s">
        <v>670</v>
      </c>
      <c r="I353" s="52" t="s">
        <v>84</v>
      </c>
      <c r="J353" s="52" t="s">
        <v>85</v>
      </c>
      <c r="K353" s="52" t="s">
        <v>84</v>
      </c>
      <c r="L353" s="52" t="s">
        <v>851</v>
      </c>
      <c r="M353" s="52" t="s">
        <v>84</v>
      </c>
      <c r="N353" s="52" t="s">
        <v>85</v>
      </c>
      <c r="O353" s="44" t="s">
        <v>87</v>
      </c>
      <c r="P353" s="44" t="s">
        <v>86</v>
      </c>
      <c r="Q353" s="113" t="s">
        <v>85</v>
      </c>
    </row>
    <row r="354" spans="1:17" ht="246" customHeight="1">
      <c r="A354" s="49" t="s">
        <v>30</v>
      </c>
      <c r="B354" s="49">
        <v>45972</v>
      </c>
      <c r="C354" s="49" t="s">
        <v>78</v>
      </c>
      <c r="D354" s="49" t="s">
        <v>136</v>
      </c>
      <c r="E354" s="56" t="s">
        <v>852</v>
      </c>
      <c r="F354" s="52" t="s">
        <v>161</v>
      </c>
      <c r="G354" s="52" t="s">
        <v>853</v>
      </c>
      <c r="H354" s="52" t="s">
        <v>453</v>
      </c>
      <c r="I354" s="52" t="s">
        <v>85</v>
      </c>
      <c r="J354" s="52" t="s">
        <v>84</v>
      </c>
      <c r="K354" s="52" t="s">
        <v>85</v>
      </c>
      <c r="L354" s="52" t="s">
        <v>86</v>
      </c>
      <c r="M354" s="52" t="s">
        <v>85</v>
      </c>
      <c r="N354" s="52" t="s">
        <v>85</v>
      </c>
      <c r="O354" s="44" t="s">
        <v>87</v>
      </c>
      <c r="P354" s="44" t="s">
        <v>86</v>
      </c>
      <c r="Q354" s="113" t="s">
        <v>85</v>
      </c>
    </row>
    <row r="355" spans="1:17" ht="44.4" customHeight="1">
      <c r="A355" s="49" t="s">
        <v>30</v>
      </c>
      <c r="B355" s="49">
        <v>45972</v>
      </c>
      <c r="C355" s="49" t="s">
        <v>190</v>
      </c>
      <c r="D355" s="50" t="s">
        <v>98</v>
      </c>
      <c r="E355" s="56" t="s">
        <v>854</v>
      </c>
      <c r="F355" s="52" t="s">
        <v>855</v>
      </c>
      <c r="G355" s="52" t="s">
        <v>856</v>
      </c>
      <c r="H355" s="52" t="s">
        <v>517</v>
      </c>
      <c r="I355" s="52" t="s">
        <v>85</v>
      </c>
      <c r="J355" s="52" t="s">
        <v>84</v>
      </c>
      <c r="K355" s="52" t="s">
        <v>85</v>
      </c>
      <c r="L355" s="52" t="s">
        <v>86</v>
      </c>
      <c r="M355" s="52" t="s">
        <v>85</v>
      </c>
      <c r="N355" s="52" t="s">
        <v>85</v>
      </c>
      <c r="O355" s="52" t="s">
        <v>118</v>
      </c>
      <c r="P355" s="113" t="s">
        <v>1497</v>
      </c>
      <c r="Q355" s="113" t="s">
        <v>85</v>
      </c>
    </row>
    <row r="356" spans="1:17" ht="195.75" customHeight="1">
      <c r="A356" s="49" t="s">
        <v>30</v>
      </c>
      <c r="B356" s="49">
        <v>45972</v>
      </c>
      <c r="C356" s="49" t="s">
        <v>88</v>
      </c>
      <c r="D356" s="50" t="s">
        <v>98</v>
      </c>
      <c r="E356" s="56" t="s">
        <v>857</v>
      </c>
      <c r="F356" s="52" t="s">
        <v>350</v>
      </c>
      <c r="G356" s="52" t="s">
        <v>858</v>
      </c>
      <c r="H356" s="52" t="s">
        <v>102</v>
      </c>
      <c r="I356" s="52" t="s">
        <v>85</v>
      </c>
      <c r="J356" s="52" t="s">
        <v>84</v>
      </c>
      <c r="K356" s="52" t="s">
        <v>85</v>
      </c>
      <c r="L356" s="52" t="s">
        <v>86</v>
      </c>
      <c r="M356" s="52" t="s">
        <v>85</v>
      </c>
      <c r="N356" s="52" t="s">
        <v>85</v>
      </c>
      <c r="O356" s="44" t="s">
        <v>87</v>
      </c>
      <c r="P356" s="44" t="s">
        <v>86</v>
      </c>
      <c r="Q356" s="113" t="s">
        <v>85</v>
      </c>
    </row>
    <row r="357" spans="1:17" ht="62.25" customHeight="1">
      <c r="A357" s="49" t="s">
        <v>30</v>
      </c>
      <c r="B357" s="49">
        <v>45973</v>
      </c>
      <c r="C357" s="49" t="s">
        <v>106</v>
      </c>
      <c r="D357" s="50" t="s">
        <v>240</v>
      </c>
      <c r="E357" s="56" t="s">
        <v>859</v>
      </c>
      <c r="F357" s="52" t="s">
        <v>100</v>
      </c>
      <c r="G357" s="52" t="s">
        <v>860</v>
      </c>
      <c r="H357" s="52" t="s">
        <v>670</v>
      </c>
      <c r="I357" s="52" t="s">
        <v>85</v>
      </c>
      <c r="J357" s="52" t="s">
        <v>85</v>
      </c>
      <c r="K357" s="52" t="s">
        <v>84</v>
      </c>
      <c r="L357" s="52" t="s">
        <v>861</v>
      </c>
      <c r="M357" s="52" t="s">
        <v>85</v>
      </c>
      <c r="N357" s="52" t="s">
        <v>85</v>
      </c>
      <c r="O357" s="44" t="s">
        <v>87</v>
      </c>
      <c r="P357" s="44" t="s">
        <v>86</v>
      </c>
      <c r="Q357" s="113" t="s">
        <v>85</v>
      </c>
    </row>
    <row r="358" spans="1:17" ht="51.75" customHeight="1">
      <c r="A358" s="49" t="s">
        <v>30</v>
      </c>
      <c r="B358" s="49">
        <v>45975</v>
      </c>
      <c r="C358" s="49" t="s">
        <v>78</v>
      </c>
      <c r="D358" s="50" t="s">
        <v>240</v>
      </c>
      <c r="E358" s="56" t="s">
        <v>862</v>
      </c>
      <c r="F358" s="52" t="s">
        <v>451</v>
      </c>
      <c r="G358" s="52" t="s">
        <v>863</v>
      </c>
      <c r="H358" s="52" t="s">
        <v>799</v>
      </c>
      <c r="I358" s="52" t="s">
        <v>85</v>
      </c>
      <c r="J358" s="52" t="s">
        <v>84</v>
      </c>
      <c r="K358" s="52" t="s">
        <v>85</v>
      </c>
      <c r="L358" s="52" t="s">
        <v>86</v>
      </c>
      <c r="M358" s="52" t="s">
        <v>85</v>
      </c>
      <c r="N358" s="52" t="s">
        <v>85</v>
      </c>
      <c r="O358" s="44" t="s">
        <v>87</v>
      </c>
      <c r="P358" s="44" t="s">
        <v>86</v>
      </c>
      <c r="Q358" s="113" t="s">
        <v>85</v>
      </c>
    </row>
    <row r="359" spans="1:17" ht="225" customHeight="1">
      <c r="A359" s="49" t="s">
        <v>30</v>
      </c>
      <c r="B359" s="49">
        <v>45975</v>
      </c>
      <c r="C359" s="49" t="s">
        <v>106</v>
      </c>
      <c r="D359" s="50" t="s">
        <v>79</v>
      </c>
      <c r="E359" s="56" t="s">
        <v>864</v>
      </c>
      <c r="F359" s="52" t="s">
        <v>604</v>
      </c>
      <c r="G359" s="52" t="s">
        <v>865</v>
      </c>
      <c r="H359" s="52" t="s">
        <v>799</v>
      </c>
      <c r="I359" s="52" t="s">
        <v>84</v>
      </c>
      <c r="J359" s="52" t="s">
        <v>85</v>
      </c>
      <c r="K359" s="52" t="s">
        <v>84</v>
      </c>
      <c r="L359" s="52" t="s">
        <v>866</v>
      </c>
      <c r="M359" s="52" t="s">
        <v>85</v>
      </c>
      <c r="N359" s="52" t="s">
        <v>85</v>
      </c>
      <c r="O359" s="44" t="s">
        <v>87</v>
      </c>
      <c r="P359" s="44" t="s">
        <v>86</v>
      </c>
      <c r="Q359" s="113" t="s">
        <v>85</v>
      </c>
    </row>
    <row r="360" spans="1:17" ht="99.75" customHeight="1">
      <c r="A360" s="49" t="s">
        <v>30</v>
      </c>
      <c r="B360" s="49">
        <v>45977</v>
      </c>
      <c r="C360" s="49" t="s">
        <v>106</v>
      </c>
      <c r="D360" s="50" t="s">
        <v>79</v>
      </c>
      <c r="E360" s="51" t="s">
        <v>867</v>
      </c>
      <c r="F360" s="52" t="s">
        <v>472</v>
      </c>
      <c r="G360" s="52" t="s">
        <v>868</v>
      </c>
      <c r="H360" s="52" t="s">
        <v>93</v>
      </c>
      <c r="I360" s="52" t="s">
        <v>84</v>
      </c>
      <c r="J360" s="52" t="s">
        <v>84</v>
      </c>
      <c r="K360" s="52" t="s">
        <v>85</v>
      </c>
      <c r="L360" s="52" t="s">
        <v>86</v>
      </c>
      <c r="M360" s="52" t="s">
        <v>85</v>
      </c>
      <c r="N360" s="52" t="s">
        <v>85</v>
      </c>
      <c r="O360" s="44" t="s">
        <v>87</v>
      </c>
      <c r="P360" s="113" t="s">
        <v>1497</v>
      </c>
      <c r="Q360" s="113" t="s">
        <v>85</v>
      </c>
    </row>
    <row r="361" spans="1:17" ht="150" customHeight="1">
      <c r="A361" s="49" t="s">
        <v>30</v>
      </c>
      <c r="B361" s="49">
        <v>45978</v>
      </c>
      <c r="C361" s="49" t="s">
        <v>78</v>
      </c>
      <c r="D361" s="50" t="s">
        <v>79</v>
      </c>
      <c r="E361" s="56" t="s">
        <v>869</v>
      </c>
      <c r="F361" s="52" t="s">
        <v>147</v>
      </c>
      <c r="G361" s="52" t="s">
        <v>870</v>
      </c>
      <c r="H361" s="52" t="s">
        <v>799</v>
      </c>
      <c r="I361" s="52" t="s">
        <v>84</v>
      </c>
      <c r="J361" s="52" t="s">
        <v>85</v>
      </c>
      <c r="K361" s="52" t="s">
        <v>84</v>
      </c>
      <c r="L361" s="52" t="s">
        <v>871</v>
      </c>
      <c r="M361" s="52" t="s">
        <v>84</v>
      </c>
      <c r="N361" s="52" t="s">
        <v>85</v>
      </c>
      <c r="O361" s="44" t="s">
        <v>87</v>
      </c>
      <c r="P361" s="44" t="s">
        <v>86</v>
      </c>
      <c r="Q361" s="113" t="s">
        <v>84</v>
      </c>
    </row>
    <row r="362" spans="1:17" ht="49.5" customHeight="1">
      <c r="A362" s="49" t="s">
        <v>30</v>
      </c>
      <c r="B362" s="49">
        <v>45979</v>
      </c>
      <c r="C362" s="49" t="s">
        <v>106</v>
      </c>
      <c r="D362" s="50" t="s">
        <v>98</v>
      </c>
      <c r="E362" s="56" t="s">
        <v>872</v>
      </c>
      <c r="F362" s="52" t="s">
        <v>350</v>
      </c>
      <c r="G362" s="52" t="s">
        <v>873</v>
      </c>
      <c r="H362" s="52" t="s">
        <v>405</v>
      </c>
      <c r="I362" s="52" t="s">
        <v>84</v>
      </c>
      <c r="J362" s="52" t="s">
        <v>84</v>
      </c>
      <c r="K362" s="52" t="s">
        <v>85</v>
      </c>
      <c r="L362" s="52" t="s">
        <v>86</v>
      </c>
      <c r="M362" s="52" t="s">
        <v>85</v>
      </c>
      <c r="N362" s="52" t="s">
        <v>85</v>
      </c>
      <c r="O362" s="44" t="s">
        <v>87</v>
      </c>
      <c r="P362" s="44" t="s">
        <v>86</v>
      </c>
      <c r="Q362" s="113" t="s">
        <v>85</v>
      </c>
    </row>
    <row r="363" spans="1:17" ht="112.5" customHeight="1">
      <c r="A363" s="49" t="s">
        <v>30</v>
      </c>
      <c r="B363" s="49">
        <v>45979</v>
      </c>
      <c r="C363" s="49" t="s">
        <v>106</v>
      </c>
      <c r="D363" s="50" t="s">
        <v>79</v>
      </c>
      <c r="E363" s="56" t="s">
        <v>874</v>
      </c>
      <c r="F363" s="52" t="s">
        <v>472</v>
      </c>
      <c r="G363" s="44" t="s">
        <v>875</v>
      </c>
      <c r="H363" s="52" t="s">
        <v>93</v>
      </c>
      <c r="I363" s="52" t="s">
        <v>84</v>
      </c>
      <c r="J363" s="52" t="s">
        <v>84</v>
      </c>
      <c r="K363" s="52" t="s">
        <v>85</v>
      </c>
      <c r="L363" s="52" t="s">
        <v>86</v>
      </c>
      <c r="M363" s="52" t="s">
        <v>85</v>
      </c>
      <c r="N363" s="52" t="s">
        <v>85</v>
      </c>
      <c r="O363" s="44" t="s">
        <v>87</v>
      </c>
      <c r="P363" s="113" t="s">
        <v>1500</v>
      </c>
      <c r="Q363" s="113" t="s">
        <v>85</v>
      </c>
    </row>
    <row r="364" spans="1:17" ht="169.5" customHeight="1">
      <c r="A364" s="49" t="s">
        <v>30</v>
      </c>
      <c r="B364" s="49">
        <v>45980</v>
      </c>
      <c r="C364" s="49" t="s">
        <v>106</v>
      </c>
      <c r="D364" s="50" t="s">
        <v>98</v>
      </c>
      <c r="E364" s="51" t="s">
        <v>876</v>
      </c>
      <c r="F364" s="52" t="s">
        <v>877</v>
      </c>
      <c r="G364" s="52" t="s">
        <v>878</v>
      </c>
      <c r="H364" s="52" t="s">
        <v>684</v>
      </c>
      <c r="I364" s="52" t="s">
        <v>85</v>
      </c>
      <c r="J364" s="52" t="s">
        <v>85</v>
      </c>
      <c r="K364" s="52" t="s">
        <v>84</v>
      </c>
      <c r="L364" s="60" t="s">
        <v>879</v>
      </c>
      <c r="M364" s="52" t="s">
        <v>84</v>
      </c>
      <c r="N364" s="52" t="s">
        <v>85</v>
      </c>
      <c r="O364" s="44" t="s">
        <v>87</v>
      </c>
      <c r="P364" s="44" t="s">
        <v>86</v>
      </c>
      <c r="Q364" s="113" t="s">
        <v>85</v>
      </c>
    </row>
    <row r="365" spans="1:17" ht="99.75" customHeight="1">
      <c r="A365" s="49" t="s">
        <v>30</v>
      </c>
      <c r="B365" s="49">
        <v>45982</v>
      </c>
      <c r="C365" s="49" t="s">
        <v>106</v>
      </c>
      <c r="D365" s="50" t="s">
        <v>98</v>
      </c>
      <c r="E365" s="56" t="s">
        <v>880</v>
      </c>
      <c r="F365" s="52" t="s">
        <v>500</v>
      </c>
      <c r="G365" s="52" t="s">
        <v>104</v>
      </c>
      <c r="H365" s="52" t="s">
        <v>651</v>
      </c>
      <c r="I365" s="52" t="s">
        <v>85</v>
      </c>
      <c r="J365" s="52" t="s">
        <v>84</v>
      </c>
      <c r="K365" s="52" t="s">
        <v>85</v>
      </c>
      <c r="L365" s="52" t="s">
        <v>86</v>
      </c>
      <c r="M365" s="52" t="s">
        <v>85</v>
      </c>
      <c r="N365" s="52" t="s">
        <v>85</v>
      </c>
      <c r="O365" s="44" t="s">
        <v>87</v>
      </c>
      <c r="P365" s="113" t="s">
        <v>1512</v>
      </c>
      <c r="Q365" s="113" t="s">
        <v>85</v>
      </c>
    </row>
    <row r="366" spans="1:17" ht="171.75" customHeight="1">
      <c r="A366" s="49" t="s">
        <v>30</v>
      </c>
      <c r="B366" s="49">
        <v>45984</v>
      </c>
      <c r="C366" s="49" t="s">
        <v>78</v>
      </c>
      <c r="D366" s="50" t="s">
        <v>98</v>
      </c>
      <c r="E366" s="56" t="s">
        <v>881</v>
      </c>
      <c r="F366" s="44" t="s">
        <v>451</v>
      </c>
      <c r="G366" s="44" t="s">
        <v>882</v>
      </c>
      <c r="H366" s="52" t="s">
        <v>102</v>
      </c>
      <c r="I366" s="52" t="s">
        <v>84</v>
      </c>
      <c r="J366" s="52" t="s">
        <v>84</v>
      </c>
      <c r="K366" s="52" t="s">
        <v>85</v>
      </c>
      <c r="L366" s="52" t="s">
        <v>86</v>
      </c>
      <c r="M366" s="52" t="s">
        <v>85</v>
      </c>
      <c r="N366" s="52" t="s">
        <v>85</v>
      </c>
      <c r="O366" s="44" t="s">
        <v>87</v>
      </c>
      <c r="P366" s="44" t="s">
        <v>86</v>
      </c>
      <c r="Q366" s="113" t="s">
        <v>85</v>
      </c>
    </row>
    <row r="367" spans="1:17" ht="113.25" customHeight="1">
      <c r="A367" s="49" t="s">
        <v>30</v>
      </c>
      <c r="B367" s="49">
        <v>45984</v>
      </c>
      <c r="C367" s="49" t="s">
        <v>123</v>
      </c>
      <c r="D367" s="50" t="s">
        <v>79</v>
      </c>
      <c r="E367" s="56" t="s">
        <v>883</v>
      </c>
      <c r="F367" s="52" t="s">
        <v>604</v>
      </c>
      <c r="G367" s="52" t="s">
        <v>884</v>
      </c>
      <c r="H367" s="44" t="s">
        <v>453</v>
      </c>
      <c r="I367" s="52" t="s">
        <v>84</v>
      </c>
      <c r="J367" s="52" t="s">
        <v>85</v>
      </c>
      <c r="K367" s="52" t="s">
        <v>84</v>
      </c>
      <c r="L367" s="52" t="s">
        <v>885</v>
      </c>
      <c r="M367" s="52" t="s">
        <v>85</v>
      </c>
      <c r="N367" s="52" t="s">
        <v>85</v>
      </c>
      <c r="O367" s="44" t="s">
        <v>87</v>
      </c>
      <c r="P367" s="44" t="s">
        <v>86</v>
      </c>
      <c r="Q367" s="113" t="s">
        <v>84</v>
      </c>
    </row>
    <row r="368" spans="1:17" ht="75.75" customHeight="1">
      <c r="A368" s="49" t="s">
        <v>30</v>
      </c>
      <c r="B368" s="49">
        <v>45985</v>
      </c>
      <c r="C368" s="49" t="s">
        <v>88</v>
      </c>
      <c r="D368" s="50" t="s">
        <v>98</v>
      </c>
      <c r="E368" s="56" t="s">
        <v>886</v>
      </c>
      <c r="F368" s="44" t="s">
        <v>855</v>
      </c>
      <c r="G368" s="44" t="s">
        <v>233</v>
      </c>
      <c r="H368" s="64" t="s">
        <v>126</v>
      </c>
      <c r="I368" s="52" t="s">
        <v>85</v>
      </c>
      <c r="J368" s="52" t="s">
        <v>84</v>
      </c>
      <c r="K368" s="52" t="s">
        <v>85</v>
      </c>
      <c r="L368" s="52" t="s">
        <v>86</v>
      </c>
      <c r="M368" s="52" t="s">
        <v>85</v>
      </c>
      <c r="N368" s="52" t="s">
        <v>85</v>
      </c>
      <c r="O368" s="44" t="s">
        <v>87</v>
      </c>
      <c r="P368" s="44" t="s">
        <v>86</v>
      </c>
      <c r="Q368" s="113" t="s">
        <v>85</v>
      </c>
    </row>
    <row r="369" spans="1:17" ht="62.25" customHeight="1">
      <c r="A369" s="49" t="s">
        <v>30</v>
      </c>
      <c r="B369" s="49">
        <v>45986</v>
      </c>
      <c r="C369" s="49" t="s">
        <v>190</v>
      </c>
      <c r="D369" s="50" t="s">
        <v>98</v>
      </c>
      <c r="E369" s="56" t="s">
        <v>887</v>
      </c>
      <c r="F369" s="60" t="s">
        <v>100</v>
      </c>
      <c r="G369" s="52" t="s">
        <v>856</v>
      </c>
      <c r="H369" s="52" t="s">
        <v>651</v>
      </c>
      <c r="I369" s="52" t="s">
        <v>85</v>
      </c>
      <c r="J369" s="52" t="s">
        <v>84</v>
      </c>
      <c r="K369" s="52" t="s">
        <v>85</v>
      </c>
      <c r="L369" s="52" t="s">
        <v>86</v>
      </c>
      <c r="M369" s="52" t="s">
        <v>85</v>
      </c>
      <c r="N369" s="52" t="s">
        <v>85</v>
      </c>
      <c r="O369" s="52" t="s">
        <v>118</v>
      </c>
      <c r="P369" s="113" t="s">
        <v>1497</v>
      </c>
      <c r="Q369" s="113" t="s">
        <v>85</v>
      </c>
    </row>
    <row r="370" spans="1:17" ht="74.25" customHeight="1">
      <c r="A370" s="49" t="s">
        <v>30</v>
      </c>
      <c r="B370" s="49">
        <v>45987</v>
      </c>
      <c r="C370" s="49" t="s">
        <v>78</v>
      </c>
      <c r="D370" s="50" t="s">
        <v>89</v>
      </c>
      <c r="E370" s="56" t="s">
        <v>888</v>
      </c>
      <c r="F370" s="44" t="s">
        <v>889</v>
      </c>
      <c r="G370" s="44" t="s">
        <v>890</v>
      </c>
      <c r="H370" s="52" t="s">
        <v>684</v>
      </c>
      <c r="I370" s="52" t="s">
        <v>84</v>
      </c>
      <c r="J370" s="52" t="s">
        <v>85</v>
      </c>
      <c r="K370" s="52" t="s">
        <v>84</v>
      </c>
      <c r="L370" s="64" t="s">
        <v>891</v>
      </c>
      <c r="M370" s="52" t="s">
        <v>85</v>
      </c>
      <c r="N370" s="52" t="s">
        <v>85</v>
      </c>
      <c r="O370" s="52" t="s">
        <v>118</v>
      </c>
      <c r="P370" s="44" t="s">
        <v>86</v>
      </c>
      <c r="Q370" s="113" t="s">
        <v>85</v>
      </c>
    </row>
    <row r="371" spans="1:17" ht="110.25" customHeight="1">
      <c r="A371" s="49" t="s">
        <v>30</v>
      </c>
      <c r="B371" s="49">
        <v>45987</v>
      </c>
      <c r="C371" s="49" t="s">
        <v>78</v>
      </c>
      <c r="D371" s="50" t="s">
        <v>79</v>
      </c>
      <c r="E371" s="56" t="s">
        <v>892</v>
      </c>
      <c r="F371" s="52" t="s">
        <v>350</v>
      </c>
      <c r="G371" s="52" t="s">
        <v>893</v>
      </c>
      <c r="H371" s="60" t="s">
        <v>670</v>
      </c>
      <c r="I371" s="52" t="s">
        <v>84</v>
      </c>
      <c r="J371" s="52" t="s">
        <v>85</v>
      </c>
      <c r="K371" s="52" t="s">
        <v>84</v>
      </c>
      <c r="L371" s="52" t="s">
        <v>894</v>
      </c>
      <c r="M371" s="52" t="s">
        <v>85</v>
      </c>
      <c r="N371" s="52" t="s">
        <v>85</v>
      </c>
      <c r="O371" s="44" t="s">
        <v>87</v>
      </c>
      <c r="P371" s="44" t="s">
        <v>86</v>
      </c>
      <c r="Q371" s="113" t="s">
        <v>85</v>
      </c>
    </row>
    <row r="372" spans="1:17" ht="124.5" customHeight="1">
      <c r="A372" s="49" t="s">
        <v>30</v>
      </c>
      <c r="B372" s="49">
        <v>45990</v>
      </c>
      <c r="C372" s="49" t="s">
        <v>106</v>
      </c>
      <c r="D372" s="50" t="s">
        <v>98</v>
      </c>
      <c r="E372" s="56" t="s">
        <v>895</v>
      </c>
      <c r="F372" s="52" t="s">
        <v>896</v>
      </c>
      <c r="G372" s="52" t="s">
        <v>897</v>
      </c>
      <c r="H372" s="52" t="s">
        <v>517</v>
      </c>
      <c r="I372" s="52" t="s">
        <v>85</v>
      </c>
      <c r="J372" s="52" t="s">
        <v>85</v>
      </c>
      <c r="K372" s="52" t="s">
        <v>84</v>
      </c>
      <c r="L372" s="52" t="s">
        <v>898</v>
      </c>
      <c r="M372" s="52" t="s">
        <v>85</v>
      </c>
      <c r="N372" s="52" t="s">
        <v>85</v>
      </c>
      <c r="O372" s="44" t="s">
        <v>87</v>
      </c>
      <c r="P372" s="44" t="s">
        <v>86</v>
      </c>
      <c r="Q372" s="113" t="s">
        <v>85</v>
      </c>
    </row>
    <row r="373" spans="1:17" ht="130.5" customHeight="1">
      <c r="A373" s="49" t="s">
        <v>30</v>
      </c>
      <c r="B373" s="49">
        <v>45991</v>
      </c>
      <c r="C373" s="49" t="s">
        <v>78</v>
      </c>
      <c r="D373" s="50" t="s">
        <v>136</v>
      </c>
      <c r="E373" s="56" t="s">
        <v>899</v>
      </c>
      <c r="F373" s="52" t="s">
        <v>451</v>
      </c>
      <c r="G373" s="52" t="s">
        <v>150</v>
      </c>
      <c r="H373" s="52" t="s">
        <v>117</v>
      </c>
      <c r="I373" s="52" t="s">
        <v>85</v>
      </c>
      <c r="J373" s="52" t="s">
        <v>84</v>
      </c>
      <c r="K373" s="52" t="s">
        <v>85</v>
      </c>
      <c r="L373" s="52" t="s">
        <v>86</v>
      </c>
      <c r="M373" s="52" t="s">
        <v>85</v>
      </c>
      <c r="N373" s="52" t="s">
        <v>85</v>
      </c>
      <c r="O373" s="44" t="s">
        <v>87</v>
      </c>
      <c r="P373" s="44" t="s">
        <v>86</v>
      </c>
      <c r="Q373" s="113" t="s">
        <v>85</v>
      </c>
    </row>
    <row r="374" spans="1:17" ht="112.5" customHeight="1">
      <c r="A374" s="49" t="s">
        <v>30</v>
      </c>
      <c r="B374" s="49">
        <v>45991</v>
      </c>
      <c r="C374" s="49" t="s">
        <v>106</v>
      </c>
      <c r="D374" s="50" t="s">
        <v>136</v>
      </c>
      <c r="E374" s="56" t="s">
        <v>900</v>
      </c>
      <c r="F374" s="52" t="s">
        <v>889</v>
      </c>
      <c r="G374" s="52" t="s">
        <v>901</v>
      </c>
      <c r="H374" s="52" t="s">
        <v>405</v>
      </c>
      <c r="I374" s="52" t="s">
        <v>85</v>
      </c>
      <c r="J374" s="52" t="s">
        <v>84</v>
      </c>
      <c r="K374" s="52" t="s">
        <v>85</v>
      </c>
      <c r="L374" s="52" t="s">
        <v>86</v>
      </c>
      <c r="M374" s="52" t="s">
        <v>85</v>
      </c>
      <c r="N374" s="52" t="s">
        <v>85</v>
      </c>
      <c r="O374" s="44" t="s">
        <v>87</v>
      </c>
      <c r="P374" s="113" t="s">
        <v>1497</v>
      </c>
      <c r="Q374" s="113" t="s">
        <v>85</v>
      </c>
    </row>
    <row r="375" spans="1:17" ht="96" customHeight="1">
      <c r="A375" s="49" t="s">
        <v>30</v>
      </c>
      <c r="B375" s="49">
        <v>45991</v>
      </c>
      <c r="C375" s="49" t="s">
        <v>190</v>
      </c>
      <c r="D375" s="50" t="s">
        <v>98</v>
      </c>
      <c r="E375" s="56" t="s">
        <v>902</v>
      </c>
      <c r="F375" s="52" t="s">
        <v>451</v>
      </c>
      <c r="G375" s="52" t="s">
        <v>903</v>
      </c>
      <c r="H375" s="52" t="s">
        <v>651</v>
      </c>
      <c r="I375" s="52" t="s">
        <v>84</v>
      </c>
      <c r="J375" s="52" t="s">
        <v>84</v>
      </c>
      <c r="K375" s="52" t="s">
        <v>85</v>
      </c>
      <c r="L375" s="52" t="s">
        <v>86</v>
      </c>
      <c r="M375" s="52" t="s">
        <v>85</v>
      </c>
      <c r="N375" s="52" t="s">
        <v>85</v>
      </c>
      <c r="O375" s="52" t="s">
        <v>118</v>
      </c>
      <c r="P375" s="113" t="s">
        <v>86</v>
      </c>
      <c r="Q375" s="113" t="s">
        <v>85</v>
      </c>
    </row>
    <row r="376" spans="1:17" ht="64.5" customHeight="1">
      <c r="A376" s="49" t="s">
        <v>30</v>
      </c>
      <c r="B376" s="49">
        <v>45991</v>
      </c>
      <c r="C376" s="49" t="s">
        <v>190</v>
      </c>
      <c r="D376" s="50" t="s">
        <v>98</v>
      </c>
      <c r="E376" s="56" t="s">
        <v>904</v>
      </c>
      <c r="F376" s="52" t="s">
        <v>905</v>
      </c>
      <c r="G376" s="52" t="s">
        <v>906</v>
      </c>
      <c r="H376" s="52" t="s">
        <v>102</v>
      </c>
      <c r="I376" s="52" t="s">
        <v>85</v>
      </c>
      <c r="J376" s="52" t="s">
        <v>84</v>
      </c>
      <c r="K376" s="52" t="s">
        <v>85</v>
      </c>
      <c r="L376" s="52" t="s">
        <v>86</v>
      </c>
      <c r="M376" s="52" t="s">
        <v>85</v>
      </c>
      <c r="N376" s="52" t="s">
        <v>85</v>
      </c>
      <c r="O376" s="44" t="s">
        <v>118</v>
      </c>
      <c r="P376" s="113" t="s">
        <v>1505</v>
      </c>
      <c r="Q376" s="113" t="s">
        <v>85</v>
      </c>
    </row>
    <row r="377" spans="1:17" ht="187.5" customHeight="1">
      <c r="A377" s="49" t="s">
        <v>1</v>
      </c>
      <c r="B377" s="49">
        <v>45992</v>
      </c>
      <c r="C377" s="49" t="s">
        <v>78</v>
      </c>
      <c r="D377" s="52" t="s">
        <v>240</v>
      </c>
      <c r="E377" s="56" t="s">
        <v>907</v>
      </c>
      <c r="F377" s="52" t="s">
        <v>472</v>
      </c>
      <c r="G377" s="52" t="s">
        <v>908</v>
      </c>
      <c r="H377" s="52" t="s">
        <v>453</v>
      </c>
      <c r="I377" s="52" t="s">
        <v>84</v>
      </c>
      <c r="J377" s="52" t="s">
        <v>84</v>
      </c>
      <c r="K377" s="52" t="s">
        <v>85</v>
      </c>
      <c r="L377" s="52" t="s">
        <v>86</v>
      </c>
      <c r="M377" s="52" t="s">
        <v>85</v>
      </c>
      <c r="N377" s="52" t="s">
        <v>85</v>
      </c>
      <c r="O377" s="44" t="s">
        <v>87</v>
      </c>
      <c r="P377" s="113" t="s">
        <v>184</v>
      </c>
      <c r="Q377" s="113" t="s">
        <v>85</v>
      </c>
    </row>
    <row r="378" spans="1:17" ht="137.25" customHeight="1">
      <c r="A378" s="49" t="s">
        <v>1</v>
      </c>
      <c r="B378" s="49">
        <v>45995</v>
      </c>
      <c r="C378" s="49" t="s">
        <v>88</v>
      </c>
      <c r="D378" s="50" t="s">
        <v>83</v>
      </c>
      <c r="E378" s="56" t="s">
        <v>909</v>
      </c>
      <c r="F378" s="52" t="s">
        <v>81</v>
      </c>
      <c r="G378" s="52" t="s">
        <v>910</v>
      </c>
      <c r="H378" s="52" t="s">
        <v>405</v>
      </c>
      <c r="I378" s="52" t="s">
        <v>85</v>
      </c>
      <c r="J378" s="52" t="s">
        <v>85</v>
      </c>
      <c r="K378" s="52" t="s">
        <v>84</v>
      </c>
      <c r="L378" s="52" t="s">
        <v>911</v>
      </c>
      <c r="M378" s="52" t="s">
        <v>85</v>
      </c>
      <c r="N378" s="52" t="s">
        <v>85</v>
      </c>
      <c r="O378" s="44" t="s">
        <v>87</v>
      </c>
      <c r="P378" s="113" t="s">
        <v>86</v>
      </c>
      <c r="Q378" s="113" t="s">
        <v>85</v>
      </c>
    </row>
    <row r="379" spans="1:17" ht="140.25" customHeight="1">
      <c r="A379" s="49" t="s">
        <v>1</v>
      </c>
      <c r="B379" s="49">
        <v>45996</v>
      </c>
      <c r="C379" s="49" t="s">
        <v>106</v>
      </c>
      <c r="D379" s="50" t="s">
        <v>83</v>
      </c>
      <c r="E379" s="56" t="s">
        <v>912</v>
      </c>
      <c r="F379" s="52" t="s">
        <v>350</v>
      </c>
      <c r="G379" s="52" t="s">
        <v>913</v>
      </c>
      <c r="H379" s="52" t="s">
        <v>126</v>
      </c>
      <c r="I379" s="52" t="s">
        <v>85</v>
      </c>
      <c r="J379" s="52" t="s">
        <v>84</v>
      </c>
      <c r="K379" s="52" t="s">
        <v>85</v>
      </c>
      <c r="L379" s="52" t="s">
        <v>86</v>
      </c>
      <c r="M379" s="52" t="s">
        <v>85</v>
      </c>
      <c r="N379" s="52" t="s">
        <v>85</v>
      </c>
      <c r="O379" s="44" t="s">
        <v>87</v>
      </c>
      <c r="P379" s="113" t="s">
        <v>86</v>
      </c>
      <c r="Q379" s="113" t="s">
        <v>85</v>
      </c>
    </row>
    <row r="380" spans="1:17" ht="98.25" customHeight="1">
      <c r="A380" s="49" t="s">
        <v>1</v>
      </c>
      <c r="B380" s="49">
        <v>45998</v>
      </c>
      <c r="C380" s="49" t="s">
        <v>78</v>
      </c>
      <c r="D380" s="50" t="s">
        <v>83</v>
      </c>
      <c r="E380" s="51" t="s">
        <v>914</v>
      </c>
      <c r="F380" s="52" t="s">
        <v>81</v>
      </c>
      <c r="G380" s="52" t="s">
        <v>915</v>
      </c>
      <c r="H380" s="52" t="s">
        <v>799</v>
      </c>
      <c r="I380" s="52" t="s">
        <v>85</v>
      </c>
      <c r="J380" s="52" t="s">
        <v>84</v>
      </c>
      <c r="K380" s="52" t="s">
        <v>85</v>
      </c>
      <c r="L380" s="52" t="s">
        <v>86</v>
      </c>
      <c r="M380" s="52" t="s">
        <v>85</v>
      </c>
      <c r="N380" s="52" t="s">
        <v>85</v>
      </c>
      <c r="O380" s="44" t="s">
        <v>87</v>
      </c>
      <c r="P380" s="113" t="s">
        <v>86</v>
      </c>
      <c r="Q380" s="113" t="s">
        <v>85</v>
      </c>
    </row>
    <row r="381" spans="1:17" ht="98.25" customHeight="1">
      <c r="A381" s="49" t="s">
        <v>1</v>
      </c>
      <c r="B381" s="49">
        <v>46000</v>
      </c>
      <c r="C381" s="49" t="s">
        <v>78</v>
      </c>
      <c r="D381" s="50" t="s">
        <v>83</v>
      </c>
      <c r="E381" s="51" t="s">
        <v>916</v>
      </c>
      <c r="F381" s="52" t="s">
        <v>451</v>
      </c>
      <c r="G381" s="52" t="s">
        <v>917</v>
      </c>
      <c r="H381" s="52" t="s">
        <v>102</v>
      </c>
      <c r="I381" s="52" t="s">
        <v>85</v>
      </c>
      <c r="J381" s="52" t="s">
        <v>84</v>
      </c>
      <c r="K381" s="52" t="s">
        <v>85</v>
      </c>
      <c r="L381" s="52" t="s">
        <v>86</v>
      </c>
      <c r="M381" s="52" t="s">
        <v>85</v>
      </c>
      <c r="N381" s="52" t="s">
        <v>84</v>
      </c>
      <c r="O381" s="44" t="s">
        <v>87</v>
      </c>
      <c r="P381" s="113" t="s">
        <v>86</v>
      </c>
      <c r="Q381" s="113" t="s">
        <v>85</v>
      </c>
    </row>
    <row r="382" spans="1:17" ht="112.5" customHeight="1">
      <c r="A382" s="49" t="s">
        <v>1</v>
      </c>
      <c r="B382" s="49">
        <v>46000</v>
      </c>
      <c r="C382" s="49" t="s">
        <v>123</v>
      </c>
      <c r="D382" s="50" t="s">
        <v>83</v>
      </c>
      <c r="E382" s="56" t="s">
        <v>918</v>
      </c>
      <c r="F382" s="52" t="s">
        <v>451</v>
      </c>
      <c r="G382" s="52" t="s">
        <v>919</v>
      </c>
      <c r="H382" s="52" t="s">
        <v>453</v>
      </c>
      <c r="I382" s="52" t="s">
        <v>84</v>
      </c>
      <c r="J382" s="52" t="s">
        <v>85</v>
      </c>
      <c r="K382" s="52" t="s">
        <v>84</v>
      </c>
      <c r="L382" s="52" t="s">
        <v>920</v>
      </c>
      <c r="M382" s="52" t="s">
        <v>85</v>
      </c>
      <c r="N382" s="52" t="s">
        <v>85</v>
      </c>
      <c r="O382" s="44" t="s">
        <v>87</v>
      </c>
      <c r="P382" s="113" t="s">
        <v>86</v>
      </c>
      <c r="Q382" s="113" t="s">
        <v>85</v>
      </c>
    </row>
    <row r="383" spans="1:17" ht="57" customHeight="1">
      <c r="A383" s="49" t="s">
        <v>1</v>
      </c>
      <c r="B383" s="49">
        <v>46001</v>
      </c>
      <c r="C383" s="49" t="s">
        <v>78</v>
      </c>
      <c r="D383" s="50" t="s">
        <v>79</v>
      </c>
      <c r="E383" s="51" t="s">
        <v>921</v>
      </c>
      <c r="F383" s="52" t="s">
        <v>604</v>
      </c>
      <c r="G383" s="52" t="s">
        <v>922</v>
      </c>
      <c r="H383" s="52" t="s">
        <v>670</v>
      </c>
      <c r="I383" s="52" t="s">
        <v>85</v>
      </c>
      <c r="J383" s="52" t="s">
        <v>85</v>
      </c>
      <c r="K383" s="52" t="s">
        <v>84</v>
      </c>
      <c r="L383" s="52" t="s">
        <v>923</v>
      </c>
      <c r="M383" s="52" t="s">
        <v>85</v>
      </c>
      <c r="N383" s="52" t="s">
        <v>85</v>
      </c>
      <c r="O383" s="44" t="s">
        <v>87</v>
      </c>
      <c r="P383" s="113" t="s">
        <v>86</v>
      </c>
      <c r="Q383" s="113" t="s">
        <v>84</v>
      </c>
    </row>
    <row r="384" spans="1:17" ht="118.5" customHeight="1">
      <c r="A384" s="49" t="s">
        <v>1</v>
      </c>
      <c r="B384" s="49">
        <v>46001</v>
      </c>
      <c r="C384" s="49" t="s">
        <v>78</v>
      </c>
      <c r="D384" s="50" t="s">
        <v>79</v>
      </c>
      <c r="E384" s="56" t="s">
        <v>924</v>
      </c>
      <c r="F384" s="52" t="s">
        <v>604</v>
      </c>
      <c r="G384" s="52" t="s">
        <v>925</v>
      </c>
      <c r="H384" s="52" t="s">
        <v>670</v>
      </c>
      <c r="I384" s="52" t="s">
        <v>84</v>
      </c>
      <c r="J384" s="52" t="s">
        <v>85</v>
      </c>
      <c r="K384" s="52" t="s">
        <v>84</v>
      </c>
      <c r="L384" s="52" t="s">
        <v>926</v>
      </c>
      <c r="M384" s="52" t="s">
        <v>85</v>
      </c>
      <c r="N384" s="52" t="s">
        <v>85</v>
      </c>
      <c r="O384" s="44" t="s">
        <v>87</v>
      </c>
      <c r="P384" s="113" t="s">
        <v>86</v>
      </c>
      <c r="Q384" s="113" t="s">
        <v>85</v>
      </c>
    </row>
    <row r="385" spans="1:17" ht="92.25" customHeight="1">
      <c r="A385" s="49" t="s">
        <v>1</v>
      </c>
      <c r="B385" s="49">
        <v>46003</v>
      </c>
      <c r="C385" s="49" t="s">
        <v>123</v>
      </c>
      <c r="D385" s="50" t="s">
        <v>83</v>
      </c>
      <c r="E385" s="51" t="s">
        <v>927</v>
      </c>
      <c r="F385" s="52" t="s">
        <v>451</v>
      </c>
      <c r="G385" s="52" t="s">
        <v>150</v>
      </c>
      <c r="H385" s="52" t="s">
        <v>117</v>
      </c>
      <c r="I385" s="52" t="s">
        <v>85</v>
      </c>
      <c r="J385" s="52" t="s">
        <v>84</v>
      </c>
      <c r="K385" s="52" t="s">
        <v>85</v>
      </c>
      <c r="L385" s="52" t="s">
        <v>86</v>
      </c>
      <c r="M385" s="52" t="s">
        <v>85</v>
      </c>
      <c r="N385" s="52" t="s">
        <v>84</v>
      </c>
      <c r="O385" s="44" t="s">
        <v>87</v>
      </c>
      <c r="P385" s="113" t="s">
        <v>86</v>
      </c>
      <c r="Q385" s="113" t="s">
        <v>85</v>
      </c>
    </row>
    <row r="386" spans="1:17" ht="136.5" customHeight="1">
      <c r="A386" s="49" t="s">
        <v>1</v>
      </c>
      <c r="B386" s="49">
        <v>46004</v>
      </c>
      <c r="C386" s="49" t="s">
        <v>106</v>
      </c>
      <c r="D386" s="50" t="s">
        <v>83</v>
      </c>
      <c r="E386" s="51" t="s">
        <v>928</v>
      </c>
      <c r="F386" s="52" t="s">
        <v>472</v>
      </c>
      <c r="G386" s="52" t="s">
        <v>537</v>
      </c>
      <c r="H386" s="52" t="s">
        <v>405</v>
      </c>
      <c r="I386" s="52" t="s">
        <v>84</v>
      </c>
      <c r="J386" s="52" t="s">
        <v>84</v>
      </c>
      <c r="K386" s="52" t="s">
        <v>85</v>
      </c>
      <c r="L386" s="52" t="s">
        <v>86</v>
      </c>
      <c r="M386" s="52" t="s">
        <v>85</v>
      </c>
      <c r="N386" s="52" t="s">
        <v>85</v>
      </c>
      <c r="O386" s="44" t="s">
        <v>87</v>
      </c>
      <c r="P386" s="113" t="s">
        <v>1507</v>
      </c>
      <c r="Q386" s="113" t="s">
        <v>85</v>
      </c>
    </row>
    <row r="387" spans="1:17" ht="180.75" customHeight="1">
      <c r="A387" s="49" t="s">
        <v>1</v>
      </c>
      <c r="B387" s="49">
        <v>46004</v>
      </c>
      <c r="C387" s="49" t="s">
        <v>88</v>
      </c>
      <c r="D387" s="50" t="s">
        <v>83</v>
      </c>
      <c r="E387" s="51" t="s">
        <v>929</v>
      </c>
      <c r="F387" s="52" t="s">
        <v>451</v>
      </c>
      <c r="G387" s="52" t="s">
        <v>930</v>
      </c>
      <c r="H387" s="52" t="s">
        <v>651</v>
      </c>
      <c r="I387" s="52" t="s">
        <v>85</v>
      </c>
      <c r="J387" s="52" t="s">
        <v>84</v>
      </c>
      <c r="K387" s="52" t="s">
        <v>85</v>
      </c>
      <c r="L387" s="52" t="s">
        <v>86</v>
      </c>
      <c r="M387" s="52" t="s">
        <v>85</v>
      </c>
      <c r="N387" s="52" t="s">
        <v>84</v>
      </c>
      <c r="O387" s="44" t="s">
        <v>87</v>
      </c>
      <c r="P387" s="113" t="s">
        <v>86</v>
      </c>
      <c r="Q387" s="113" t="s">
        <v>85</v>
      </c>
    </row>
    <row r="388" spans="1:17" ht="124.5" customHeight="1">
      <c r="A388" s="49" t="s">
        <v>1</v>
      </c>
      <c r="B388" s="49">
        <v>46008</v>
      </c>
      <c r="C388" s="49" t="s">
        <v>106</v>
      </c>
      <c r="D388" s="50" t="s">
        <v>83</v>
      </c>
      <c r="E388" s="56" t="s">
        <v>931</v>
      </c>
      <c r="F388" s="52" t="s">
        <v>618</v>
      </c>
      <c r="G388" s="52" t="s">
        <v>932</v>
      </c>
      <c r="H388" s="52" t="s">
        <v>453</v>
      </c>
      <c r="I388" s="52" t="s">
        <v>84</v>
      </c>
      <c r="J388" s="52" t="s">
        <v>85</v>
      </c>
      <c r="K388" s="52" t="s">
        <v>84</v>
      </c>
      <c r="L388" s="52" t="s">
        <v>933</v>
      </c>
      <c r="M388" s="52" t="s">
        <v>85</v>
      </c>
      <c r="N388" s="52" t="s">
        <v>85</v>
      </c>
      <c r="O388" s="44" t="s">
        <v>87</v>
      </c>
      <c r="P388" s="113" t="s">
        <v>86</v>
      </c>
      <c r="Q388" s="113" t="s">
        <v>85</v>
      </c>
    </row>
    <row r="389" spans="1:17" ht="147.75" customHeight="1">
      <c r="A389" s="49" t="s">
        <v>1</v>
      </c>
      <c r="B389" s="49">
        <v>46008</v>
      </c>
      <c r="C389" s="49" t="s">
        <v>106</v>
      </c>
      <c r="D389" s="50" t="s">
        <v>98</v>
      </c>
      <c r="E389" s="56" t="s">
        <v>934</v>
      </c>
      <c r="F389" s="52" t="s">
        <v>372</v>
      </c>
      <c r="G389" s="52" t="s">
        <v>935</v>
      </c>
      <c r="H389" s="52" t="s">
        <v>684</v>
      </c>
      <c r="I389" s="52" t="s">
        <v>85</v>
      </c>
      <c r="J389" s="52" t="s">
        <v>84</v>
      </c>
      <c r="K389" s="52" t="s">
        <v>85</v>
      </c>
      <c r="L389" s="52" t="s">
        <v>86</v>
      </c>
      <c r="M389" s="52" t="s">
        <v>85</v>
      </c>
      <c r="N389" s="52" t="s">
        <v>85</v>
      </c>
      <c r="O389" s="52" t="s">
        <v>118</v>
      </c>
      <c r="P389" s="113" t="s">
        <v>1497</v>
      </c>
      <c r="Q389" s="113" t="s">
        <v>85</v>
      </c>
    </row>
    <row r="390" spans="1:17" ht="134.25" customHeight="1">
      <c r="A390" s="49" t="s">
        <v>1</v>
      </c>
      <c r="B390" s="49">
        <v>46009</v>
      </c>
      <c r="C390" s="49" t="s">
        <v>78</v>
      </c>
      <c r="D390" s="50" t="s">
        <v>98</v>
      </c>
      <c r="E390" s="51" t="s">
        <v>936</v>
      </c>
      <c r="F390" s="60" t="s">
        <v>100</v>
      </c>
      <c r="G390" s="52" t="s">
        <v>937</v>
      </c>
      <c r="H390" s="52" t="s">
        <v>126</v>
      </c>
      <c r="I390" s="52" t="s">
        <v>85</v>
      </c>
      <c r="J390" s="52" t="s">
        <v>84</v>
      </c>
      <c r="K390" s="52" t="s">
        <v>85</v>
      </c>
      <c r="L390" s="52" t="s">
        <v>86</v>
      </c>
      <c r="M390" s="52" t="s">
        <v>85</v>
      </c>
      <c r="N390" s="52" t="s">
        <v>85</v>
      </c>
      <c r="O390" s="44" t="s">
        <v>87</v>
      </c>
      <c r="P390" s="44" t="s">
        <v>86</v>
      </c>
      <c r="Q390" s="113" t="s">
        <v>85</v>
      </c>
    </row>
    <row r="391" spans="1:17" ht="99.75" customHeight="1">
      <c r="A391" s="49" t="s">
        <v>1</v>
      </c>
      <c r="B391" s="49">
        <v>46011</v>
      </c>
      <c r="C391" s="49" t="s">
        <v>190</v>
      </c>
      <c r="D391" s="50" t="s">
        <v>98</v>
      </c>
      <c r="E391" s="56" t="s">
        <v>938</v>
      </c>
      <c r="F391" s="52" t="s">
        <v>939</v>
      </c>
      <c r="G391" s="52" t="s">
        <v>940</v>
      </c>
      <c r="H391" s="52" t="s">
        <v>670</v>
      </c>
      <c r="I391" s="52" t="s">
        <v>85</v>
      </c>
      <c r="J391" s="52" t="s">
        <v>84</v>
      </c>
      <c r="K391" s="52" t="s">
        <v>85</v>
      </c>
      <c r="L391" s="52" t="s">
        <v>86</v>
      </c>
      <c r="M391" s="52" t="s">
        <v>85</v>
      </c>
      <c r="N391" s="52" t="s">
        <v>85</v>
      </c>
      <c r="O391" s="52" t="s">
        <v>118</v>
      </c>
      <c r="P391" s="113" t="s">
        <v>1498</v>
      </c>
      <c r="Q391" s="113" t="s">
        <v>85</v>
      </c>
    </row>
    <row r="392" spans="1:17" ht="90" customHeight="1">
      <c r="A392" s="49" t="s">
        <v>1</v>
      </c>
      <c r="B392" s="49">
        <v>46012</v>
      </c>
      <c r="C392" s="49" t="s">
        <v>78</v>
      </c>
      <c r="D392" s="50" t="s">
        <v>79</v>
      </c>
      <c r="E392" s="51" t="s">
        <v>941</v>
      </c>
      <c r="F392" s="52" t="s">
        <v>249</v>
      </c>
      <c r="G392" s="52" t="s">
        <v>942</v>
      </c>
      <c r="H392" s="60" t="s">
        <v>114</v>
      </c>
      <c r="I392" s="52" t="s">
        <v>84</v>
      </c>
      <c r="J392" s="52" t="s">
        <v>84</v>
      </c>
      <c r="K392" s="52" t="s">
        <v>85</v>
      </c>
      <c r="L392" s="52" t="s">
        <v>86</v>
      </c>
      <c r="M392" s="52" t="s">
        <v>85</v>
      </c>
      <c r="N392" s="52" t="s">
        <v>85</v>
      </c>
      <c r="O392" s="44" t="s">
        <v>87</v>
      </c>
      <c r="P392" s="113" t="s">
        <v>1511</v>
      </c>
      <c r="Q392" s="113" t="s">
        <v>85</v>
      </c>
    </row>
    <row r="393" spans="1:17" ht="124.5" customHeight="1">
      <c r="A393" s="49" t="s">
        <v>1</v>
      </c>
      <c r="B393" s="49">
        <v>46012</v>
      </c>
      <c r="C393" s="49" t="s">
        <v>88</v>
      </c>
      <c r="D393" s="50" t="s">
        <v>79</v>
      </c>
      <c r="E393" s="51" t="s">
        <v>943</v>
      </c>
      <c r="F393" s="52" t="s">
        <v>451</v>
      </c>
      <c r="G393" s="52" t="s">
        <v>944</v>
      </c>
      <c r="H393" s="52" t="s">
        <v>517</v>
      </c>
      <c r="I393" s="52" t="s">
        <v>84</v>
      </c>
      <c r="J393" s="52" t="s">
        <v>84</v>
      </c>
      <c r="K393" s="52" t="s">
        <v>85</v>
      </c>
      <c r="L393" s="52" t="s">
        <v>86</v>
      </c>
      <c r="M393" s="52" t="s">
        <v>85</v>
      </c>
      <c r="N393" s="52" t="s">
        <v>85</v>
      </c>
      <c r="O393" s="44" t="s">
        <v>87</v>
      </c>
      <c r="P393" s="44" t="s">
        <v>86</v>
      </c>
      <c r="Q393" s="113" t="s">
        <v>85</v>
      </c>
    </row>
    <row r="394" spans="1:17" ht="124.5" customHeight="1">
      <c r="A394" s="49" t="s">
        <v>1</v>
      </c>
      <c r="B394" s="49">
        <v>46014</v>
      </c>
      <c r="C394" s="49" t="s">
        <v>78</v>
      </c>
      <c r="D394" s="50" t="s">
        <v>83</v>
      </c>
      <c r="E394" s="56" t="s">
        <v>945</v>
      </c>
      <c r="F394" s="52" t="s">
        <v>372</v>
      </c>
      <c r="G394" s="52" t="s">
        <v>946</v>
      </c>
      <c r="H394" s="52" t="s">
        <v>405</v>
      </c>
      <c r="I394" s="52" t="s">
        <v>85</v>
      </c>
      <c r="J394" s="52" t="s">
        <v>84</v>
      </c>
      <c r="K394" s="52" t="s">
        <v>85</v>
      </c>
      <c r="L394" s="52" t="s">
        <v>86</v>
      </c>
      <c r="M394" s="52" t="s">
        <v>85</v>
      </c>
      <c r="N394" s="52" t="s">
        <v>85</v>
      </c>
      <c r="O394" s="44" t="s">
        <v>87</v>
      </c>
      <c r="P394" s="113" t="s">
        <v>1503</v>
      </c>
      <c r="Q394" s="113" t="s">
        <v>85</v>
      </c>
    </row>
    <row r="395" spans="1:17" ht="135" customHeight="1">
      <c r="A395" s="49" t="s">
        <v>1</v>
      </c>
      <c r="B395" s="49">
        <v>46015</v>
      </c>
      <c r="C395" s="49" t="s">
        <v>190</v>
      </c>
      <c r="D395" s="50" t="s">
        <v>136</v>
      </c>
      <c r="E395" s="56" t="s">
        <v>947</v>
      </c>
      <c r="F395" s="52" t="s">
        <v>350</v>
      </c>
      <c r="G395" s="52" t="s">
        <v>340</v>
      </c>
      <c r="H395" s="52" t="s">
        <v>453</v>
      </c>
      <c r="I395" s="52" t="s">
        <v>85</v>
      </c>
      <c r="J395" s="52" t="s">
        <v>85</v>
      </c>
      <c r="K395" s="52" t="s">
        <v>84</v>
      </c>
      <c r="L395" s="52" t="s">
        <v>948</v>
      </c>
      <c r="M395" s="52" t="s">
        <v>85</v>
      </c>
      <c r="N395" s="52" t="s">
        <v>85</v>
      </c>
      <c r="O395" s="52" t="s">
        <v>118</v>
      </c>
      <c r="P395" s="44" t="s">
        <v>86</v>
      </c>
      <c r="Q395" s="113" t="s">
        <v>85</v>
      </c>
    </row>
    <row r="396" spans="1:17" ht="148.5" customHeight="1">
      <c r="A396" s="49" t="s">
        <v>1</v>
      </c>
      <c r="B396" s="49">
        <v>46022</v>
      </c>
      <c r="C396" s="49" t="s">
        <v>78</v>
      </c>
      <c r="D396" s="50" t="s">
        <v>98</v>
      </c>
      <c r="E396" s="56" t="s">
        <v>949</v>
      </c>
      <c r="F396" s="52" t="s">
        <v>497</v>
      </c>
      <c r="G396" s="52" t="s">
        <v>950</v>
      </c>
      <c r="H396" s="52" t="s">
        <v>126</v>
      </c>
      <c r="I396" s="52" t="s">
        <v>85</v>
      </c>
      <c r="J396" s="52" t="s">
        <v>84</v>
      </c>
      <c r="K396" s="52" t="s">
        <v>85</v>
      </c>
      <c r="L396" s="52" t="s">
        <v>86</v>
      </c>
      <c r="M396" s="52" t="s">
        <v>85</v>
      </c>
      <c r="N396" s="52" t="s">
        <v>85</v>
      </c>
      <c r="O396" s="52" t="s">
        <v>118</v>
      </c>
      <c r="P396" s="113" t="s">
        <v>1507</v>
      </c>
      <c r="Q396" s="113" t="s">
        <v>85</v>
      </c>
    </row>
    <row r="397" spans="1:17" ht="99.75" customHeight="1">
      <c r="A397" s="49" t="s">
        <v>31</v>
      </c>
      <c r="B397" s="49">
        <v>46023</v>
      </c>
      <c r="C397" s="49" t="s">
        <v>78</v>
      </c>
      <c r="D397" s="50" t="s">
        <v>98</v>
      </c>
      <c r="E397" s="51" t="s">
        <v>951</v>
      </c>
      <c r="F397" s="52" t="s">
        <v>372</v>
      </c>
      <c r="G397" s="52" t="s">
        <v>952</v>
      </c>
      <c r="H397" s="52" t="s">
        <v>102</v>
      </c>
      <c r="I397" s="52" t="s">
        <v>85</v>
      </c>
      <c r="J397" s="52" t="s">
        <v>84</v>
      </c>
      <c r="K397" s="52" t="s">
        <v>85</v>
      </c>
      <c r="L397" s="52" t="s">
        <v>86</v>
      </c>
      <c r="M397" s="52" t="s">
        <v>85</v>
      </c>
      <c r="N397" s="52" t="s">
        <v>85</v>
      </c>
      <c r="O397" s="44" t="s">
        <v>87</v>
      </c>
      <c r="P397" s="44" t="s">
        <v>86</v>
      </c>
      <c r="Q397" s="113" t="s">
        <v>85</v>
      </c>
    </row>
    <row r="398" spans="1:17" ht="163.5" customHeight="1">
      <c r="A398" s="49" t="s">
        <v>31</v>
      </c>
      <c r="B398" s="49">
        <v>46025</v>
      </c>
      <c r="C398" s="49" t="s">
        <v>78</v>
      </c>
      <c r="D398" s="50" t="s">
        <v>89</v>
      </c>
      <c r="E398" s="56" t="s">
        <v>953</v>
      </c>
      <c r="F398" s="52" t="s">
        <v>451</v>
      </c>
      <c r="G398" s="52" t="s">
        <v>954</v>
      </c>
      <c r="H398" s="52" t="s">
        <v>799</v>
      </c>
      <c r="I398" s="52" t="s">
        <v>85</v>
      </c>
      <c r="J398" s="52" t="s">
        <v>85</v>
      </c>
      <c r="K398" s="52" t="s">
        <v>84</v>
      </c>
      <c r="L398" s="52" t="s">
        <v>955</v>
      </c>
      <c r="M398" s="52" t="s">
        <v>85</v>
      </c>
      <c r="N398" s="52" t="s">
        <v>85</v>
      </c>
      <c r="O398" s="44" t="s">
        <v>87</v>
      </c>
      <c r="P398" s="44" t="s">
        <v>86</v>
      </c>
      <c r="Q398" s="113" t="s">
        <v>85</v>
      </c>
    </row>
    <row r="399" spans="1:17" ht="75" customHeight="1">
      <c r="A399" s="49" t="s">
        <v>31</v>
      </c>
      <c r="B399" s="49">
        <v>46026</v>
      </c>
      <c r="C399" s="49" t="s">
        <v>88</v>
      </c>
      <c r="D399" s="50" t="s">
        <v>98</v>
      </c>
      <c r="E399" s="56" t="s">
        <v>956</v>
      </c>
      <c r="F399" s="52" t="s">
        <v>500</v>
      </c>
      <c r="G399" s="52" t="s">
        <v>957</v>
      </c>
      <c r="H399" s="52" t="s">
        <v>405</v>
      </c>
      <c r="I399" s="52" t="s">
        <v>85</v>
      </c>
      <c r="J399" s="52" t="s">
        <v>84</v>
      </c>
      <c r="K399" s="52" t="s">
        <v>85</v>
      </c>
      <c r="L399" s="52" t="s">
        <v>86</v>
      </c>
      <c r="M399" s="52" t="s">
        <v>85</v>
      </c>
      <c r="N399" s="52" t="s">
        <v>85</v>
      </c>
      <c r="O399" s="52" t="s">
        <v>118</v>
      </c>
      <c r="P399" s="44" t="s">
        <v>86</v>
      </c>
      <c r="Q399" s="113" t="s">
        <v>85</v>
      </c>
    </row>
    <row r="400" spans="1:17" ht="204.75" customHeight="1">
      <c r="A400" s="49" t="s">
        <v>31</v>
      </c>
      <c r="B400" s="49">
        <v>46027</v>
      </c>
      <c r="C400" s="49" t="s">
        <v>78</v>
      </c>
      <c r="D400" s="50" t="s">
        <v>89</v>
      </c>
      <c r="E400" s="56" t="s">
        <v>958</v>
      </c>
      <c r="F400" s="52" t="s">
        <v>451</v>
      </c>
      <c r="G400" s="52" t="s">
        <v>959</v>
      </c>
      <c r="H400" s="52" t="s">
        <v>799</v>
      </c>
      <c r="I400" s="52" t="s">
        <v>84</v>
      </c>
      <c r="J400" s="52" t="s">
        <v>85</v>
      </c>
      <c r="K400" s="52" t="s">
        <v>84</v>
      </c>
      <c r="L400" s="52" t="s">
        <v>960</v>
      </c>
      <c r="M400" s="52" t="s">
        <v>85</v>
      </c>
      <c r="N400" s="52" t="s">
        <v>85</v>
      </c>
      <c r="O400" s="44" t="s">
        <v>87</v>
      </c>
      <c r="P400" s="44" t="s">
        <v>86</v>
      </c>
      <c r="Q400" s="113" t="s">
        <v>85</v>
      </c>
    </row>
    <row r="401" spans="1:17" ht="108" customHeight="1">
      <c r="A401" s="49" t="s">
        <v>31</v>
      </c>
      <c r="B401" s="49">
        <v>46028</v>
      </c>
      <c r="C401" s="49" t="s">
        <v>106</v>
      </c>
      <c r="D401" s="50" t="s">
        <v>79</v>
      </c>
      <c r="E401" s="56" t="s">
        <v>961</v>
      </c>
      <c r="F401" s="52" t="s">
        <v>350</v>
      </c>
      <c r="G401" s="52" t="s">
        <v>962</v>
      </c>
      <c r="H401" s="52" t="s">
        <v>670</v>
      </c>
      <c r="I401" s="52" t="s">
        <v>85</v>
      </c>
      <c r="J401" s="52" t="s">
        <v>85</v>
      </c>
      <c r="K401" s="52" t="s">
        <v>84</v>
      </c>
      <c r="L401" s="52" t="s">
        <v>963</v>
      </c>
      <c r="M401" s="52" t="s">
        <v>85</v>
      </c>
      <c r="N401" s="52" t="s">
        <v>85</v>
      </c>
      <c r="O401" s="44" t="s">
        <v>87</v>
      </c>
      <c r="P401" s="44" t="s">
        <v>86</v>
      </c>
      <c r="Q401" s="113" t="s">
        <v>85</v>
      </c>
    </row>
    <row r="402" spans="1:17" ht="127.5" customHeight="1">
      <c r="A402" s="49" t="s">
        <v>31</v>
      </c>
      <c r="B402" s="49">
        <v>46032</v>
      </c>
      <c r="C402" s="49" t="s">
        <v>78</v>
      </c>
      <c r="D402" s="50" t="s">
        <v>98</v>
      </c>
      <c r="E402" s="56" t="s">
        <v>964</v>
      </c>
      <c r="F402" s="52" t="s">
        <v>451</v>
      </c>
      <c r="G402" s="65" t="s">
        <v>965</v>
      </c>
      <c r="H402" s="52" t="s">
        <v>517</v>
      </c>
      <c r="I402" s="52" t="s">
        <v>85</v>
      </c>
      <c r="J402" s="52" t="s">
        <v>85</v>
      </c>
      <c r="K402" s="52" t="s">
        <v>84</v>
      </c>
      <c r="L402" s="52" t="s">
        <v>966</v>
      </c>
      <c r="M402" s="52" t="s">
        <v>85</v>
      </c>
      <c r="N402" s="52" t="s">
        <v>85</v>
      </c>
      <c r="O402" s="44" t="s">
        <v>87</v>
      </c>
      <c r="P402" s="44" t="s">
        <v>86</v>
      </c>
      <c r="Q402" s="113" t="s">
        <v>85</v>
      </c>
    </row>
    <row r="403" spans="1:17" ht="159" customHeight="1">
      <c r="A403" s="49" t="s">
        <v>31</v>
      </c>
      <c r="B403" s="49">
        <v>46032</v>
      </c>
      <c r="C403" s="49" t="s">
        <v>123</v>
      </c>
      <c r="D403" s="50" t="s">
        <v>98</v>
      </c>
      <c r="E403" s="114" t="s">
        <v>1513</v>
      </c>
      <c r="F403" s="52" t="s">
        <v>372</v>
      </c>
      <c r="G403" s="52" t="s">
        <v>967</v>
      </c>
      <c r="H403" s="52" t="s">
        <v>126</v>
      </c>
      <c r="I403" s="52" t="s">
        <v>85</v>
      </c>
      <c r="J403" s="52" t="s">
        <v>84</v>
      </c>
      <c r="K403" s="52" t="s">
        <v>85</v>
      </c>
      <c r="L403" s="52" t="s">
        <v>86</v>
      </c>
      <c r="M403" s="52" t="s">
        <v>85</v>
      </c>
      <c r="N403" s="52" t="s">
        <v>85</v>
      </c>
      <c r="O403" s="44" t="s">
        <v>87</v>
      </c>
      <c r="P403" s="113" t="s">
        <v>1507</v>
      </c>
      <c r="Q403" s="113" t="s">
        <v>85</v>
      </c>
    </row>
    <row r="404" spans="1:17" ht="106.5" customHeight="1">
      <c r="A404" s="49" t="s">
        <v>31</v>
      </c>
      <c r="B404" s="49">
        <v>46033</v>
      </c>
      <c r="C404" s="49" t="s">
        <v>78</v>
      </c>
      <c r="D404" s="50" t="s">
        <v>79</v>
      </c>
      <c r="E404" s="114" t="s">
        <v>1514</v>
      </c>
      <c r="F404" s="52" t="s">
        <v>350</v>
      </c>
      <c r="G404" s="52" t="s">
        <v>968</v>
      </c>
      <c r="H404" s="52" t="s">
        <v>409</v>
      </c>
      <c r="I404" s="52" t="s">
        <v>85</v>
      </c>
      <c r="J404" s="52" t="s">
        <v>85</v>
      </c>
      <c r="K404" s="52" t="s">
        <v>84</v>
      </c>
      <c r="L404" s="52" t="s">
        <v>969</v>
      </c>
      <c r="M404" s="52" t="s">
        <v>85</v>
      </c>
      <c r="N404" s="52" t="s">
        <v>85</v>
      </c>
      <c r="O404" s="44" t="s">
        <v>87</v>
      </c>
      <c r="P404" s="113" t="s">
        <v>86</v>
      </c>
      <c r="Q404" s="113" t="s">
        <v>570</v>
      </c>
    </row>
    <row r="405" spans="1:17" ht="138" customHeight="1">
      <c r="A405" s="49" t="s">
        <v>31</v>
      </c>
      <c r="B405" s="49">
        <v>46036</v>
      </c>
      <c r="C405" s="49" t="s">
        <v>78</v>
      </c>
      <c r="D405" s="50" t="s">
        <v>79</v>
      </c>
      <c r="E405" s="114" t="s">
        <v>1515</v>
      </c>
      <c r="F405" s="52" t="s">
        <v>133</v>
      </c>
      <c r="G405" s="52" t="s">
        <v>970</v>
      </c>
      <c r="H405" s="52" t="s">
        <v>93</v>
      </c>
      <c r="I405" s="52" t="s">
        <v>85</v>
      </c>
      <c r="J405" s="52" t="s">
        <v>84</v>
      </c>
      <c r="K405" s="52" t="s">
        <v>85</v>
      </c>
      <c r="L405" s="52" t="s">
        <v>86</v>
      </c>
      <c r="M405" s="52" t="s">
        <v>85</v>
      </c>
      <c r="N405" s="52" t="s">
        <v>85</v>
      </c>
      <c r="O405" s="44" t="s">
        <v>87</v>
      </c>
      <c r="P405" s="113" t="s">
        <v>1507</v>
      </c>
      <c r="Q405" s="113" t="s">
        <v>85</v>
      </c>
    </row>
    <row r="406" spans="1:17" ht="87" customHeight="1">
      <c r="A406" s="49" t="s">
        <v>31</v>
      </c>
      <c r="B406" s="49">
        <v>46038</v>
      </c>
      <c r="C406" s="49" t="s">
        <v>88</v>
      </c>
      <c r="D406" s="50" t="s">
        <v>89</v>
      </c>
      <c r="E406" s="114" t="s">
        <v>1516</v>
      </c>
      <c r="F406" s="52" t="s">
        <v>604</v>
      </c>
      <c r="G406" s="52" t="s">
        <v>971</v>
      </c>
      <c r="H406" s="66" t="s">
        <v>251</v>
      </c>
      <c r="I406" s="52" t="s">
        <v>84</v>
      </c>
      <c r="J406" s="52" t="s">
        <v>85</v>
      </c>
      <c r="K406" s="52" t="s">
        <v>84</v>
      </c>
      <c r="L406" s="52" t="s">
        <v>972</v>
      </c>
      <c r="M406" s="52" t="s">
        <v>85</v>
      </c>
      <c r="N406" s="52" t="s">
        <v>85</v>
      </c>
      <c r="O406" s="52" t="s">
        <v>118</v>
      </c>
      <c r="P406" s="113" t="s">
        <v>86</v>
      </c>
      <c r="Q406" s="113" t="s">
        <v>85</v>
      </c>
    </row>
    <row r="407" spans="1:17" ht="174" customHeight="1">
      <c r="A407" s="49" t="s">
        <v>31</v>
      </c>
      <c r="B407" s="49">
        <v>46040</v>
      </c>
      <c r="C407" s="49" t="s">
        <v>106</v>
      </c>
      <c r="D407" s="50" t="s">
        <v>98</v>
      </c>
      <c r="E407" s="56" t="s">
        <v>973</v>
      </c>
      <c r="F407" s="52" t="s">
        <v>350</v>
      </c>
      <c r="G407" s="52" t="s">
        <v>974</v>
      </c>
      <c r="H407" s="52" t="s">
        <v>102</v>
      </c>
      <c r="I407" s="52" t="s">
        <v>85</v>
      </c>
      <c r="J407" s="52" t="s">
        <v>84</v>
      </c>
      <c r="K407" s="52" t="s">
        <v>85</v>
      </c>
      <c r="L407" s="52" t="s">
        <v>86</v>
      </c>
      <c r="M407" s="52" t="s">
        <v>85</v>
      </c>
      <c r="N407" s="52" t="s">
        <v>85</v>
      </c>
      <c r="O407" s="44" t="s">
        <v>87</v>
      </c>
      <c r="P407" s="44" t="s">
        <v>86</v>
      </c>
      <c r="Q407" s="113" t="s">
        <v>85</v>
      </c>
    </row>
    <row r="408" spans="1:17" ht="200.25" customHeight="1">
      <c r="A408" s="49" t="s">
        <v>31</v>
      </c>
      <c r="B408" s="49">
        <v>46043</v>
      </c>
      <c r="C408" s="49" t="s">
        <v>78</v>
      </c>
      <c r="D408" s="50" t="s">
        <v>79</v>
      </c>
      <c r="E408" s="56" t="s">
        <v>975</v>
      </c>
      <c r="F408" s="52" t="s">
        <v>482</v>
      </c>
      <c r="G408" s="52" t="s">
        <v>976</v>
      </c>
      <c r="H408" s="52" t="s">
        <v>102</v>
      </c>
      <c r="I408" s="52" t="s">
        <v>85</v>
      </c>
      <c r="J408" s="52" t="s">
        <v>85</v>
      </c>
      <c r="K408" s="52" t="s">
        <v>84</v>
      </c>
      <c r="L408" s="52" t="s">
        <v>977</v>
      </c>
      <c r="M408" s="52" t="s">
        <v>84</v>
      </c>
      <c r="N408" s="52" t="s">
        <v>85</v>
      </c>
      <c r="O408" s="44" t="s">
        <v>87</v>
      </c>
      <c r="P408" s="44" t="s">
        <v>86</v>
      </c>
      <c r="Q408" s="113" t="s">
        <v>85</v>
      </c>
    </row>
    <row r="409" spans="1:17" ht="150" customHeight="1">
      <c r="A409" s="49" t="s">
        <v>31</v>
      </c>
      <c r="B409" s="49">
        <v>46043</v>
      </c>
      <c r="C409" s="49" t="s">
        <v>106</v>
      </c>
      <c r="D409" s="50" t="s">
        <v>79</v>
      </c>
      <c r="E409" s="56" t="s">
        <v>978</v>
      </c>
      <c r="F409" s="52" t="s">
        <v>451</v>
      </c>
      <c r="G409" s="52" t="s">
        <v>979</v>
      </c>
      <c r="H409" s="60" t="s">
        <v>670</v>
      </c>
      <c r="I409" s="52" t="s">
        <v>85</v>
      </c>
      <c r="J409" s="52" t="s">
        <v>84</v>
      </c>
      <c r="K409" s="52" t="s">
        <v>85</v>
      </c>
      <c r="L409" s="52" t="s">
        <v>86</v>
      </c>
      <c r="M409" s="52" t="s">
        <v>85</v>
      </c>
      <c r="N409" s="52" t="s">
        <v>85</v>
      </c>
      <c r="O409" s="44" t="s">
        <v>87</v>
      </c>
      <c r="P409" s="44" t="s">
        <v>86</v>
      </c>
      <c r="Q409" s="113" t="s">
        <v>85</v>
      </c>
    </row>
    <row r="410" spans="1:17" ht="144" customHeight="1">
      <c r="A410" s="49" t="s">
        <v>31</v>
      </c>
      <c r="B410" s="49">
        <v>46044</v>
      </c>
      <c r="C410" s="49" t="s">
        <v>106</v>
      </c>
      <c r="D410" s="50" t="s">
        <v>98</v>
      </c>
      <c r="E410" s="56" t="s">
        <v>980</v>
      </c>
      <c r="F410" s="52" t="s">
        <v>604</v>
      </c>
      <c r="G410" s="52" t="s">
        <v>981</v>
      </c>
      <c r="H410" s="52" t="s">
        <v>453</v>
      </c>
      <c r="I410" s="52" t="s">
        <v>85</v>
      </c>
      <c r="J410" s="52" t="s">
        <v>85</v>
      </c>
      <c r="K410" s="52" t="s">
        <v>84</v>
      </c>
      <c r="L410" s="52" t="s">
        <v>982</v>
      </c>
      <c r="M410" s="52" t="s">
        <v>85</v>
      </c>
      <c r="N410" s="52" t="s">
        <v>85</v>
      </c>
      <c r="O410" s="44" t="s">
        <v>87</v>
      </c>
      <c r="P410" s="44" t="s">
        <v>86</v>
      </c>
      <c r="Q410" s="113" t="s">
        <v>85</v>
      </c>
    </row>
    <row r="411" spans="1:17" ht="138" customHeight="1">
      <c r="A411" s="49" t="s">
        <v>31</v>
      </c>
      <c r="B411" s="49">
        <v>46044</v>
      </c>
      <c r="C411" s="49" t="s">
        <v>106</v>
      </c>
      <c r="D411" s="50" t="s">
        <v>98</v>
      </c>
      <c r="E411" s="114" t="s">
        <v>1592</v>
      </c>
      <c r="F411" s="52" t="s">
        <v>451</v>
      </c>
      <c r="G411" s="52" t="s">
        <v>117</v>
      </c>
      <c r="H411" s="52" t="s">
        <v>117</v>
      </c>
      <c r="I411" s="52" t="s">
        <v>85</v>
      </c>
      <c r="J411" s="52" t="s">
        <v>84</v>
      </c>
      <c r="K411" s="52" t="s">
        <v>85</v>
      </c>
      <c r="L411" s="52" t="s">
        <v>86</v>
      </c>
      <c r="M411" s="52" t="s">
        <v>85</v>
      </c>
      <c r="N411" s="52" t="s">
        <v>85</v>
      </c>
      <c r="O411" s="44" t="s">
        <v>87</v>
      </c>
      <c r="P411" s="44" t="s">
        <v>1594</v>
      </c>
      <c r="Q411" s="113" t="s">
        <v>85</v>
      </c>
    </row>
    <row r="412" spans="1:17" ht="138" customHeight="1">
      <c r="A412" s="49" t="s">
        <v>31</v>
      </c>
      <c r="B412" s="49">
        <v>46044</v>
      </c>
      <c r="C412" s="49" t="s">
        <v>78</v>
      </c>
      <c r="D412" s="50" t="s">
        <v>98</v>
      </c>
      <c r="E412" s="114" t="s">
        <v>1593</v>
      </c>
      <c r="F412" s="52" t="s">
        <v>451</v>
      </c>
      <c r="G412" s="52" t="s">
        <v>983</v>
      </c>
      <c r="H412" s="52" t="s">
        <v>517</v>
      </c>
      <c r="I412" s="52" t="s">
        <v>85</v>
      </c>
      <c r="J412" s="52" t="s">
        <v>84</v>
      </c>
      <c r="K412" s="52" t="s">
        <v>85</v>
      </c>
      <c r="L412" s="52" t="s">
        <v>86</v>
      </c>
      <c r="M412" s="52" t="s">
        <v>85</v>
      </c>
      <c r="N412" s="52" t="s">
        <v>85</v>
      </c>
      <c r="O412" s="44" t="s">
        <v>87</v>
      </c>
      <c r="P412" s="113" t="s">
        <v>1594</v>
      </c>
      <c r="Q412" s="113" t="s">
        <v>85</v>
      </c>
    </row>
    <row r="413" spans="1:17" ht="123" customHeight="1">
      <c r="A413" s="49" t="s">
        <v>31</v>
      </c>
      <c r="B413" s="49">
        <v>46044</v>
      </c>
      <c r="C413" s="49" t="s">
        <v>78</v>
      </c>
      <c r="D413" s="50" t="s">
        <v>98</v>
      </c>
      <c r="E413" s="56" t="s">
        <v>984</v>
      </c>
      <c r="F413" s="52" t="s">
        <v>877</v>
      </c>
      <c r="G413" s="52" t="s">
        <v>117</v>
      </c>
      <c r="H413" s="52" t="s">
        <v>117</v>
      </c>
      <c r="I413" s="52" t="s">
        <v>85</v>
      </c>
      <c r="J413" s="52" t="s">
        <v>84</v>
      </c>
      <c r="K413" s="52" t="s">
        <v>85</v>
      </c>
      <c r="L413" s="52" t="s">
        <v>86</v>
      </c>
      <c r="M413" s="52" t="s">
        <v>84</v>
      </c>
      <c r="N413" s="52" t="s">
        <v>85</v>
      </c>
      <c r="O413" s="52" t="s">
        <v>118</v>
      </c>
      <c r="P413" s="44" t="s">
        <v>86</v>
      </c>
      <c r="Q413" s="113" t="s">
        <v>85</v>
      </c>
    </row>
    <row r="414" spans="1:17" ht="123" customHeight="1">
      <c r="A414" s="49" t="s">
        <v>31</v>
      </c>
      <c r="B414" s="49">
        <v>46045</v>
      </c>
      <c r="C414" s="49" t="s">
        <v>106</v>
      </c>
      <c r="D414" s="50" t="s">
        <v>98</v>
      </c>
      <c r="E414" s="56" t="s">
        <v>985</v>
      </c>
      <c r="F414" s="52" t="s">
        <v>618</v>
      </c>
      <c r="G414" s="52" t="s">
        <v>986</v>
      </c>
      <c r="H414" s="52" t="s">
        <v>453</v>
      </c>
      <c r="I414" s="52" t="s">
        <v>84</v>
      </c>
      <c r="J414" s="52" t="s">
        <v>84</v>
      </c>
      <c r="K414" s="52" t="s">
        <v>85</v>
      </c>
      <c r="L414" s="52" t="s">
        <v>86</v>
      </c>
      <c r="M414" s="52" t="s">
        <v>85</v>
      </c>
      <c r="N414" s="52" t="s">
        <v>85</v>
      </c>
      <c r="O414" s="52" t="s">
        <v>87</v>
      </c>
      <c r="P414" s="44" t="s">
        <v>86</v>
      </c>
      <c r="Q414" s="113" t="s">
        <v>85</v>
      </c>
    </row>
    <row r="415" spans="1:17" ht="137.25" customHeight="1">
      <c r="A415" s="49" t="s">
        <v>31</v>
      </c>
      <c r="B415" s="49">
        <v>46046</v>
      </c>
      <c r="C415" s="49" t="s">
        <v>88</v>
      </c>
      <c r="D415" s="50" t="s">
        <v>79</v>
      </c>
      <c r="E415" s="56" t="s">
        <v>987</v>
      </c>
      <c r="F415" s="52" t="s">
        <v>500</v>
      </c>
      <c r="G415" s="52" t="s">
        <v>988</v>
      </c>
      <c r="H415" s="52" t="s">
        <v>517</v>
      </c>
      <c r="I415" s="52" t="s">
        <v>85</v>
      </c>
      <c r="J415" s="52" t="s">
        <v>84</v>
      </c>
      <c r="K415" s="52" t="s">
        <v>85</v>
      </c>
      <c r="L415" s="52" t="s">
        <v>86</v>
      </c>
      <c r="M415" s="52" t="s">
        <v>85</v>
      </c>
      <c r="N415" s="52" t="s">
        <v>84</v>
      </c>
      <c r="O415" s="52" t="s">
        <v>87</v>
      </c>
      <c r="P415" s="44" t="s">
        <v>86</v>
      </c>
      <c r="Q415" s="113" t="s">
        <v>85</v>
      </c>
    </row>
    <row r="416" spans="1:17" ht="87.75" customHeight="1">
      <c r="A416" s="49" t="s">
        <v>31</v>
      </c>
      <c r="B416" s="49">
        <v>46050</v>
      </c>
      <c r="C416" s="49" t="s">
        <v>78</v>
      </c>
      <c r="D416" s="50" t="s">
        <v>89</v>
      </c>
      <c r="E416" s="56" t="s">
        <v>989</v>
      </c>
      <c r="F416" s="62" t="s">
        <v>896</v>
      </c>
      <c r="G416" s="52" t="s">
        <v>990</v>
      </c>
      <c r="H416" s="52" t="s">
        <v>684</v>
      </c>
      <c r="I416" s="52" t="s">
        <v>85</v>
      </c>
      <c r="J416" s="52" t="s">
        <v>84</v>
      </c>
      <c r="K416" s="52" t="s">
        <v>85</v>
      </c>
      <c r="L416" s="52" t="s">
        <v>86</v>
      </c>
      <c r="M416" s="52" t="s">
        <v>85</v>
      </c>
      <c r="N416" s="52" t="s">
        <v>85</v>
      </c>
      <c r="O416" s="52" t="s">
        <v>87</v>
      </c>
      <c r="P416" s="44" t="s">
        <v>86</v>
      </c>
      <c r="Q416" s="113" t="s">
        <v>85</v>
      </c>
    </row>
    <row r="417" spans="1:17" ht="112.5" customHeight="1">
      <c r="A417" s="49" t="s">
        <v>31</v>
      </c>
      <c r="B417" s="49">
        <v>46050</v>
      </c>
      <c r="C417" s="49" t="s">
        <v>78</v>
      </c>
      <c r="D417" s="50" t="s">
        <v>98</v>
      </c>
      <c r="E417" s="56" t="s">
        <v>991</v>
      </c>
      <c r="F417" s="62" t="s">
        <v>992</v>
      </c>
      <c r="G417" s="52" t="s">
        <v>993</v>
      </c>
      <c r="H417" s="52" t="s">
        <v>405</v>
      </c>
      <c r="I417" s="52" t="s">
        <v>85</v>
      </c>
      <c r="J417" s="52" t="s">
        <v>84</v>
      </c>
      <c r="K417" s="52" t="s">
        <v>85</v>
      </c>
      <c r="L417" s="52" t="s">
        <v>86</v>
      </c>
      <c r="M417" s="52" t="s">
        <v>84</v>
      </c>
      <c r="N417" s="52" t="s">
        <v>85</v>
      </c>
      <c r="O417" s="52" t="s">
        <v>118</v>
      </c>
      <c r="P417" s="44" t="s">
        <v>86</v>
      </c>
      <c r="Q417" s="113" t="s">
        <v>85</v>
      </c>
    </row>
    <row r="418" spans="1:17" ht="100.5" customHeight="1">
      <c r="A418" s="49" t="s">
        <v>31</v>
      </c>
      <c r="B418" s="49">
        <v>46053</v>
      </c>
      <c r="C418" s="49" t="s">
        <v>123</v>
      </c>
      <c r="D418" s="50" t="s">
        <v>98</v>
      </c>
      <c r="E418" s="56" t="s">
        <v>994</v>
      </c>
      <c r="F418" s="52" t="s">
        <v>451</v>
      </c>
      <c r="G418" s="52" t="s">
        <v>995</v>
      </c>
      <c r="H418" s="52" t="s">
        <v>517</v>
      </c>
      <c r="I418" s="52" t="s">
        <v>85</v>
      </c>
      <c r="J418" s="52" t="s">
        <v>84</v>
      </c>
      <c r="K418" s="52" t="s">
        <v>85</v>
      </c>
      <c r="L418" s="52" t="s">
        <v>86</v>
      </c>
      <c r="M418" s="52" t="s">
        <v>85</v>
      </c>
      <c r="N418" s="52" t="s">
        <v>85</v>
      </c>
      <c r="O418" s="44" t="s">
        <v>87</v>
      </c>
      <c r="P418" s="44" t="s">
        <v>86</v>
      </c>
      <c r="Q418" s="113" t="s">
        <v>85</v>
      </c>
    </row>
    <row r="419" spans="1:17" ht="112.5" customHeight="1">
      <c r="A419" s="50" t="s">
        <v>32</v>
      </c>
      <c r="B419" s="49">
        <v>46054</v>
      </c>
      <c r="C419" s="49" t="s">
        <v>106</v>
      </c>
      <c r="D419" s="50" t="s">
        <v>98</v>
      </c>
      <c r="E419" s="51" t="s">
        <v>996</v>
      </c>
      <c r="F419" s="52" t="s">
        <v>500</v>
      </c>
      <c r="G419" s="52" t="s">
        <v>967</v>
      </c>
      <c r="H419" s="52" t="s">
        <v>126</v>
      </c>
      <c r="I419" s="52" t="s">
        <v>85</v>
      </c>
      <c r="J419" s="52" t="s">
        <v>84</v>
      </c>
      <c r="K419" s="52" t="s">
        <v>85</v>
      </c>
      <c r="L419" s="52" t="s">
        <v>86</v>
      </c>
      <c r="M419" s="52" t="s">
        <v>85</v>
      </c>
      <c r="N419" s="52" t="s">
        <v>84</v>
      </c>
      <c r="O419" s="44" t="s">
        <v>87</v>
      </c>
      <c r="P419" s="44" t="s">
        <v>86</v>
      </c>
      <c r="Q419" s="113" t="s">
        <v>85</v>
      </c>
    </row>
    <row r="420" spans="1:17" ht="150" customHeight="1">
      <c r="A420" s="50" t="s">
        <v>32</v>
      </c>
      <c r="B420" s="49">
        <v>46054</v>
      </c>
      <c r="C420" s="49" t="s">
        <v>106</v>
      </c>
      <c r="D420" s="50" t="s">
        <v>79</v>
      </c>
      <c r="E420" s="56" t="s">
        <v>997</v>
      </c>
      <c r="F420" s="52" t="s">
        <v>472</v>
      </c>
      <c r="G420" s="52" t="s">
        <v>998</v>
      </c>
      <c r="H420" s="52" t="s">
        <v>670</v>
      </c>
      <c r="I420" s="52" t="s">
        <v>84</v>
      </c>
      <c r="J420" s="52" t="s">
        <v>84</v>
      </c>
      <c r="K420" s="52" t="s">
        <v>85</v>
      </c>
      <c r="L420" s="52" t="s">
        <v>86</v>
      </c>
      <c r="M420" s="52" t="s">
        <v>85</v>
      </c>
      <c r="N420" s="52" t="s">
        <v>85</v>
      </c>
      <c r="O420" s="44" t="s">
        <v>87</v>
      </c>
      <c r="P420" s="44" t="s">
        <v>86</v>
      </c>
      <c r="Q420" s="113" t="s">
        <v>85</v>
      </c>
    </row>
    <row r="421" spans="1:17" ht="187.5" customHeight="1">
      <c r="A421" s="50" t="s">
        <v>32</v>
      </c>
      <c r="B421" s="49">
        <v>46055</v>
      </c>
      <c r="C421" s="49" t="s">
        <v>106</v>
      </c>
      <c r="D421" s="50" t="s">
        <v>98</v>
      </c>
      <c r="E421" s="56" t="s">
        <v>999</v>
      </c>
      <c r="F421" s="52" t="s">
        <v>133</v>
      </c>
      <c r="G421" s="52" t="s">
        <v>1000</v>
      </c>
      <c r="H421" s="52" t="s">
        <v>453</v>
      </c>
      <c r="I421" s="52" t="s">
        <v>84</v>
      </c>
      <c r="J421" s="52" t="s">
        <v>84</v>
      </c>
      <c r="K421" s="52" t="s">
        <v>85</v>
      </c>
      <c r="L421" s="52" t="s">
        <v>86</v>
      </c>
      <c r="M421" s="52" t="s">
        <v>85</v>
      </c>
      <c r="N421" s="52" t="s">
        <v>85</v>
      </c>
      <c r="O421" s="44" t="s">
        <v>87</v>
      </c>
      <c r="P421" s="44" t="s">
        <v>86</v>
      </c>
      <c r="Q421" s="113" t="s">
        <v>85</v>
      </c>
    </row>
    <row r="422" spans="1:17" ht="105" customHeight="1">
      <c r="A422" s="50" t="s">
        <v>32</v>
      </c>
      <c r="B422" s="49">
        <v>46056</v>
      </c>
      <c r="C422" s="49" t="s">
        <v>123</v>
      </c>
      <c r="D422" s="50" t="s">
        <v>79</v>
      </c>
      <c r="E422" s="56" t="s">
        <v>1001</v>
      </c>
      <c r="F422" s="52" t="s">
        <v>1002</v>
      </c>
      <c r="G422" s="52" t="s">
        <v>1003</v>
      </c>
      <c r="H422" s="52" t="s">
        <v>670</v>
      </c>
      <c r="I422" s="52" t="s">
        <v>84</v>
      </c>
      <c r="J422" s="52" t="s">
        <v>85</v>
      </c>
      <c r="K422" s="52" t="s">
        <v>84</v>
      </c>
      <c r="L422" s="52" t="s">
        <v>1004</v>
      </c>
      <c r="M422" s="52" t="s">
        <v>85</v>
      </c>
      <c r="N422" s="52" t="s">
        <v>85</v>
      </c>
      <c r="O422" s="44" t="s">
        <v>87</v>
      </c>
      <c r="P422" s="44" t="s">
        <v>86</v>
      </c>
      <c r="Q422" s="113" t="s">
        <v>85</v>
      </c>
    </row>
    <row r="423" spans="1:17" ht="146.1" customHeight="1">
      <c r="A423" s="50" t="s">
        <v>32</v>
      </c>
      <c r="B423" s="49">
        <v>46056</v>
      </c>
      <c r="C423" s="49" t="s">
        <v>106</v>
      </c>
      <c r="D423" s="50" t="s">
        <v>98</v>
      </c>
      <c r="E423" s="67" t="s">
        <v>1595</v>
      </c>
      <c r="F423" s="52" t="s">
        <v>992</v>
      </c>
      <c r="G423" s="52" t="s">
        <v>135</v>
      </c>
      <c r="H423" s="52" t="s">
        <v>517</v>
      </c>
      <c r="I423" s="52" t="s">
        <v>85</v>
      </c>
      <c r="J423" s="52" t="s">
        <v>84</v>
      </c>
      <c r="K423" s="52" t="s">
        <v>85</v>
      </c>
      <c r="L423" s="52" t="s">
        <v>86</v>
      </c>
      <c r="M423" s="52" t="s">
        <v>84</v>
      </c>
      <c r="N423" s="52" t="s">
        <v>85</v>
      </c>
      <c r="O423" s="44" t="s">
        <v>87</v>
      </c>
      <c r="P423" s="44" t="s">
        <v>86</v>
      </c>
      <c r="Q423" s="113" t="s">
        <v>85</v>
      </c>
    </row>
    <row r="424" spans="1:17" ht="75" customHeight="1">
      <c r="A424" s="50" t="s">
        <v>32</v>
      </c>
      <c r="B424" s="49">
        <v>46057</v>
      </c>
      <c r="C424" s="49" t="s">
        <v>106</v>
      </c>
      <c r="D424" s="50" t="s">
        <v>98</v>
      </c>
      <c r="E424" s="56" t="s">
        <v>1005</v>
      </c>
      <c r="F424" s="52" t="s">
        <v>451</v>
      </c>
      <c r="G424" s="52" t="s">
        <v>1006</v>
      </c>
      <c r="H424" s="52" t="s">
        <v>117</v>
      </c>
      <c r="I424" s="52" t="s">
        <v>85</v>
      </c>
      <c r="J424" s="52" t="s">
        <v>84</v>
      </c>
      <c r="K424" s="52" t="s">
        <v>85</v>
      </c>
      <c r="L424" s="52" t="s">
        <v>86</v>
      </c>
      <c r="M424" s="52" t="s">
        <v>85</v>
      </c>
      <c r="N424" s="52" t="s">
        <v>85</v>
      </c>
      <c r="O424" s="44" t="s">
        <v>87</v>
      </c>
      <c r="P424" s="44" t="s">
        <v>86</v>
      </c>
      <c r="Q424" s="113" t="s">
        <v>85</v>
      </c>
    </row>
    <row r="425" spans="1:17" ht="138" customHeight="1">
      <c r="A425" s="50" t="s">
        <v>32</v>
      </c>
      <c r="B425" s="49">
        <v>46060</v>
      </c>
      <c r="C425" s="49" t="s">
        <v>88</v>
      </c>
      <c r="D425" s="50" t="s">
        <v>79</v>
      </c>
      <c r="E425" s="51" t="s">
        <v>1007</v>
      </c>
      <c r="F425" s="52" t="s">
        <v>702</v>
      </c>
      <c r="G425" s="52" t="s">
        <v>1008</v>
      </c>
      <c r="H425" s="68" t="s">
        <v>670</v>
      </c>
      <c r="I425" s="52" t="s">
        <v>85</v>
      </c>
      <c r="J425" s="52" t="s">
        <v>85</v>
      </c>
      <c r="K425" s="52" t="s">
        <v>84</v>
      </c>
      <c r="L425" s="52" t="s">
        <v>1009</v>
      </c>
      <c r="M425" s="52" t="s">
        <v>85</v>
      </c>
      <c r="N425" s="52" t="s">
        <v>85</v>
      </c>
      <c r="O425" s="44" t="s">
        <v>87</v>
      </c>
      <c r="P425" s="44" t="s">
        <v>86</v>
      </c>
      <c r="Q425" s="113" t="s">
        <v>85</v>
      </c>
    </row>
    <row r="426" spans="1:17" ht="175.5" customHeight="1">
      <c r="A426" s="50" t="s">
        <v>32</v>
      </c>
      <c r="B426" s="49">
        <v>46061</v>
      </c>
      <c r="C426" s="49" t="s">
        <v>106</v>
      </c>
      <c r="D426" s="50" t="s">
        <v>98</v>
      </c>
      <c r="E426" s="51" t="s">
        <v>1010</v>
      </c>
      <c r="F426" s="52" t="s">
        <v>350</v>
      </c>
      <c r="G426" s="52" t="s">
        <v>1011</v>
      </c>
      <c r="H426" s="69" t="s">
        <v>517</v>
      </c>
      <c r="I426" s="52" t="s">
        <v>84</v>
      </c>
      <c r="J426" s="52" t="s">
        <v>84</v>
      </c>
      <c r="K426" s="52" t="s">
        <v>85</v>
      </c>
      <c r="L426" s="52" t="s">
        <v>86</v>
      </c>
      <c r="M426" s="52" t="s">
        <v>85</v>
      </c>
      <c r="N426" s="52" t="s">
        <v>85</v>
      </c>
      <c r="O426" s="44" t="s">
        <v>87</v>
      </c>
      <c r="P426" s="44" t="s">
        <v>86</v>
      </c>
      <c r="Q426" s="113" t="s">
        <v>85</v>
      </c>
    </row>
    <row r="427" spans="1:17" ht="112.5" customHeight="1">
      <c r="A427" s="50" t="s">
        <v>32</v>
      </c>
      <c r="B427" s="49">
        <v>46062</v>
      </c>
      <c r="C427" s="49" t="s">
        <v>78</v>
      </c>
      <c r="D427" s="50" t="s">
        <v>79</v>
      </c>
      <c r="E427" s="56" t="s">
        <v>1012</v>
      </c>
      <c r="F427" s="68" t="s">
        <v>896</v>
      </c>
      <c r="G427" s="52" t="s">
        <v>1013</v>
      </c>
      <c r="H427" s="68" t="s">
        <v>670</v>
      </c>
      <c r="I427" s="52" t="s">
        <v>84</v>
      </c>
      <c r="J427" s="52" t="s">
        <v>85</v>
      </c>
      <c r="K427" s="52" t="s">
        <v>84</v>
      </c>
      <c r="L427" s="52" t="s">
        <v>1014</v>
      </c>
      <c r="M427" s="52" t="s">
        <v>85</v>
      </c>
      <c r="N427" s="52" t="s">
        <v>85</v>
      </c>
      <c r="O427" s="44" t="s">
        <v>87</v>
      </c>
      <c r="P427" s="44" t="s">
        <v>86</v>
      </c>
      <c r="Q427" s="113" t="s">
        <v>85</v>
      </c>
    </row>
    <row r="428" spans="1:17" ht="112.5" customHeight="1">
      <c r="A428" s="50" t="s">
        <v>32</v>
      </c>
      <c r="B428" s="49">
        <v>46063</v>
      </c>
      <c r="C428" s="49" t="s">
        <v>123</v>
      </c>
      <c r="D428" s="50" t="s">
        <v>89</v>
      </c>
      <c r="E428" s="51" t="s">
        <v>1015</v>
      </c>
      <c r="F428" s="69" t="s">
        <v>451</v>
      </c>
      <c r="G428" s="69" t="s">
        <v>1016</v>
      </c>
      <c r="H428" s="69" t="s">
        <v>517</v>
      </c>
      <c r="I428" s="52" t="s">
        <v>85</v>
      </c>
      <c r="J428" s="52" t="s">
        <v>84</v>
      </c>
      <c r="K428" s="52" t="s">
        <v>85</v>
      </c>
      <c r="L428" s="52" t="s">
        <v>86</v>
      </c>
      <c r="M428" s="52" t="s">
        <v>85</v>
      </c>
      <c r="N428" s="52" t="s">
        <v>85</v>
      </c>
      <c r="O428" s="44" t="s">
        <v>87</v>
      </c>
      <c r="P428" s="44" t="s">
        <v>86</v>
      </c>
      <c r="Q428" s="113" t="s">
        <v>85</v>
      </c>
    </row>
    <row r="429" spans="1:17" ht="150" customHeight="1">
      <c r="A429" s="50" t="s">
        <v>32</v>
      </c>
      <c r="B429" s="49">
        <v>46063</v>
      </c>
      <c r="C429" s="49" t="s">
        <v>78</v>
      </c>
      <c r="D429" s="50" t="s">
        <v>79</v>
      </c>
      <c r="E429" s="56" t="s">
        <v>1017</v>
      </c>
      <c r="F429" s="52" t="s">
        <v>554</v>
      </c>
      <c r="G429" s="69" t="s">
        <v>1018</v>
      </c>
      <c r="H429" s="68" t="s">
        <v>93</v>
      </c>
      <c r="I429" s="52" t="s">
        <v>84</v>
      </c>
      <c r="J429" s="52" t="s">
        <v>85</v>
      </c>
      <c r="K429" s="52" t="s">
        <v>84</v>
      </c>
      <c r="L429" s="70" t="s">
        <v>1019</v>
      </c>
      <c r="M429" s="52" t="s">
        <v>85</v>
      </c>
      <c r="N429" s="52" t="s">
        <v>85</v>
      </c>
      <c r="O429" s="44" t="s">
        <v>87</v>
      </c>
      <c r="P429" s="44" t="s">
        <v>86</v>
      </c>
      <c r="Q429" s="113" t="s">
        <v>85</v>
      </c>
    </row>
    <row r="430" spans="1:17" ht="112.5" customHeight="1">
      <c r="A430" s="50" t="s">
        <v>32</v>
      </c>
      <c r="B430" s="49">
        <v>46063</v>
      </c>
      <c r="C430" s="49" t="s">
        <v>190</v>
      </c>
      <c r="D430" s="50" t="s">
        <v>89</v>
      </c>
      <c r="E430" s="56" t="s">
        <v>1020</v>
      </c>
      <c r="F430" s="52" t="s">
        <v>350</v>
      </c>
      <c r="G430" s="52" t="s">
        <v>1021</v>
      </c>
      <c r="H430" s="52" t="s">
        <v>93</v>
      </c>
      <c r="I430" s="52" t="s">
        <v>85</v>
      </c>
      <c r="J430" s="52" t="s">
        <v>84</v>
      </c>
      <c r="K430" s="52" t="s">
        <v>85</v>
      </c>
      <c r="L430" s="52" t="s">
        <v>86</v>
      </c>
      <c r="M430" s="52" t="s">
        <v>85</v>
      </c>
      <c r="N430" s="52" t="s">
        <v>85</v>
      </c>
      <c r="O430" s="52" t="s">
        <v>118</v>
      </c>
      <c r="P430" s="44" t="s">
        <v>86</v>
      </c>
      <c r="Q430" s="113" t="s">
        <v>85</v>
      </c>
    </row>
    <row r="431" spans="1:17" ht="125.25" customHeight="1">
      <c r="A431" s="50" t="s">
        <v>32</v>
      </c>
      <c r="B431" s="49">
        <v>46064</v>
      </c>
      <c r="C431" s="49" t="s">
        <v>78</v>
      </c>
      <c r="D431" s="50" t="s">
        <v>79</v>
      </c>
      <c r="E431" s="56" t="s">
        <v>1022</v>
      </c>
      <c r="F431" s="52" t="s">
        <v>554</v>
      </c>
      <c r="G431" s="52" t="s">
        <v>1023</v>
      </c>
      <c r="H431" s="52" t="s">
        <v>670</v>
      </c>
      <c r="I431" s="52" t="s">
        <v>84</v>
      </c>
      <c r="J431" s="52" t="s">
        <v>85</v>
      </c>
      <c r="K431" s="52" t="s">
        <v>84</v>
      </c>
      <c r="L431" s="52" t="s">
        <v>1024</v>
      </c>
      <c r="M431" s="52" t="s">
        <v>85</v>
      </c>
      <c r="N431" s="52" t="s">
        <v>85</v>
      </c>
      <c r="O431" s="44" t="s">
        <v>87</v>
      </c>
      <c r="P431" s="44" t="s">
        <v>86</v>
      </c>
      <c r="Q431" s="113" t="s">
        <v>85</v>
      </c>
    </row>
    <row r="432" spans="1:17" ht="138" customHeight="1">
      <c r="A432" s="50" t="s">
        <v>32</v>
      </c>
      <c r="B432" s="49">
        <v>46064</v>
      </c>
      <c r="C432" s="49" t="s">
        <v>190</v>
      </c>
      <c r="D432" s="50" t="s">
        <v>136</v>
      </c>
      <c r="E432" s="56" t="s">
        <v>1025</v>
      </c>
      <c r="F432" s="52" t="s">
        <v>618</v>
      </c>
      <c r="G432" s="52" t="s">
        <v>1026</v>
      </c>
      <c r="H432" s="52" t="s">
        <v>251</v>
      </c>
      <c r="I432" s="52" t="s">
        <v>84</v>
      </c>
      <c r="J432" s="52" t="s">
        <v>85</v>
      </c>
      <c r="K432" s="52" t="s">
        <v>84</v>
      </c>
      <c r="L432" s="52" t="s">
        <v>879</v>
      </c>
      <c r="M432" s="52" t="s">
        <v>85</v>
      </c>
      <c r="N432" s="52" t="s">
        <v>85</v>
      </c>
      <c r="O432" s="44" t="s">
        <v>118</v>
      </c>
      <c r="P432" s="44" t="s">
        <v>86</v>
      </c>
      <c r="Q432" s="113" t="s">
        <v>85</v>
      </c>
    </row>
    <row r="433" spans="1:17" ht="192" customHeight="1">
      <c r="A433" s="50" t="s">
        <v>32</v>
      </c>
      <c r="B433" s="49">
        <v>46064</v>
      </c>
      <c r="C433" s="49" t="s">
        <v>106</v>
      </c>
      <c r="D433" s="50" t="s">
        <v>79</v>
      </c>
      <c r="E433" s="67" t="s">
        <v>1518</v>
      </c>
      <c r="F433" s="52" t="s">
        <v>604</v>
      </c>
      <c r="G433" s="52" t="s">
        <v>1027</v>
      </c>
      <c r="H433" s="60" t="s">
        <v>670</v>
      </c>
      <c r="I433" s="52" t="s">
        <v>84</v>
      </c>
      <c r="J433" s="52" t="s">
        <v>85</v>
      </c>
      <c r="K433" s="52" t="s">
        <v>84</v>
      </c>
      <c r="L433" s="52" t="s">
        <v>1028</v>
      </c>
      <c r="M433" s="52" t="s">
        <v>85</v>
      </c>
      <c r="N433" s="52" t="s">
        <v>85</v>
      </c>
      <c r="O433" s="52" t="s">
        <v>118</v>
      </c>
      <c r="P433" s="44" t="s">
        <v>86</v>
      </c>
      <c r="Q433" s="113" t="s">
        <v>85</v>
      </c>
    </row>
    <row r="434" spans="1:17" ht="104.25" customHeight="1">
      <c r="A434" s="50" t="s">
        <v>32</v>
      </c>
      <c r="B434" s="49">
        <v>46065</v>
      </c>
      <c r="C434" s="49" t="s">
        <v>106</v>
      </c>
      <c r="D434" s="50" t="s">
        <v>79</v>
      </c>
      <c r="E434" s="114" t="s">
        <v>1519</v>
      </c>
      <c r="F434" s="52" t="s">
        <v>451</v>
      </c>
      <c r="G434" s="52" t="s">
        <v>1029</v>
      </c>
      <c r="H434" s="52" t="s">
        <v>102</v>
      </c>
      <c r="I434" s="52" t="s">
        <v>85</v>
      </c>
      <c r="J434" s="52" t="s">
        <v>84</v>
      </c>
      <c r="K434" s="52" t="s">
        <v>85</v>
      </c>
      <c r="L434" s="52" t="s">
        <v>86</v>
      </c>
      <c r="M434" s="52" t="s">
        <v>85</v>
      </c>
      <c r="N434" s="52" t="s">
        <v>85</v>
      </c>
      <c r="O434" s="44" t="s">
        <v>87</v>
      </c>
      <c r="P434" s="113" t="s">
        <v>1498</v>
      </c>
      <c r="Q434" s="113" t="s">
        <v>85</v>
      </c>
    </row>
    <row r="435" spans="1:17" ht="125.25" customHeight="1">
      <c r="A435" s="50" t="s">
        <v>32</v>
      </c>
      <c r="B435" s="49">
        <v>46066</v>
      </c>
      <c r="C435" s="49" t="s">
        <v>106</v>
      </c>
      <c r="D435" s="50" t="s">
        <v>98</v>
      </c>
      <c r="E435" s="56" t="s">
        <v>1030</v>
      </c>
      <c r="F435" s="52" t="s">
        <v>992</v>
      </c>
      <c r="G435" s="52" t="s">
        <v>290</v>
      </c>
      <c r="H435" s="52" t="s">
        <v>102</v>
      </c>
      <c r="I435" s="52" t="s">
        <v>85</v>
      </c>
      <c r="J435" s="52" t="s">
        <v>84</v>
      </c>
      <c r="K435" s="52" t="s">
        <v>85</v>
      </c>
      <c r="L435" s="52" t="s">
        <v>86</v>
      </c>
      <c r="M435" s="52" t="s">
        <v>84</v>
      </c>
      <c r="N435" s="52" t="s">
        <v>85</v>
      </c>
      <c r="O435" s="44" t="s">
        <v>87</v>
      </c>
      <c r="P435" s="44" t="s">
        <v>86</v>
      </c>
      <c r="Q435" s="113" t="s">
        <v>85</v>
      </c>
    </row>
    <row r="436" spans="1:17" ht="175.5" customHeight="1">
      <c r="A436" s="50" t="s">
        <v>32</v>
      </c>
      <c r="B436" s="49">
        <v>46066</v>
      </c>
      <c r="C436" s="49" t="s">
        <v>106</v>
      </c>
      <c r="D436" s="50" t="s">
        <v>98</v>
      </c>
      <c r="E436" s="56" t="s">
        <v>1031</v>
      </c>
      <c r="F436" s="52" t="s">
        <v>661</v>
      </c>
      <c r="G436" s="52" t="s">
        <v>1032</v>
      </c>
      <c r="H436" s="52" t="s">
        <v>409</v>
      </c>
      <c r="I436" s="52" t="s">
        <v>84</v>
      </c>
      <c r="J436" s="52" t="s">
        <v>84</v>
      </c>
      <c r="K436" s="52" t="s">
        <v>85</v>
      </c>
      <c r="L436" s="52" t="s">
        <v>86</v>
      </c>
      <c r="M436" s="52" t="s">
        <v>85</v>
      </c>
      <c r="N436" s="52" t="s">
        <v>85</v>
      </c>
      <c r="O436" s="52" t="s">
        <v>118</v>
      </c>
      <c r="P436" s="44" t="s">
        <v>86</v>
      </c>
      <c r="Q436" s="113" t="s">
        <v>85</v>
      </c>
    </row>
    <row r="437" spans="1:17" ht="107.25" customHeight="1">
      <c r="A437" s="50" t="s">
        <v>32</v>
      </c>
      <c r="B437" s="49">
        <v>46068</v>
      </c>
      <c r="C437" s="49" t="s">
        <v>106</v>
      </c>
      <c r="D437" s="50" t="s">
        <v>98</v>
      </c>
      <c r="E437" s="51" t="s">
        <v>1033</v>
      </c>
      <c r="F437" s="52" t="s">
        <v>877</v>
      </c>
      <c r="G437" s="52" t="s">
        <v>1034</v>
      </c>
      <c r="H437" s="52" t="s">
        <v>117</v>
      </c>
      <c r="I437" s="52" t="s">
        <v>85</v>
      </c>
      <c r="J437" s="52" t="s">
        <v>84</v>
      </c>
      <c r="K437" s="52" t="s">
        <v>85</v>
      </c>
      <c r="L437" s="52" t="s">
        <v>86</v>
      </c>
      <c r="M437" s="52" t="s">
        <v>85</v>
      </c>
      <c r="N437" s="52" t="s">
        <v>85</v>
      </c>
      <c r="O437" s="44" t="s">
        <v>87</v>
      </c>
      <c r="P437" s="44" t="s">
        <v>86</v>
      </c>
      <c r="Q437" s="113" t="s">
        <v>84</v>
      </c>
    </row>
    <row r="438" spans="1:17" ht="100.5" customHeight="1">
      <c r="A438" s="50" t="s">
        <v>32</v>
      </c>
      <c r="B438" s="49">
        <v>46070</v>
      </c>
      <c r="C438" s="49" t="s">
        <v>88</v>
      </c>
      <c r="D438" s="50" t="s">
        <v>89</v>
      </c>
      <c r="E438" s="56" t="s">
        <v>1035</v>
      </c>
      <c r="F438" s="52" t="s">
        <v>205</v>
      </c>
      <c r="G438" s="52" t="s">
        <v>1036</v>
      </c>
      <c r="H438" s="52" t="s">
        <v>670</v>
      </c>
      <c r="I438" s="52" t="s">
        <v>85</v>
      </c>
      <c r="J438" s="52" t="s">
        <v>85</v>
      </c>
      <c r="K438" s="52" t="s">
        <v>84</v>
      </c>
      <c r="L438" s="52" t="s">
        <v>1037</v>
      </c>
      <c r="M438" s="52" t="s">
        <v>85</v>
      </c>
      <c r="N438" s="52" t="s">
        <v>85</v>
      </c>
      <c r="O438" s="52" t="s">
        <v>118</v>
      </c>
      <c r="P438" s="127" t="s">
        <v>86</v>
      </c>
      <c r="Q438" s="113" t="s">
        <v>85</v>
      </c>
    </row>
    <row r="439" spans="1:17" ht="87.75" customHeight="1">
      <c r="A439" s="50" t="s">
        <v>32</v>
      </c>
      <c r="B439" s="49">
        <v>46070</v>
      </c>
      <c r="C439" s="49" t="s">
        <v>78</v>
      </c>
      <c r="D439" s="50" t="s">
        <v>98</v>
      </c>
      <c r="E439" s="56" t="s">
        <v>1038</v>
      </c>
      <c r="F439" s="52" t="s">
        <v>775</v>
      </c>
      <c r="G439" s="52" t="s">
        <v>1039</v>
      </c>
      <c r="H439" s="52" t="s">
        <v>102</v>
      </c>
      <c r="I439" s="52" t="s">
        <v>85</v>
      </c>
      <c r="J439" s="52" t="s">
        <v>84</v>
      </c>
      <c r="K439" s="52" t="s">
        <v>85</v>
      </c>
      <c r="L439" s="52" t="s">
        <v>86</v>
      </c>
      <c r="M439" s="52" t="s">
        <v>85</v>
      </c>
      <c r="N439" s="52" t="s">
        <v>85</v>
      </c>
      <c r="O439" s="44" t="s">
        <v>87</v>
      </c>
      <c r="P439" s="127" t="s">
        <v>86</v>
      </c>
      <c r="Q439" s="113" t="s">
        <v>85</v>
      </c>
    </row>
    <row r="440" spans="1:17" ht="112.5" customHeight="1">
      <c r="A440" s="50" t="s">
        <v>32</v>
      </c>
      <c r="B440" s="49">
        <v>46071</v>
      </c>
      <c r="C440" s="49" t="s">
        <v>78</v>
      </c>
      <c r="D440" s="50" t="s">
        <v>98</v>
      </c>
      <c r="E440" s="56" t="s">
        <v>1040</v>
      </c>
      <c r="F440" s="52" t="s">
        <v>661</v>
      </c>
      <c r="G440" s="52" t="s">
        <v>1041</v>
      </c>
      <c r="H440" s="52" t="s">
        <v>689</v>
      </c>
      <c r="I440" s="52" t="s">
        <v>84</v>
      </c>
      <c r="J440" s="52" t="s">
        <v>84</v>
      </c>
      <c r="K440" s="52" t="s">
        <v>85</v>
      </c>
      <c r="L440" s="52" t="s">
        <v>86</v>
      </c>
      <c r="M440" s="52" t="s">
        <v>85</v>
      </c>
      <c r="N440" s="52" t="s">
        <v>85</v>
      </c>
      <c r="O440" s="44" t="s">
        <v>87</v>
      </c>
      <c r="P440" s="127" t="s">
        <v>86</v>
      </c>
      <c r="Q440" s="113" t="s">
        <v>84</v>
      </c>
    </row>
    <row r="441" spans="1:17" ht="125.25" customHeight="1">
      <c r="A441" s="50" t="s">
        <v>32</v>
      </c>
      <c r="B441" s="49">
        <v>46071</v>
      </c>
      <c r="C441" s="49" t="s">
        <v>88</v>
      </c>
      <c r="D441" s="50" t="s">
        <v>79</v>
      </c>
      <c r="E441" s="56" t="s">
        <v>1042</v>
      </c>
      <c r="F441" s="52" t="s">
        <v>618</v>
      </c>
      <c r="G441" s="52" t="s">
        <v>1043</v>
      </c>
      <c r="H441" s="52" t="s">
        <v>409</v>
      </c>
      <c r="I441" s="52" t="s">
        <v>84</v>
      </c>
      <c r="J441" s="52" t="s">
        <v>85</v>
      </c>
      <c r="K441" s="52" t="s">
        <v>84</v>
      </c>
      <c r="L441" s="52" t="s">
        <v>1044</v>
      </c>
      <c r="M441" s="52" t="s">
        <v>85</v>
      </c>
      <c r="N441" s="52" t="s">
        <v>85</v>
      </c>
      <c r="O441" s="44" t="s">
        <v>87</v>
      </c>
      <c r="P441" s="127" t="s">
        <v>86</v>
      </c>
      <c r="Q441" s="113" t="s">
        <v>85</v>
      </c>
    </row>
    <row r="442" spans="1:17" ht="141" customHeight="1">
      <c r="A442" s="50" t="s">
        <v>32</v>
      </c>
      <c r="B442" s="49">
        <v>46071</v>
      </c>
      <c r="C442" s="49" t="s">
        <v>78</v>
      </c>
      <c r="D442" s="50" t="s">
        <v>83</v>
      </c>
      <c r="E442" s="114" t="s">
        <v>1045</v>
      </c>
      <c r="F442" s="52" t="s">
        <v>497</v>
      </c>
      <c r="G442" s="52" t="s">
        <v>1016</v>
      </c>
      <c r="H442" s="52" t="s">
        <v>251</v>
      </c>
      <c r="I442" s="52" t="s">
        <v>85</v>
      </c>
      <c r="J442" s="52" t="s">
        <v>84</v>
      </c>
      <c r="K442" s="52" t="s">
        <v>85</v>
      </c>
      <c r="L442" s="52" t="s">
        <v>86</v>
      </c>
      <c r="M442" s="52" t="s">
        <v>85</v>
      </c>
      <c r="N442" s="52" t="s">
        <v>85</v>
      </c>
      <c r="O442" s="44" t="s">
        <v>87</v>
      </c>
      <c r="P442" s="113" t="s">
        <v>1498</v>
      </c>
      <c r="Q442" s="113" t="s">
        <v>85</v>
      </c>
    </row>
    <row r="443" spans="1:17" ht="84" customHeight="1">
      <c r="A443" s="50" t="s">
        <v>32</v>
      </c>
      <c r="B443" s="49">
        <v>46072</v>
      </c>
      <c r="C443" s="49" t="s">
        <v>123</v>
      </c>
      <c r="D443" s="50" t="s">
        <v>98</v>
      </c>
      <c r="E443" s="67" t="s">
        <v>1520</v>
      </c>
      <c r="F443" s="52" t="s">
        <v>1046</v>
      </c>
      <c r="G443" s="52" t="s">
        <v>967</v>
      </c>
      <c r="H443" s="52" t="s">
        <v>126</v>
      </c>
      <c r="I443" s="52" t="s">
        <v>85</v>
      </c>
      <c r="J443" s="52" t="s">
        <v>84</v>
      </c>
      <c r="K443" s="52" t="s">
        <v>85</v>
      </c>
      <c r="L443" s="52" t="s">
        <v>86</v>
      </c>
      <c r="M443" s="52" t="s">
        <v>85</v>
      </c>
      <c r="N443" s="52" t="s">
        <v>85</v>
      </c>
      <c r="O443" s="52" t="s">
        <v>118</v>
      </c>
      <c r="P443" s="44" t="s">
        <v>86</v>
      </c>
      <c r="Q443" s="113" t="s">
        <v>85</v>
      </c>
    </row>
    <row r="444" spans="1:17" ht="208.5" customHeight="1">
      <c r="A444" s="50" t="s">
        <v>32</v>
      </c>
      <c r="B444" s="49">
        <v>46073</v>
      </c>
      <c r="C444" s="49" t="s">
        <v>78</v>
      </c>
      <c r="D444" s="50" t="s">
        <v>98</v>
      </c>
      <c r="E444" s="56" t="s">
        <v>1047</v>
      </c>
      <c r="F444" s="52" t="s">
        <v>472</v>
      </c>
      <c r="G444" s="52" t="s">
        <v>1048</v>
      </c>
      <c r="H444" s="52" t="s">
        <v>670</v>
      </c>
      <c r="I444" s="52" t="s">
        <v>84</v>
      </c>
      <c r="J444" s="52" t="s">
        <v>84</v>
      </c>
      <c r="K444" s="52" t="s">
        <v>85</v>
      </c>
      <c r="L444" s="52" t="s">
        <v>86</v>
      </c>
      <c r="M444" s="52" t="s">
        <v>85</v>
      </c>
      <c r="N444" s="52" t="s">
        <v>84</v>
      </c>
      <c r="O444" s="44" t="s">
        <v>87</v>
      </c>
      <c r="P444" s="113" t="s">
        <v>1500</v>
      </c>
      <c r="Q444" s="113" t="s">
        <v>85</v>
      </c>
    </row>
    <row r="445" spans="1:17" ht="79.2">
      <c r="A445" s="50" t="s">
        <v>32</v>
      </c>
      <c r="B445" s="49">
        <v>46073</v>
      </c>
      <c r="C445" s="49" t="s">
        <v>78</v>
      </c>
      <c r="D445" s="50" t="s">
        <v>98</v>
      </c>
      <c r="E445" s="56" t="s">
        <v>1049</v>
      </c>
      <c r="F445" s="52" t="s">
        <v>83</v>
      </c>
      <c r="G445" s="52" t="s">
        <v>1050</v>
      </c>
      <c r="H445" s="52" t="s">
        <v>102</v>
      </c>
      <c r="I445" s="52" t="s">
        <v>85</v>
      </c>
      <c r="J445" s="52" t="s">
        <v>84</v>
      </c>
      <c r="K445" s="52" t="s">
        <v>85</v>
      </c>
      <c r="L445" s="52" t="s">
        <v>86</v>
      </c>
      <c r="M445" s="52" t="s">
        <v>85</v>
      </c>
      <c r="N445" s="52" t="s">
        <v>85</v>
      </c>
      <c r="O445" s="44" t="s">
        <v>87</v>
      </c>
      <c r="P445" s="113" t="s">
        <v>1497</v>
      </c>
      <c r="Q445" s="113" t="s">
        <v>85</v>
      </c>
    </row>
    <row r="446" spans="1:17" ht="171.75" customHeight="1">
      <c r="A446" s="50" t="s">
        <v>32</v>
      </c>
      <c r="B446" s="49">
        <v>46077</v>
      </c>
      <c r="C446" s="49" t="s">
        <v>88</v>
      </c>
      <c r="D446" s="50" t="s">
        <v>89</v>
      </c>
      <c r="E446" s="51" t="s">
        <v>1051</v>
      </c>
      <c r="F446" s="52" t="s">
        <v>668</v>
      </c>
      <c r="G446" s="52" t="s">
        <v>1052</v>
      </c>
      <c r="H446" s="52" t="s">
        <v>453</v>
      </c>
      <c r="I446" s="52" t="s">
        <v>85</v>
      </c>
      <c r="J446" s="52" t="s">
        <v>85</v>
      </c>
      <c r="K446" s="52" t="s">
        <v>84</v>
      </c>
      <c r="L446" s="52" t="s">
        <v>1053</v>
      </c>
      <c r="M446" s="52" t="s">
        <v>85</v>
      </c>
      <c r="N446" s="52" t="s">
        <v>85</v>
      </c>
      <c r="O446" s="44" t="s">
        <v>87</v>
      </c>
      <c r="P446" s="44" t="s">
        <v>86</v>
      </c>
      <c r="Q446" s="113" t="s">
        <v>85</v>
      </c>
    </row>
    <row r="447" spans="1:17" ht="123.75" customHeight="1">
      <c r="A447" s="50" t="s">
        <v>32</v>
      </c>
      <c r="B447" s="49">
        <v>46077</v>
      </c>
      <c r="C447" s="49" t="s">
        <v>123</v>
      </c>
      <c r="D447" s="50" t="s">
        <v>98</v>
      </c>
      <c r="E447" s="56" t="s">
        <v>1054</v>
      </c>
      <c r="F447" s="52" t="s">
        <v>905</v>
      </c>
      <c r="G447" s="52" t="s">
        <v>1055</v>
      </c>
      <c r="H447" s="52" t="s">
        <v>517</v>
      </c>
      <c r="I447" s="52" t="s">
        <v>85</v>
      </c>
      <c r="J447" s="52" t="s">
        <v>84</v>
      </c>
      <c r="K447" s="52" t="s">
        <v>85</v>
      </c>
      <c r="L447" s="52" t="s">
        <v>86</v>
      </c>
      <c r="M447" s="52" t="s">
        <v>85</v>
      </c>
      <c r="N447" s="52" t="s">
        <v>85</v>
      </c>
      <c r="O447" s="52" t="s">
        <v>118</v>
      </c>
      <c r="P447" s="113" t="s">
        <v>1498</v>
      </c>
      <c r="Q447" s="113" t="s">
        <v>85</v>
      </c>
    </row>
    <row r="448" spans="1:17" ht="147" customHeight="1">
      <c r="A448" s="50" t="s">
        <v>32</v>
      </c>
      <c r="B448" s="49">
        <v>46081</v>
      </c>
      <c r="C448" s="49" t="s">
        <v>123</v>
      </c>
      <c r="D448" s="50" t="s">
        <v>98</v>
      </c>
      <c r="E448" s="51" t="s">
        <v>1056</v>
      </c>
      <c r="F448" s="52" t="s">
        <v>554</v>
      </c>
      <c r="G448" s="52" t="s">
        <v>1057</v>
      </c>
      <c r="H448" s="52" t="s">
        <v>102</v>
      </c>
      <c r="I448" s="52" t="s">
        <v>84</v>
      </c>
      <c r="J448" s="52" t="s">
        <v>84</v>
      </c>
      <c r="K448" s="52" t="s">
        <v>85</v>
      </c>
      <c r="L448" s="52" t="s">
        <v>86</v>
      </c>
      <c r="M448" s="52" t="s">
        <v>85</v>
      </c>
      <c r="N448" s="52" t="s">
        <v>85</v>
      </c>
      <c r="O448" s="44" t="s">
        <v>87</v>
      </c>
      <c r="P448" s="113" t="s">
        <v>1497</v>
      </c>
      <c r="Q448" s="113" t="s">
        <v>85</v>
      </c>
    </row>
    <row r="449" spans="1:17" ht="175.5" customHeight="1">
      <c r="A449" s="50" t="s">
        <v>32</v>
      </c>
      <c r="B449" s="49">
        <v>46081</v>
      </c>
      <c r="C449" s="49" t="s">
        <v>78</v>
      </c>
      <c r="D449" s="50" t="s">
        <v>98</v>
      </c>
      <c r="E449" s="56" t="s">
        <v>1058</v>
      </c>
      <c r="F449" s="52" t="s">
        <v>451</v>
      </c>
      <c r="G449" s="52" t="s">
        <v>1059</v>
      </c>
      <c r="H449" s="52" t="s">
        <v>102</v>
      </c>
      <c r="I449" s="52" t="s">
        <v>85</v>
      </c>
      <c r="J449" s="52" t="s">
        <v>84</v>
      </c>
      <c r="K449" s="52" t="s">
        <v>85</v>
      </c>
      <c r="L449" s="52" t="s">
        <v>86</v>
      </c>
      <c r="M449" s="52" t="s">
        <v>85</v>
      </c>
      <c r="N449" s="52" t="s">
        <v>85</v>
      </c>
      <c r="O449" s="44" t="s">
        <v>87</v>
      </c>
      <c r="P449" s="44" t="s">
        <v>86</v>
      </c>
      <c r="Q449" s="113" t="s">
        <v>85</v>
      </c>
    </row>
    <row r="450" spans="1:17" ht="119.25" customHeight="1">
      <c r="A450" s="50" t="s">
        <v>32</v>
      </c>
      <c r="B450" s="49">
        <v>46081</v>
      </c>
      <c r="C450" s="49" t="s">
        <v>106</v>
      </c>
      <c r="D450" s="50" t="s">
        <v>98</v>
      </c>
      <c r="E450" s="56" t="s">
        <v>1060</v>
      </c>
      <c r="F450" s="52" t="s">
        <v>81</v>
      </c>
      <c r="G450" s="52" t="s">
        <v>1061</v>
      </c>
      <c r="H450" s="52" t="s">
        <v>117</v>
      </c>
      <c r="I450" s="52" t="s">
        <v>85</v>
      </c>
      <c r="J450" s="52" t="s">
        <v>84</v>
      </c>
      <c r="K450" s="52" t="s">
        <v>85</v>
      </c>
      <c r="L450" s="52" t="s">
        <v>86</v>
      </c>
      <c r="M450" s="52" t="s">
        <v>85</v>
      </c>
      <c r="N450" s="52" t="s">
        <v>85</v>
      </c>
      <c r="O450" s="52" t="s">
        <v>118</v>
      </c>
      <c r="P450" s="44" t="s">
        <v>86</v>
      </c>
      <c r="Q450" s="44" t="s">
        <v>570</v>
      </c>
    </row>
    <row r="451" spans="1:17" ht="138" customHeight="1">
      <c r="A451" s="50" t="s">
        <v>32</v>
      </c>
      <c r="B451" s="49">
        <v>46081</v>
      </c>
      <c r="C451" s="49" t="s">
        <v>123</v>
      </c>
      <c r="D451" s="50" t="s">
        <v>98</v>
      </c>
      <c r="E451" s="56" t="s">
        <v>1062</v>
      </c>
      <c r="F451" s="52" t="s">
        <v>554</v>
      </c>
      <c r="G451" s="52" t="s">
        <v>1057</v>
      </c>
      <c r="H451" s="52" t="s">
        <v>651</v>
      </c>
      <c r="I451" s="52" t="s">
        <v>84</v>
      </c>
      <c r="J451" s="52" t="s">
        <v>84</v>
      </c>
      <c r="K451" s="52" t="s">
        <v>85</v>
      </c>
      <c r="L451" s="52" t="s">
        <v>86</v>
      </c>
      <c r="M451" s="52" t="s">
        <v>85</v>
      </c>
      <c r="N451" s="52" t="s">
        <v>85</v>
      </c>
      <c r="O451" s="52" t="s">
        <v>118</v>
      </c>
      <c r="P451" s="113" t="s">
        <v>1497</v>
      </c>
      <c r="Q451" s="113" t="s">
        <v>85</v>
      </c>
    </row>
    <row r="452" spans="1:17" ht="116.25" customHeight="1">
      <c r="A452" s="50" t="s">
        <v>32</v>
      </c>
      <c r="B452" s="49">
        <v>46081</v>
      </c>
      <c r="C452" s="49" t="s">
        <v>190</v>
      </c>
      <c r="D452" s="50" t="s">
        <v>89</v>
      </c>
      <c r="E452" s="56" t="s">
        <v>1063</v>
      </c>
      <c r="F452" s="52" t="s">
        <v>604</v>
      </c>
      <c r="G452" s="56" t="s">
        <v>1064</v>
      </c>
      <c r="H452" s="52" t="s">
        <v>117</v>
      </c>
      <c r="I452" s="52" t="s">
        <v>85</v>
      </c>
      <c r="J452" s="52" t="s">
        <v>84</v>
      </c>
      <c r="K452" s="52" t="s">
        <v>85</v>
      </c>
      <c r="L452" s="52" t="s">
        <v>86</v>
      </c>
      <c r="M452" s="52" t="s">
        <v>85</v>
      </c>
      <c r="N452" s="52" t="s">
        <v>85</v>
      </c>
      <c r="O452" s="52" t="s">
        <v>118</v>
      </c>
      <c r="P452" s="44" t="s">
        <v>86</v>
      </c>
      <c r="Q452" s="113" t="s">
        <v>85</v>
      </c>
    </row>
    <row r="453" spans="1:17" ht="112.5" customHeight="1">
      <c r="A453" s="50" t="s">
        <v>33</v>
      </c>
      <c r="B453" s="49">
        <v>46083</v>
      </c>
      <c r="C453" s="49" t="s">
        <v>106</v>
      </c>
      <c r="D453" s="50" t="s">
        <v>79</v>
      </c>
      <c r="E453" s="51" t="s">
        <v>1065</v>
      </c>
      <c r="F453" s="52" t="s">
        <v>604</v>
      </c>
      <c r="G453" s="52" t="s">
        <v>1066</v>
      </c>
      <c r="H453" s="52" t="s">
        <v>453</v>
      </c>
      <c r="I453" s="52" t="s">
        <v>85</v>
      </c>
      <c r="J453" s="52" t="s">
        <v>84</v>
      </c>
      <c r="K453" s="52" t="s">
        <v>85</v>
      </c>
      <c r="L453" s="52" t="s">
        <v>86</v>
      </c>
      <c r="M453" s="52" t="s">
        <v>85</v>
      </c>
      <c r="N453" s="52" t="s">
        <v>85</v>
      </c>
      <c r="O453" s="44" t="s">
        <v>87</v>
      </c>
      <c r="P453" s="44" t="s">
        <v>86</v>
      </c>
      <c r="Q453" s="113" t="s">
        <v>85</v>
      </c>
    </row>
    <row r="454" spans="1:17" ht="118.5" customHeight="1">
      <c r="A454" s="50" t="s">
        <v>33</v>
      </c>
      <c r="B454" s="49">
        <v>46083</v>
      </c>
      <c r="C454" s="49" t="s">
        <v>106</v>
      </c>
      <c r="D454" s="50" t="s">
        <v>98</v>
      </c>
      <c r="E454" s="56" t="s">
        <v>1067</v>
      </c>
      <c r="F454" s="52" t="s">
        <v>451</v>
      </c>
      <c r="G454" s="52" t="s">
        <v>1068</v>
      </c>
      <c r="H454" s="52" t="s">
        <v>102</v>
      </c>
      <c r="I454" s="52" t="s">
        <v>85</v>
      </c>
      <c r="J454" s="52" t="s">
        <v>84</v>
      </c>
      <c r="K454" s="52" t="s">
        <v>85</v>
      </c>
      <c r="L454" s="52" t="s">
        <v>86</v>
      </c>
      <c r="M454" s="52" t="s">
        <v>85</v>
      </c>
      <c r="N454" s="52" t="s">
        <v>85</v>
      </c>
      <c r="O454" s="52" t="s">
        <v>118</v>
      </c>
      <c r="P454" s="44" t="s">
        <v>86</v>
      </c>
      <c r="Q454" s="113" t="s">
        <v>85</v>
      </c>
    </row>
    <row r="455" spans="1:17" ht="102.75" customHeight="1">
      <c r="A455" s="50" t="s">
        <v>33</v>
      </c>
      <c r="B455" s="71">
        <v>46083</v>
      </c>
      <c r="C455" s="49" t="s">
        <v>78</v>
      </c>
      <c r="D455" s="50" t="s">
        <v>79</v>
      </c>
      <c r="E455" s="56" t="s">
        <v>1069</v>
      </c>
      <c r="F455" s="52" t="s">
        <v>451</v>
      </c>
      <c r="G455" s="52" t="s">
        <v>1070</v>
      </c>
      <c r="H455" s="52" t="s">
        <v>251</v>
      </c>
      <c r="I455" s="52" t="s">
        <v>85</v>
      </c>
      <c r="J455" s="52" t="s">
        <v>85</v>
      </c>
      <c r="K455" s="52" t="s">
        <v>84</v>
      </c>
      <c r="L455" s="52" t="s">
        <v>1071</v>
      </c>
      <c r="M455" s="52" t="s">
        <v>85</v>
      </c>
      <c r="N455" s="52" t="s">
        <v>85</v>
      </c>
      <c r="O455" s="44" t="s">
        <v>87</v>
      </c>
      <c r="P455" s="44" t="s">
        <v>86</v>
      </c>
      <c r="Q455" s="113" t="s">
        <v>85</v>
      </c>
    </row>
    <row r="456" spans="1:17" ht="114.75" customHeight="1">
      <c r="A456" s="50" t="s">
        <v>33</v>
      </c>
      <c r="B456" s="49">
        <v>46085</v>
      </c>
      <c r="C456" s="49" t="s">
        <v>106</v>
      </c>
      <c r="D456" s="50" t="s">
        <v>89</v>
      </c>
      <c r="E456" s="56" t="s">
        <v>1072</v>
      </c>
      <c r="F456" s="52" t="s">
        <v>604</v>
      </c>
      <c r="G456" s="52" t="s">
        <v>1073</v>
      </c>
      <c r="H456" s="52" t="s">
        <v>651</v>
      </c>
      <c r="I456" s="52" t="s">
        <v>85</v>
      </c>
      <c r="J456" s="52" t="s">
        <v>84</v>
      </c>
      <c r="K456" s="52" t="s">
        <v>85</v>
      </c>
      <c r="L456" s="52" t="s">
        <v>86</v>
      </c>
      <c r="M456" s="52" t="s">
        <v>85</v>
      </c>
      <c r="N456" s="52" t="s">
        <v>85</v>
      </c>
      <c r="O456" s="52" t="s">
        <v>118</v>
      </c>
      <c r="P456" s="113" t="s">
        <v>1521</v>
      </c>
      <c r="Q456" s="113" t="s">
        <v>85</v>
      </c>
    </row>
    <row r="457" spans="1:17" ht="143.25" customHeight="1">
      <c r="A457" s="50" t="s">
        <v>33</v>
      </c>
      <c r="B457" s="49">
        <v>46085</v>
      </c>
      <c r="C457" s="49" t="s">
        <v>78</v>
      </c>
      <c r="D457" s="50" t="s">
        <v>98</v>
      </c>
      <c r="E457" s="56" t="s">
        <v>1074</v>
      </c>
      <c r="F457" s="52" t="s">
        <v>1075</v>
      </c>
      <c r="G457" s="52" t="s">
        <v>1076</v>
      </c>
      <c r="H457" s="52" t="s">
        <v>102</v>
      </c>
      <c r="I457" s="52" t="s">
        <v>84</v>
      </c>
      <c r="J457" s="52" t="s">
        <v>84</v>
      </c>
      <c r="K457" s="52" t="s">
        <v>85</v>
      </c>
      <c r="L457" s="52" t="s">
        <v>86</v>
      </c>
      <c r="M457" s="52" t="s">
        <v>85</v>
      </c>
      <c r="N457" s="52" t="s">
        <v>85</v>
      </c>
      <c r="O457" s="44" t="s">
        <v>87</v>
      </c>
      <c r="P457" s="113" t="s">
        <v>1504</v>
      </c>
      <c r="Q457" s="113" t="s">
        <v>85</v>
      </c>
    </row>
    <row r="458" spans="1:17" ht="179.25" customHeight="1">
      <c r="A458" s="50" t="s">
        <v>33</v>
      </c>
      <c r="B458" s="49">
        <v>46087</v>
      </c>
      <c r="C458" s="49" t="s">
        <v>78</v>
      </c>
      <c r="D458" s="50" t="s">
        <v>83</v>
      </c>
      <c r="E458" s="56" t="s">
        <v>1077</v>
      </c>
      <c r="F458" s="52" t="s">
        <v>702</v>
      </c>
      <c r="G458" s="52" t="s">
        <v>1078</v>
      </c>
      <c r="H458" s="52" t="s">
        <v>83</v>
      </c>
      <c r="I458" s="52" t="s">
        <v>85</v>
      </c>
      <c r="J458" s="52" t="s">
        <v>85</v>
      </c>
      <c r="K458" s="52" t="s">
        <v>84</v>
      </c>
      <c r="L458" s="52" t="s">
        <v>1079</v>
      </c>
      <c r="M458" s="52" t="s">
        <v>85</v>
      </c>
      <c r="N458" s="52" t="s">
        <v>85</v>
      </c>
      <c r="O458" s="44" t="s">
        <v>87</v>
      </c>
      <c r="P458" s="113" t="s">
        <v>1506</v>
      </c>
      <c r="Q458" s="113" t="s">
        <v>85</v>
      </c>
    </row>
    <row r="459" spans="1:17" ht="63" customHeight="1">
      <c r="A459" s="50" t="s">
        <v>33</v>
      </c>
      <c r="B459" s="49">
        <v>46088</v>
      </c>
      <c r="C459" s="49" t="s">
        <v>88</v>
      </c>
      <c r="D459" s="50" t="s">
        <v>136</v>
      </c>
      <c r="E459" s="56" t="s">
        <v>1080</v>
      </c>
      <c r="F459" s="52" t="s">
        <v>350</v>
      </c>
      <c r="G459" s="52" t="s">
        <v>1081</v>
      </c>
      <c r="H459" s="52" t="s">
        <v>102</v>
      </c>
      <c r="I459" s="52" t="s">
        <v>85</v>
      </c>
      <c r="J459" s="52" t="s">
        <v>84</v>
      </c>
      <c r="K459" s="52" t="s">
        <v>85</v>
      </c>
      <c r="L459" s="52" t="s">
        <v>86</v>
      </c>
      <c r="M459" s="52" t="s">
        <v>85</v>
      </c>
      <c r="N459" s="52" t="s">
        <v>85</v>
      </c>
      <c r="O459" s="44" t="s">
        <v>87</v>
      </c>
      <c r="P459" s="44" t="s">
        <v>86</v>
      </c>
      <c r="Q459" s="113" t="s">
        <v>85</v>
      </c>
    </row>
    <row r="460" spans="1:17" ht="195.75" customHeight="1">
      <c r="A460" s="50" t="s">
        <v>33</v>
      </c>
      <c r="B460" s="49">
        <v>46088</v>
      </c>
      <c r="C460" s="49" t="s">
        <v>123</v>
      </c>
      <c r="D460" s="50" t="s">
        <v>136</v>
      </c>
      <c r="E460" s="56" t="s">
        <v>1082</v>
      </c>
      <c r="F460" s="52" t="s">
        <v>83</v>
      </c>
      <c r="G460" s="52" t="s">
        <v>1083</v>
      </c>
      <c r="H460" s="52" t="s">
        <v>453</v>
      </c>
      <c r="I460" s="52" t="s">
        <v>85</v>
      </c>
      <c r="J460" s="52" t="s">
        <v>84</v>
      </c>
      <c r="K460" s="52" t="s">
        <v>85</v>
      </c>
      <c r="L460" s="52" t="s">
        <v>86</v>
      </c>
      <c r="M460" s="52" t="s">
        <v>84</v>
      </c>
      <c r="N460" s="52" t="s">
        <v>85</v>
      </c>
      <c r="O460" s="44" t="s">
        <v>87</v>
      </c>
      <c r="P460" s="44" t="s">
        <v>86</v>
      </c>
      <c r="Q460" s="113" t="s">
        <v>85</v>
      </c>
    </row>
    <row r="461" spans="1:17" ht="63" customHeight="1">
      <c r="A461" s="50" t="s">
        <v>33</v>
      </c>
      <c r="B461" s="49">
        <v>46089</v>
      </c>
      <c r="C461" s="49" t="s">
        <v>106</v>
      </c>
      <c r="D461" s="50" t="s">
        <v>98</v>
      </c>
      <c r="E461" s="56" t="s">
        <v>1084</v>
      </c>
      <c r="F461" s="60" t="s">
        <v>350</v>
      </c>
      <c r="G461" s="52" t="s">
        <v>1085</v>
      </c>
      <c r="H461" s="52" t="s">
        <v>126</v>
      </c>
      <c r="I461" s="52" t="s">
        <v>85</v>
      </c>
      <c r="J461" s="52" t="s">
        <v>84</v>
      </c>
      <c r="K461" s="52" t="s">
        <v>85</v>
      </c>
      <c r="L461" s="52" t="s">
        <v>86</v>
      </c>
      <c r="M461" s="52" t="s">
        <v>85</v>
      </c>
      <c r="N461" s="52" t="s">
        <v>85</v>
      </c>
      <c r="O461" s="44" t="s">
        <v>87</v>
      </c>
      <c r="P461" s="44" t="s">
        <v>86</v>
      </c>
      <c r="Q461" s="113" t="s">
        <v>85</v>
      </c>
    </row>
    <row r="462" spans="1:17" ht="129.75" customHeight="1">
      <c r="A462" s="50" t="s">
        <v>33</v>
      </c>
      <c r="B462" s="49">
        <v>46090</v>
      </c>
      <c r="C462" s="49" t="s">
        <v>78</v>
      </c>
      <c r="D462" s="50" t="s">
        <v>89</v>
      </c>
      <c r="E462" s="51" t="s">
        <v>1086</v>
      </c>
      <c r="F462" s="52" t="s">
        <v>1075</v>
      </c>
      <c r="G462" s="52" t="s">
        <v>1087</v>
      </c>
      <c r="H462" s="52" t="s">
        <v>453</v>
      </c>
      <c r="I462" s="52" t="s">
        <v>84</v>
      </c>
      <c r="J462" s="52" t="s">
        <v>84</v>
      </c>
      <c r="K462" s="52" t="s">
        <v>85</v>
      </c>
      <c r="L462" s="52" t="s">
        <v>86</v>
      </c>
      <c r="M462" s="52" t="s">
        <v>85</v>
      </c>
      <c r="N462" s="52" t="s">
        <v>85</v>
      </c>
      <c r="O462" s="44" t="s">
        <v>87</v>
      </c>
      <c r="P462" s="44" t="s">
        <v>86</v>
      </c>
      <c r="Q462" s="113" t="s">
        <v>85</v>
      </c>
    </row>
    <row r="463" spans="1:17" ht="90" customHeight="1">
      <c r="A463" s="50" t="s">
        <v>33</v>
      </c>
      <c r="B463" s="49">
        <v>46090</v>
      </c>
      <c r="C463" s="49" t="s">
        <v>88</v>
      </c>
      <c r="D463" s="50" t="s">
        <v>89</v>
      </c>
      <c r="E463" s="56" t="s">
        <v>1088</v>
      </c>
      <c r="F463" s="52" t="s">
        <v>1089</v>
      </c>
      <c r="G463" s="52" t="s">
        <v>1090</v>
      </c>
      <c r="H463" s="52" t="s">
        <v>405</v>
      </c>
      <c r="I463" s="52" t="s">
        <v>85</v>
      </c>
      <c r="J463" s="52" t="s">
        <v>84</v>
      </c>
      <c r="K463" s="52" t="s">
        <v>85</v>
      </c>
      <c r="L463" s="52" t="s">
        <v>86</v>
      </c>
      <c r="M463" s="52" t="s">
        <v>85</v>
      </c>
      <c r="N463" s="52" t="s">
        <v>85</v>
      </c>
      <c r="O463" s="44" t="s">
        <v>87</v>
      </c>
      <c r="P463" s="113" t="s">
        <v>1506</v>
      </c>
      <c r="Q463" s="113" t="s">
        <v>85</v>
      </c>
    </row>
    <row r="464" spans="1:17" ht="108" customHeight="1">
      <c r="A464" s="50" t="s">
        <v>33</v>
      </c>
      <c r="B464" s="49">
        <v>46092</v>
      </c>
      <c r="C464" s="49" t="s">
        <v>78</v>
      </c>
      <c r="D464" s="50" t="s">
        <v>79</v>
      </c>
      <c r="E464" s="56" t="s">
        <v>1091</v>
      </c>
      <c r="F464" s="52" t="s">
        <v>877</v>
      </c>
      <c r="G464" s="52" t="s">
        <v>114</v>
      </c>
      <c r="H464" s="52" t="s">
        <v>405</v>
      </c>
      <c r="I464" s="52" t="s">
        <v>85</v>
      </c>
      <c r="J464" s="52" t="s">
        <v>84</v>
      </c>
      <c r="K464" s="52" t="s">
        <v>85</v>
      </c>
      <c r="L464" s="52" t="s">
        <v>86</v>
      </c>
      <c r="M464" s="52" t="s">
        <v>84</v>
      </c>
      <c r="N464" s="52" t="s">
        <v>85</v>
      </c>
      <c r="O464" s="44" t="s">
        <v>87</v>
      </c>
      <c r="P464" s="44" t="s">
        <v>86</v>
      </c>
      <c r="Q464" s="113" t="s">
        <v>85</v>
      </c>
    </row>
    <row r="465" spans="1:17" ht="87.75" customHeight="1">
      <c r="A465" s="50" t="s">
        <v>33</v>
      </c>
      <c r="B465" s="49">
        <v>46092</v>
      </c>
      <c r="C465" s="49" t="s">
        <v>78</v>
      </c>
      <c r="D465" s="50" t="s">
        <v>98</v>
      </c>
      <c r="E465" s="56" t="s">
        <v>1092</v>
      </c>
      <c r="F465" s="52" t="s">
        <v>451</v>
      </c>
      <c r="G465" s="52" t="s">
        <v>1093</v>
      </c>
      <c r="H465" s="52" t="s">
        <v>405</v>
      </c>
      <c r="I465" s="52" t="s">
        <v>85</v>
      </c>
      <c r="J465" s="52" t="s">
        <v>84</v>
      </c>
      <c r="K465" s="52" t="s">
        <v>85</v>
      </c>
      <c r="L465" s="52" t="s">
        <v>86</v>
      </c>
      <c r="M465" s="52" t="s">
        <v>85</v>
      </c>
      <c r="N465" s="52" t="s">
        <v>85</v>
      </c>
      <c r="O465" s="44" t="s">
        <v>87</v>
      </c>
      <c r="P465" s="44" t="s">
        <v>86</v>
      </c>
      <c r="Q465" s="113" t="s">
        <v>85</v>
      </c>
    </row>
    <row r="466" spans="1:17" ht="97.5" customHeight="1">
      <c r="A466" s="50" t="s">
        <v>33</v>
      </c>
      <c r="B466" s="49">
        <v>46094</v>
      </c>
      <c r="C466" s="49" t="s">
        <v>106</v>
      </c>
      <c r="D466" s="50" t="s">
        <v>98</v>
      </c>
      <c r="E466" s="56" t="s">
        <v>1094</v>
      </c>
      <c r="F466" s="52" t="s">
        <v>1095</v>
      </c>
      <c r="G466" s="52" t="s">
        <v>1096</v>
      </c>
      <c r="H466" s="52" t="s">
        <v>517</v>
      </c>
      <c r="I466" s="52" t="s">
        <v>84</v>
      </c>
      <c r="J466" s="52" t="s">
        <v>84</v>
      </c>
      <c r="K466" s="52" t="s">
        <v>85</v>
      </c>
      <c r="L466" s="52" t="s">
        <v>86</v>
      </c>
      <c r="M466" s="52" t="s">
        <v>85</v>
      </c>
      <c r="N466" s="52" t="s">
        <v>85</v>
      </c>
      <c r="O466" s="44" t="s">
        <v>87</v>
      </c>
      <c r="P466" s="44" t="s">
        <v>86</v>
      </c>
      <c r="Q466" s="113" t="s">
        <v>85</v>
      </c>
    </row>
    <row r="467" spans="1:17" ht="175.5" customHeight="1">
      <c r="A467" s="50" t="s">
        <v>33</v>
      </c>
      <c r="B467" s="49">
        <v>46094</v>
      </c>
      <c r="C467" s="49" t="s">
        <v>123</v>
      </c>
      <c r="D467" s="50" t="s">
        <v>98</v>
      </c>
      <c r="E467" s="56" t="s">
        <v>1097</v>
      </c>
      <c r="F467" s="52" t="s">
        <v>1075</v>
      </c>
      <c r="G467" s="52" t="s">
        <v>125</v>
      </c>
      <c r="H467" s="52" t="s">
        <v>126</v>
      </c>
      <c r="I467" s="52" t="s">
        <v>84</v>
      </c>
      <c r="J467" s="52" t="s">
        <v>84</v>
      </c>
      <c r="K467" s="52" t="s">
        <v>85</v>
      </c>
      <c r="L467" s="52" t="s">
        <v>86</v>
      </c>
      <c r="M467" s="52" t="s">
        <v>85</v>
      </c>
      <c r="N467" s="52" t="s">
        <v>85</v>
      </c>
      <c r="O467" s="52" t="s">
        <v>118</v>
      </c>
      <c r="P467" s="44" t="s">
        <v>86</v>
      </c>
      <c r="Q467" s="113" t="s">
        <v>85</v>
      </c>
    </row>
    <row r="468" spans="1:17" ht="75" customHeight="1">
      <c r="A468" s="50" t="s">
        <v>33</v>
      </c>
      <c r="B468" s="49">
        <v>46095</v>
      </c>
      <c r="C468" s="49" t="s">
        <v>78</v>
      </c>
      <c r="D468" s="50" t="s">
        <v>98</v>
      </c>
      <c r="E468" s="56" t="s">
        <v>1098</v>
      </c>
      <c r="F468" s="52" t="s">
        <v>1095</v>
      </c>
      <c r="G468" s="52" t="s">
        <v>1099</v>
      </c>
      <c r="H468" s="52" t="s">
        <v>517</v>
      </c>
      <c r="I468" s="52" t="s">
        <v>84</v>
      </c>
      <c r="J468" s="52" t="s">
        <v>85</v>
      </c>
      <c r="K468" s="52" t="s">
        <v>84</v>
      </c>
      <c r="L468" s="52" t="s">
        <v>1100</v>
      </c>
      <c r="M468" s="52" t="s">
        <v>85</v>
      </c>
      <c r="N468" s="52" t="s">
        <v>85</v>
      </c>
      <c r="O468" s="52" t="s">
        <v>118</v>
      </c>
      <c r="P468" s="44" t="s">
        <v>86</v>
      </c>
      <c r="Q468" s="113" t="s">
        <v>85</v>
      </c>
    </row>
    <row r="469" spans="1:17" ht="263.25" customHeight="1">
      <c r="A469" s="50" t="s">
        <v>33</v>
      </c>
      <c r="B469" s="49">
        <v>46096</v>
      </c>
      <c r="C469" s="49" t="s">
        <v>106</v>
      </c>
      <c r="D469" s="50" t="s">
        <v>79</v>
      </c>
      <c r="E469" s="56" t="s">
        <v>1101</v>
      </c>
      <c r="F469" s="52" t="s">
        <v>1102</v>
      </c>
      <c r="G469" s="52" t="s">
        <v>1103</v>
      </c>
      <c r="H469" s="52" t="s">
        <v>517</v>
      </c>
      <c r="I469" s="52" t="s">
        <v>84</v>
      </c>
      <c r="J469" s="52" t="s">
        <v>84</v>
      </c>
      <c r="K469" s="52" t="s">
        <v>85</v>
      </c>
      <c r="L469" s="52" t="s">
        <v>86</v>
      </c>
      <c r="M469" s="52" t="s">
        <v>85</v>
      </c>
      <c r="N469" s="52" t="s">
        <v>85</v>
      </c>
      <c r="O469" s="44" t="s">
        <v>87</v>
      </c>
      <c r="P469" s="44" t="s">
        <v>86</v>
      </c>
      <c r="Q469" s="113" t="s">
        <v>85</v>
      </c>
    </row>
    <row r="470" spans="1:17" ht="107.4" customHeight="1">
      <c r="A470" s="50" t="s">
        <v>33</v>
      </c>
      <c r="B470" s="49">
        <v>46096</v>
      </c>
      <c r="C470" s="49" t="s">
        <v>123</v>
      </c>
      <c r="D470" s="50" t="s">
        <v>98</v>
      </c>
      <c r="E470" s="67" t="s">
        <v>1596</v>
      </c>
      <c r="F470" s="52" t="s">
        <v>83</v>
      </c>
      <c r="G470" s="52" t="s">
        <v>1104</v>
      </c>
      <c r="H470" s="52" t="s">
        <v>1105</v>
      </c>
      <c r="I470" s="52" t="s">
        <v>85</v>
      </c>
      <c r="J470" s="52" t="s">
        <v>85</v>
      </c>
      <c r="K470" s="52" t="s">
        <v>84</v>
      </c>
      <c r="L470" s="60" t="s">
        <v>1106</v>
      </c>
      <c r="M470" s="52" t="s">
        <v>85</v>
      </c>
      <c r="N470" s="52" t="s">
        <v>85</v>
      </c>
      <c r="O470" s="52" t="s">
        <v>118</v>
      </c>
      <c r="P470" s="113" t="s">
        <v>1511</v>
      </c>
      <c r="Q470" s="113" t="s">
        <v>85</v>
      </c>
    </row>
    <row r="471" spans="1:17" ht="138" customHeight="1">
      <c r="A471" s="50" t="s">
        <v>33</v>
      </c>
      <c r="B471" s="49">
        <v>46099</v>
      </c>
      <c r="C471" s="49" t="s">
        <v>123</v>
      </c>
      <c r="D471" s="50" t="s">
        <v>79</v>
      </c>
      <c r="E471" s="51" t="s">
        <v>1107</v>
      </c>
      <c r="F471" s="52" t="s">
        <v>354</v>
      </c>
      <c r="G471" s="52" t="s">
        <v>1108</v>
      </c>
      <c r="H471" s="52" t="s">
        <v>670</v>
      </c>
      <c r="I471" s="52" t="s">
        <v>85</v>
      </c>
      <c r="J471" s="52" t="s">
        <v>84</v>
      </c>
      <c r="K471" s="52" t="s">
        <v>85</v>
      </c>
      <c r="L471" s="52" t="s">
        <v>86</v>
      </c>
      <c r="M471" s="52" t="s">
        <v>85</v>
      </c>
      <c r="N471" s="52" t="s">
        <v>85</v>
      </c>
      <c r="O471" s="52" t="s">
        <v>87</v>
      </c>
      <c r="P471" s="44" t="s">
        <v>86</v>
      </c>
      <c r="Q471" s="113" t="s">
        <v>85</v>
      </c>
    </row>
    <row r="472" spans="1:17" ht="159" customHeight="1">
      <c r="A472" s="50" t="s">
        <v>33</v>
      </c>
      <c r="B472" s="49">
        <v>46101</v>
      </c>
      <c r="C472" s="49" t="s">
        <v>106</v>
      </c>
      <c r="D472" s="50" t="s">
        <v>79</v>
      </c>
      <c r="E472" s="51" t="s">
        <v>1109</v>
      </c>
      <c r="F472" s="52" t="s">
        <v>1110</v>
      </c>
      <c r="G472" s="52" t="s">
        <v>1111</v>
      </c>
      <c r="H472" s="52" t="s">
        <v>651</v>
      </c>
      <c r="I472" s="52" t="s">
        <v>84</v>
      </c>
      <c r="J472" s="52" t="s">
        <v>84</v>
      </c>
      <c r="K472" s="52" t="s">
        <v>85</v>
      </c>
      <c r="L472" s="52" t="s">
        <v>86</v>
      </c>
      <c r="M472" s="52" t="s">
        <v>85</v>
      </c>
      <c r="N472" s="52" t="s">
        <v>85</v>
      </c>
      <c r="O472" s="52" t="s">
        <v>87</v>
      </c>
      <c r="P472" s="113" t="s">
        <v>1498</v>
      </c>
      <c r="Q472" s="113" t="s">
        <v>85</v>
      </c>
    </row>
    <row r="473" spans="1:17" ht="300.75" customHeight="1">
      <c r="A473" s="50" t="s">
        <v>33</v>
      </c>
      <c r="B473" s="49">
        <v>46101</v>
      </c>
      <c r="C473" s="49" t="s">
        <v>123</v>
      </c>
      <c r="D473" s="50" t="s">
        <v>79</v>
      </c>
      <c r="E473" s="56" t="s">
        <v>1112</v>
      </c>
      <c r="F473" s="52" t="s">
        <v>1113</v>
      </c>
      <c r="G473" s="52" t="s">
        <v>1114</v>
      </c>
      <c r="H473" s="52" t="s">
        <v>453</v>
      </c>
      <c r="I473" s="52" t="s">
        <v>84</v>
      </c>
      <c r="J473" s="52" t="s">
        <v>85</v>
      </c>
      <c r="K473" s="52" t="s">
        <v>84</v>
      </c>
      <c r="L473" s="52" t="s">
        <v>1115</v>
      </c>
      <c r="M473" s="52" t="s">
        <v>85</v>
      </c>
      <c r="N473" s="52" t="s">
        <v>85</v>
      </c>
      <c r="O473" s="52" t="s">
        <v>87</v>
      </c>
      <c r="P473" s="44" t="s">
        <v>86</v>
      </c>
      <c r="Q473" s="113" t="s">
        <v>85</v>
      </c>
    </row>
    <row r="474" spans="1:17" ht="125.25" customHeight="1">
      <c r="A474" s="50" t="s">
        <v>33</v>
      </c>
      <c r="B474" s="49">
        <v>46102</v>
      </c>
      <c r="C474" s="49" t="s">
        <v>78</v>
      </c>
      <c r="D474" s="50" t="s">
        <v>98</v>
      </c>
      <c r="E474" s="56" t="s">
        <v>1116</v>
      </c>
      <c r="F474" s="52" t="s">
        <v>604</v>
      </c>
      <c r="G474" s="52" t="s">
        <v>1117</v>
      </c>
      <c r="H474" s="52" t="s">
        <v>453</v>
      </c>
      <c r="I474" s="52" t="s">
        <v>85</v>
      </c>
      <c r="J474" s="52" t="s">
        <v>84</v>
      </c>
      <c r="K474" s="52" t="s">
        <v>85</v>
      </c>
      <c r="L474" s="52" t="s">
        <v>86</v>
      </c>
      <c r="M474" s="52" t="s">
        <v>85</v>
      </c>
      <c r="N474" s="52" t="s">
        <v>85</v>
      </c>
      <c r="O474" s="52" t="s">
        <v>87</v>
      </c>
      <c r="P474" s="44" t="s">
        <v>86</v>
      </c>
      <c r="Q474" s="113" t="s">
        <v>85</v>
      </c>
    </row>
    <row r="475" spans="1:17" ht="113.25" customHeight="1">
      <c r="A475" s="50" t="s">
        <v>33</v>
      </c>
      <c r="B475" s="49">
        <v>46102</v>
      </c>
      <c r="C475" s="49" t="s">
        <v>78</v>
      </c>
      <c r="D475" s="50" t="s">
        <v>79</v>
      </c>
      <c r="E475" s="51" t="s">
        <v>1118</v>
      </c>
      <c r="F475" s="52" t="s">
        <v>500</v>
      </c>
      <c r="G475" s="52" t="s">
        <v>1119</v>
      </c>
      <c r="H475" s="52" t="s">
        <v>670</v>
      </c>
      <c r="I475" s="52" t="s">
        <v>85</v>
      </c>
      <c r="J475" s="52" t="s">
        <v>84</v>
      </c>
      <c r="K475" s="52" t="s">
        <v>85</v>
      </c>
      <c r="L475" s="52" t="s">
        <v>86</v>
      </c>
      <c r="M475" s="52" t="s">
        <v>85</v>
      </c>
      <c r="N475" s="52" t="s">
        <v>85</v>
      </c>
      <c r="O475" s="44" t="s">
        <v>87</v>
      </c>
      <c r="P475" s="113" t="s">
        <v>1498</v>
      </c>
      <c r="Q475" s="113" t="s">
        <v>85</v>
      </c>
    </row>
    <row r="476" spans="1:17" ht="112.5" customHeight="1">
      <c r="A476" s="50" t="s">
        <v>33</v>
      </c>
      <c r="B476" s="49">
        <v>46102</v>
      </c>
      <c r="C476" s="49" t="s">
        <v>123</v>
      </c>
      <c r="D476" s="50" t="s">
        <v>98</v>
      </c>
      <c r="E476" s="51" t="s">
        <v>1120</v>
      </c>
      <c r="F476" s="52" t="s">
        <v>350</v>
      </c>
      <c r="G476" s="52" t="s">
        <v>1121</v>
      </c>
      <c r="H476" s="52" t="s">
        <v>684</v>
      </c>
      <c r="I476" s="52" t="s">
        <v>85</v>
      </c>
      <c r="J476" s="52" t="s">
        <v>84</v>
      </c>
      <c r="K476" s="52" t="s">
        <v>85</v>
      </c>
      <c r="L476" s="52" t="s">
        <v>86</v>
      </c>
      <c r="M476" s="52" t="s">
        <v>85</v>
      </c>
      <c r="N476" s="52" t="s">
        <v>85</v>
      </c>
      <c r="O476" s="52" t="s">
        <v>118</v>
      </c>
      <c r="P476" s="113" t="s">
        <v>1506</v>
      </c>
      <c r="Q476" s="113" t="s">
        <v>85</v>
      </c>
    </row>
    <row r="477" spans="1:17" ht="150" customHeight="1">
      <c r="A477" s="50" t="s">
        <v>33</v>
      </c>
      <c r="B477" s="49">
        <v>46105</v>
      </c>
      <c r="C477" s="49" t="s">
        <v>106</v>
      </c>
      <c r="D477" s="50" t="s">
        <v>79</v>
      </c>
      <c r="E477" s="56" t="s">
        <v>1122</v>
      </c>
      <c r="F477" s="52" t="s">
        <v>451</v>
      </c>
      <c r="G477" s="52" t="s">
        <v>362</v>
      </c>
      <c r="H477" s="52" t="s">
        <v>517</v>
      </c>
      <c r="I477" s="52" t="s">
        <v>85</v>
      </c>
      <c r="J477" s="52" t="s">
        <v>84</v>
      </c>
      <c r="K477" s="52" t="s">
        <v>85</v>
      </c>
      <c r="L477" s="52" t="s">
        <v>86</v>
      </c>
      <c r="M477" s="52" t="s">
        <v>85</v>
      </c>
      <c r="N477" s="52" t="s">
        <v>84</v>
      </c>
      <c r="O477" s="44" t="s">
        <v>87</v>
      </c>
      <c r="P477" s="44" t="s">
        <v>86</v>
      </c>
      <c r="Q477" s="113" t="s">
        <v>85</v>
      </c>
    </row>
    <row r="478" spans="1:17" ht="177" customHeight="1">
      <c r="A478" s="50" t="s">
        <v>33</v>
      </c>
      <c r="B478" s="49">
        <v>46105</v>
      </c>
      <c r="C478" s="49" t="s">
        <v>78</v>
      </c>
      <c r="D478" s="50" t="s">
        <v>89</v>
      </c>
      <c r="E478" s="56" t="s">
        <v>1123</v>
      </c>
      <c r="F478" s="52" t="s">
        <v>604</v>
      </c>
      <c r="G478" s="52" t="s">
        <v>1124</v>
      </c>
      <c r="H478" s="52" t="s">
        <v>409</v>
      </c>
      <c r="I478" s="52" t="s">
        <v>84</v>
      </c>
      <c r="J478" s="52" t="s">
        <v>84</v>
      </c>
      <c r="K478" s="52" t="s">
        <v>85</v>
      </c>
      <c r="L478" s="52" t="s">
        <v>86</v>
      </c>
      <c r="M478" s="52" t="s">
        <v>85</v>
      </c>
      <c r="N478" s="52" t="s">
        <v>85</v>
      </c>
      <c r="O478" s="52" t="s">
        <v>118</v>
      </c>
      <c r="P478" s="113" t="s">
        <v>1506</v>
      </c>
      <c r="Q478" s="113" t="s">
        <v>85</v>
      </c>
    </row>
    <row r="479" spans="1:17" ht="125.25" customHeight="1">
      <c r="A479" s="50" t="s">
        <v>33</v>
      </c>
      <c r="B479" s="49">
        <v>46106</v>
      </c>
      <c r="C479" s="49" t="s">
        <v>106</v>
      </c>
      <c r="D479" s="50" t="s">
        <v>79</v>
      </c>
      <c r="E479" s="56" t="s">
        <v>1125</v>
      </c>
      <c r="F479" s="52" t="s">
        <v>350</v>
      </c>
      <c r="G479" s="52" t="s">
        <v>1126</v>
      </c>
      <c r="H479" s="52" t="s">
        <v>453</v>
      </c>
      <c r="I479" s="52" t="s">
        <v>85</v>
      </c>
      <c r="J479" s="52" t="s">
        <v>84</v>
      </c>
      <c r="K479" s="52" t="s">
        <v>85</v>
      </c>
      <c r="L479" s="52" t="s">
        <v>86</v>
      </c>
      <c r="M479" s="52" t="s">
        <v>85</v>
      </c>
      <c r="N479" s="52" t="s">
        <v>85</v>
      </c>
      <c r="O479" s="44" t="s">
        <v>87</v>
      </c>
      <c r="P479" s="44" t="s">
        <v>86</v>
      </c>
      <c r="Q479" s="113" t="s">
        <v>85</v>
      </c>
    </row>
    <row r="480" spans="1:17" ht="116.25" customHeight="1">
      <c r="A480" s="50" t="s">
        <v>33</v>
      </c>
      <c r="B480" s="49">
        <v>46106</v>
      </c>
      <c r="C480" s="49" t="s">
        <v>106</v>
      </c>
      <c r="D480" s="50" t="s">
        <v>89</v>
      </c>
      <c r="E480" s="56" t="s">
        <v>1127</v>
      </c>
      <c r="F480" s="52" t="s">
        <v>992</v>
      </c>
      <c r="G480" s="52" t="s">
        <v>1128</v>
      </c>
      <c r="H480" s="52" t="s">
        <v>93</v>
      </c>
      <c r="I480" s="52" t="s">
        <v>85</v>
      </c>
      <c r="J480" s="52" t="s">
        <v>84</v>
      </c>
      <c r="K480" s="52" t="s">
        <v>85</v>
      </c>
      <c r="L480" s="52" t="s">
        <v>86</v>
      </c>
      <c r="M480" s="52" t="s">
        <v>84</v>
      </c>
      <c r="N480" s="52" t="s">
        <v>85</v>
      </c>
      <c r="O480" s="44" t="s">
        <v>87</v>
      </c>
      <c r="P480" s="44" t="s">
        <v>86</v>
      </c>
      <c r="Q480" s="113" t="s">
        <v>85</v>
      </c>
    </row>
    <row r="481" spans="1:17" ht="234.75" customHeight="1">
      <c r="A481" s="50" t="s">
        <v>33</v>
      </c>
      <c r="B481" s="49">
        <v>46107</v>
      </c>
      <c r="C481" s="49" t="s">
        <v>78</v>
      </c>
      <c r="D481" s="50" t="s">
        <v>89</v>
      </c>
      <c r="E481" s="51" t="s">
        <v>1129</v>
      </c>
      <c r="F481" s="52" t="s">
        <v>604</v>
      </c>
      <c r="G481" s="52" t="s">
        <v>1130</v>
      </c>
      <c r="H481" s="52" t="s">
        <v>453</v>
      </c>
      <c r="I481" s="52" t="s">
        <v>85</v>
      </c>
      <c r="J481" s="52" t="s">
        <v>84</v>
      </c>
      <c r="K481" s="52" t="s">
        <v>85</v>
      </c>
      <c r="L481" s="52" t="s">
        <v>86</v>
      </c>
      <c r="M481" s="52" t="s">
        <v>85</v>
      </c>
      <c r="N481" s="52" t="s">
        <v>85</v>
      </c>
      <c r="O481" s="44" t="s">
        <v>87</v>
      </c>
      <c r="P481" s="113" t="s">
        <v>1499</v>
      </c>
      <c r="Q481" s="113" t="s">
        <v>85</v>
      </c>
    </row>
    <row r="482" spans="1:17" ht="219" customHeight="1">
      <c r="A482" s="50" t="s">
        <v>33</v>
      </c>
      <c r="B482" s="49">
        <v>46107</v>
      </c>
      <c r="C482" s="49" t="s">
        <v>123</v>
      </c>
      <c r="D482" s="50" t="s">
        <v>79</v>
      </c>
      <c r="E482" s="56" t="s">
        <v>1131</v>
      </c>
      <c r="F482" s="52" t="s">
        <v>896</v>
      </c>
      <c r="G482" s="52" t="s">
        <v>1132</v>
      </c>
      <c r="H482" s="52" t="s">
        <v>453</v>
      </c>
      <c r="I482" s="52" t="s">
        <v>85</v>
      </c>
      <c r="J482" s="52" t="s">
        <v>84</v>
      </c>
      <c r="K482" s="52" t="s">
        <v>85</v>
      </c>
      <c r="L482" s="52" t="s">
        <v>86</v>
      </c>
      <c r="M482" s="52" t="s">
        <v>85</v>
      </c>
      <c r="N482" s="52" t="s">
        <v>85</v>
      </c>
      <c r="O482" s="44" t="s">
        <v>87</v>
      </c>
      <c r="P482" s="44" t="s">
        <v>86</v>
      </c>
      <c r="Q482" s="113" t="s">
        <v>85</v>
      </c>
    </row>
    <row r="483" spans="1:17" ht="180.75" customHeight="1">
      <c r="A483" s="50" t="s">
        <v>33</v>
      </c>
      <c r="B483" s="49">
        <v>46108</v>
      </c>
      <c r="C483" s="49" t="s">
        <v>78</v>
      </c>
      <c r="D483" s="50" t="s">
        <v>240</v>
      </c>
      <c r="E483" s="56" t="s">
        <v>1133</v>
      </c>
      <c r="F483" s="52" t="s">
        <v>905</v>
      </c>
      <c r="G483" s="52" t="s">
        <v>1134</v>
      </c>
      <c r="H483" s="52" t="s">
        <v>102</v>
      </c>
      <c r="I483" s="52" t="s">
        <v>85</v>
      </c>
      <c r="J483" s="52" t="s">
        <v>84</v>
      </c>
      <c r="K483" s="52" t="s">
        <v>85</v>
      </c>
      <c r="L483" s="52" t="s">
        <v>86</v>
      </c>
      <c r="M483" s="52" t="s">
        <v>85</v>
      </c>
      <c r="N483" s="52" t="s">
        <v>85</v>
      </c>
      <c r="O483" s="52" t="s">
        <v>118</v>
      </c>
      <c r="P483" s="113" t="s">
        <v>1497</v>
      </c>
      <c r="Q483" s="113" t="s">
        <v>85</v>
      </c>
    </row>
    <row r="484" spans="1:17" ht="163.5" customHeight="1">
      <c r="A484" s="50" t="s">
        <v>33</v>
      </c>
      <c r="B484" s="49">
        <v>46108</v>
      </c>
      <c r="C484" s="49" t="s">
        <v>123</v>
      </c>
      <c r="D484" s="50" t="s">
        <v>79</v>
      </c>
      <c r="E484" s="56" t="s">
        <v>1135</v>
      </c>
      <c r="F484" s="52" t="s">
        <v>1046</v>
      </c>
      <c r="G484" s="52" t="s">
        <v>1136</v>
      </c>
      <c r="H484" s="52" t="s">
        <v>453</v>
      </c>
      <c r="I484" s="52" t="s">
        <v>85</v>
      </c>
      <c r="J484" s="52" t="s">
        <v>84</v>
      </c>
      <c r="K484" s="52" t="s">
        <v>85</v>
      </c>
      <c r="L484" s="52" t="s">
        <v>86</v>
      </c>
      <c r="M484" s="52" t="s">
        <v>85</v>
      </c>
      <c r="N484" s="52" t="s">
        <v>85</v>
      </c>
      <c r="O484" s="44" t="s">
        <v>87</v>
      </c>
      <c r="P484" s="44" t="s">
        <v>86</v>
      </c>
      <c r="Q484" s="113" t="s">
        <v>85</v>
      </c>
    </row>
    <row r="485" spans="1:17" ht="176.25" customHeight="1">
      <c r="A485" s="50" t="s">
        <v>33</v>
      </c>
      <c r="B485" s="49">
        <v>46109</v>
      </c>
      <c r="C485" s="49" t="s">
        <v>106</v>
      </c>
      <c r="D485" s="50" t="s">
        <v>98</v>
      </c>
      <c r="E485" s="56" t="s">
        <v>1137</v>
      </c>
      <c r="F485" s="52" t="s">
        <v>472</v>
      </c>
      <c r="G485" s="52" t="s">
        <v>1138</v>
      </c>
      <c r="H485" s="60" t="s">
        <v>93</v>
      </c>
      <c r="I485" s="52" t="s">
        <v>84</v>
      </c>
      <c r="J485" s="52" t="s">
        <v>84</v>
      </c>
      <c r="K485" s="52" t="s">
        <v>85</v>
      </c>
      <c r="L485" s="52" t="s">
        <v>86</v>
      </c>
      <c r="M485" s="52" t="s">
        <v>85</v>
      </c>
      <c r="N485" s="52" t="s">
        <v>85</v>
      </c>
      <c r="O485" s="44" t="s">
        <v>87</v>
      </c>
      <c r="P485" s="113" t="s">
        <v>1500</v>
      </c>
      <c r="Q485" s="113" t="s">
        <v>85</v>
      </c>
    </row>
    <row r="486" spans="1:17" ht="125.25" customHeight="1">
      <c r="A486" s="50" t="s">
        <v>33</v>
      </c>
      <c r="B486" s="49">
        <v>46109</v>
      </c>
      <c r="C486" s="49" t="s">
        <v>106</v>
      </c>
      <c r="D486" s="50" t="s">
        <v>98</v>
      </c>
      <c r="E486" s="56" t="s">
        <v>1139</v>
      </c>
      <c r="F486" s="52" t="s">
        <v>1046</v>
      </c>
      <c r="G486" s="52" t="s">
        <v>1140</v>
      </c>
      <c r="H486" s="52" t="s">
        <v>517</v>
      </c>
      <c r="I486" s="52" t="s">
        <v>85</v>
      </c>
      <c r="J486" s="52" t="s">
        <v>84</v>
      </c>
      <c r="K486" s="52" t="s">
        <v>85</v>
      </c>
      <c r="L486" s="52" t="s">
        <v>86</v>
      </c>
      <c r="M486" s="52" t="s">
        <v>85</v>
      </c>
      <c r="N486" s="52" t="s">
        <v>85</v>
      </c>
      <c r="O486" s="52" t="s">
        <v>118</v>
      </c>
      <c r="P486" s="44" t="s">
        <v>86</v>
      </c>
      <c r="Q486" s="113" t="s">
        <v>85</v>
      </c>
    </row>
    <row r="487" spans="1:17" ht="175.5" customHeight="1">
      <c r="A487" s="50" t="s">
        <v>33</v>
      </c>
      <c r="B487" s="49">
        <v>46111</v>
      </c>
      <c r="C487" s="49" t="s">
        <v>78</v>
      </c>
      <c r="D487" s="50" t="s">
        <v>83</v>
      </c>
      <c r="E487" s="56" t="s">
        <v>1141</v>
      </c>
      <c r="F487" s="52" t="s">
        <v>1095</v>
      </c>
      <c r="G487" s="52" t="s">
        <v>150</v>
      </c>
      <c r="H487" s="52" t="s">
        <v>409</v>
      </c>
      <c r="I487" s="52" t="s">
        <v>84</v>
      </c>
      <c r="J487" s="52" t="s">
        <v>84</v>
      </c>
      <c r="K487" s="52" t="s">
        <v>85</v>
      </c>
      <c r="L487" s="52" t="s">
        <v>86</v>
      </c>
      <c r="M487" s="52" t="s">
        <v>85</v>
      </c>
      <c r="N487" s="52" t="s">
        <v>85</v>
      </c>
      <c r="O487" s="52" t="s">
        <v>118</v>
      </c>
      <c r="P487" s="113" t="s">
        <v>1506</v>
      </c>
      <c r="Q487" s="113" t="s">
        <v>85</v>
      </c>
    </row>
    <row r="488" spans="1:17" ht="165.75" customHeight="1">
      <c r="A488" s="50" t="s">
        <v>33</v>
      </c>
      <c r="B488" s="49">
        <v>46111</v>
      </c>
      <c r="C488" s="49" t="s">
        <v>106</v>
      </c>
      <c r="D488" s="50" t="s">
        <v>79</v>
      </c>
      <c r="E488" s="56" t="s">
        <v>1142</v>
      </c>
      <c r="F488" s="52" t="s">
        <v>472</v>
      </c>
      <c r="G488" s="52" t="s">
        <v>1143</v>
      </c>
      <c r="H488" s="52" t="s">
        <v>670</v>
      </c>
      <c r="I488" s="52" t="s">
        <v>84</v>
      </c>
      <c r="J488" s="52" t="s">
        <v>85</v>
      </c>
      <c r="K488" s="52" t="s">
        <v>84</v>
      </c>
      <c r="L488" s="52" t="s">
        <v>1144</v>
      </c>
      <c r="M488" s="52" t="s">
        <v>85</v>
      </c>
      <c r="N488" s="52" t="s">
        <v>85</v>
      </c>
      <c r="O488" s="44" t="s">
        <v>87</v>
      </c>
      <c r="P488" s="44" t="s">
        <v>86</v>
      </c>
      <c r="Q488" s="113" t="s">
        <v>85</v>
      </c>
    </row>
    <row r="489" spans="1:17" ht="178.5" customHeight="1">
      <c r="A489" s="50" t="s">
        <v>33</v>
      </c>
      <c r="B489" s="49">
        <v>46111</v>
      </c>
      <c r="C489" s="49" t="s">
        <v>123</v>
      </c>
      <c r="D489" s="50" t="s">
        <v>79</v>
      </c>
      <c r="E489" s="56" t="s">
        <v>1145</v>
      </c>
      <c r="F489" s="52" t="s">
        <v>1102</v>
      </c>
      <c r="G489" s="52" t="s">
        <v>1146</v>
      </c>
      <c r="H489" s="52" t="s">
        <v>799</v>
      </c>
      <c r="I489" s="52" t="s">
        <v>84</v>
      </c>
      <c r="J489" s="52" t="s">
        <v>85</v>
      </c>
      <c r="K489" s="52" t="s">
        <v>84</v>
      </c>
      <c r="L489" s="52" t="s">
        <v>1147</v>
      </c>
      <c r="M489" s="52" t="s">
        <v>85</v>
      </c>
      <c r="N489" s="52" t="s">
        <v>85</v>
      </c>
      <c r="O489" s="44" t="s">
        <v>87</v>
      </c>
      <c r="P489" s="44" t="s">
        <v>86</v>
      </c>
      <c r="Q489" s="113" t="s">
        <v>85</v>
      </c>
    </row>
    <row r="490" spans="1:17" ht="138" customHeight="1">
      <c r="A490" s="50" t="s">
        <v>33</v>
      </c>
      <c r="B490" s="49">
        <v>46111</v>
      </c>
      <c r="C490" s="49" t="s">
        <v>106</v>
      </c>
      <c r="D490" s="50" t="s">
        <v>79</v>
      </c>
      <c r="E490" s="51" t="s">
        <v>1148</v>
      </c>
      <c r="F490" s="52" t="s">
        <v>350</v>
      </c>
      <c r="G490" s="52" t="s">
        <v>1149</v>
      </c>
      <c r="H490" s="52" t="s">
        <v>799</v>
      </c>
      <c r="I490" s="52" t="s">
        <v>85</v>
      </c>
      <c r="J490" s="52" t="s">
        <v>85</v>
      </c>
      <c r="K490" s="52" t="s">
        <v>84</v>
      </c>
      <c r="L490" s="52" t="s">
        <v>1150</v>
      </c>
      <c r="M490" s="52" t="s">
        <v>85</v>
      </c>
      <c r="N490" s="52" t="s">
        <v>85</v>
      </c>
      <c r="O490" s="44" t="s">
        <v>87</v>
      </c>
      <c r="P490" s="44" t="s">
        <v>86</v>
      </c>
      <c r="Q490" s="113" t="s">
        <v>85</v>
      </c>
    </row>
    <row r="491" spans="1:17" ht="93" customHeight="1">
      <c r="A491" s="50" t="s">
        <v>33</v>
      </c>
      <c r="B491" s="49">
        <v>46112</v>
      </c>
      <c r="C491" s="49" t="s">
        <v>78</v>
      </c>
      <c r="D491" s="50" t="s">
        <v>98</v>
      </c>
      <c r="E491" s="56" t="s">
        <v>1151</v>
      </c>
      <c r="F491" s="52" t="s">
        <v>350</v>
      </c>
      <c r="G491" s="52" t="s">
        <v>1152</v>
      </c>
      <c r="H491" s="52" t="s">
        <v>684</v>
      </c>
      <c r="I491" s="52" t="s">
        <v>85</v>
      </c>
      <c r="J491" s="52" t="s">
        <v>84</v>
      </c>
      <c r="K491" s="52" t="s">
        <v>85</v>
      </c>
      <c r="L491" s="52" t="s">
        <v>86</v>
      </c>
      <c r="M491" s="52" t="s">
        <v>85</v>
      </c>
      <c r="N491" s="52" t="s">
        <v>85</v>
      </c>
      <c r="O491" s="44" t="s">
        <v>87</v>
      </c>
      <c r="P491" s="113" t="s">
        <v>1499</v>
      </c>
      <c r="Q491" s="113" t="s">
        <v>85</v>
      </c>
    </row>
    <row r="492" spans="1:17" ht="126.75" customHeight="1">
      <c r="A492" s="50" t="s">
        <v>33</v>
      </c>
      <c r="B492" s="49">
        <v>46112</v>
      </c>
      <c r="C492" s="49" t="s">
        <v>78</v>
      </c>
      <c r="D492" s="50" t="s">
        <v>98</v>
      </c>
      <c r="E492" s="51" t="s">
        <v>1153</v>
      </c>
      <c r="F492" s="52" t="s">
        <v>896</v>
      </c>
      <c r="G492" s="52" t="s">
        <v>1154</v>
      </c>
      <c r="H492" s="52" t="s">
        <v>517</v>
      </c>
      <c r="I492" s="52" t="s">
        <v>85</v>
      </c>
      <c r="J492" s="52" t="s">
        <v>84</v>
      </c>
      <c r="K492" s="52" t="s">
        <v>85</v>
      </c>
      <c r="L492" s="52" t="s">
        <v>86</v>
      </c>
      <c r="M492" s="52" t="s">
        <v>85</v>
      </c>
      <c r="N492" s="52" t="s">
        <v>85</v>
      </c>
      <c r="O492" s="44" t="s">
        <v>87</v>
      </c>
      <c r="P492" s="113" t="s">
        <v>1499</v>
      </c>
      <c r="Q492" s="113" t="s">
        <v>85</v>
      </c>
    </row>
    <row r="493" spans="1:17" ht="75" customHeight="1">
      <c r="A493" s="50" t="s">
        <v>34</v>
      </c>
      <c r="B493" s="49">
        <v>46113</v>
      </c>
      <c r="C493" s="49" t="s">
        <v>106</v>
      </c>
      <c r="D493" s="50" t="s">
        <v>98</v>
      </c>
      <c r="E493" s="56" t="s">
        <v>1155</v>
      </c>
      <c r="F493" s="52" t="s">
        <v>350</v>
      </c>
      <c r="G493" s="52" t="s">
        <v>1156</v>
      </c>
      <c r="H493" s="72" t="s">
        <v>651</v>
      </c>
      <c r="I493" s="52" t="s">
        <v>85</v>
      </c>
      <c r="J493" s="52" t="s">
        <v>85</v>
      </c>
      <c r="K493" s="52" t="s">
        <v>84</v>
      </c>
      <c r="L493" s="52" t="s">
        <v>1157</v>
      </c>
      <c r="M493" s="52" t="s">
        <v>85</v>
      </c>
      <c r="N493" s="52" t="s">
        <v>85</v>
      </c>
      <c r="O493" s="44" t="s">
        <v>87</v>
      </c>
      <c r="P493" s="44" t="s">
        <v>86</v>
      </c>
      <c r="Q493" s="113" t="s">
        <v>85</v>
      </c>
    </row>
    <row r="494" spans="1:17" ht="138" customHeight="1">
      <c r="A494" s="50" t="s">
        <v>34</v>
      </c>
      <c r="B494" s="49">
        <v>46114</v>
      </c>
      <c r="C494" s="49" t="s">
        <v>190</v>
      </c>
      <c r="D494" s="50" t="s">
        <v>98</v>
      </c>
      <c r="E494" s="56" t="s">
        <v>1158</v>
      </c>
      <c r="F494" s="52" t="s">
        <v>497</v>
      </c>
      <c r="G494" s="52" t="s">
        <v>1159</v>
      </c>
      <c r="H494" s="52" t="s">
        <v>684</v>
      </c>
      <c r="I494" s="52" t="s">
        <v>85</v>
      </c>
      <c r="J494" s="52" t="s">
        <v>84</v>
      </c>
      <c r="K494" s="52" t="s">
        <v>85</v>
      </c>
      <c r="L494" s="52" t="s">
        <v>86</v>
      </c>
      <c r="M494" s="52" t="s">
        <v>85</v>
      </c>
      <c r="N494" s="52" t="s">
        <v>85</v>
      </c>
      <c r="O494" s="52" t="s">
        <v>118</v>
      </c>
      <c r="P494" s="44" t="s">
        <v>86</v>
      </c>
      <c r="Q494" s="113" t="s">
        <v>85</v>
      </c>
    </row>
    <row r="495" spans="1:17" ht="169.5" customHeight="1">
      <c r="A495" s="50" t="s">
        <v>34</v>
      </c>
      <c r="B495" s="49">
        <v>46114</v>
      </c>
      <c r="C495" s="49" t="s">
        <v>123</v>
      </c>
      <c r="D495" s="50" t="s">
        <v>79</v>
      </c>
      <c r="E495" s="56" t="s">
        <v>1160</v>
      </c>
      <c r="F495" s="52" t="s">
        <v>1161</v>
      </c>
      <c r="G495" s="52" t="s">
        <v>1162</v>
      </c>
      <c r="H495" s="52" t="s">
        <v>799</v>
      </c>
      <c r="I495" s="52" t="s">
        <v>85</v>
      </c>
      <c r="J495" s="52" t="s">
        <v>85</v>
      </c>
      <c r="K495" s="52" t="s">
        <v>84</v>
      </c>
      <c r="L495" s="52" t="s">
        <v>1163</v>
      </c>
      <c r="M495" s="52" t="s">
        <v>85</v>
      </c>
      <c r="N495" s="52" t="s">
        <v>85</v>
      </c>
      <c r="O495" s="44" t="s">
        <v>87</v>
      </c>
      <c r="P495" s="44" t="s">
        <v>86</v>
      </c>
      <c r="Q495" s="113" t="s">
        <v>85</v>
      </c>
    </row>
    <row r="496" spans="1:17" ht="187.5" customHeight="1">
      <c r="A496" s="50" t="s">
        <v>34</v>
      </c>
      <c r="B496" s="49">
        <v>46115</v>
      </c>
      <c r="C496" s="49" t="s">
        <v>106</v>
      </c>
      <c r="D496" s="50" t="s">
        <v>89</v>
      </c>
      <c r="E496" s="56" t="s">
        <v>1164</v>
      </c>
      <c r="F496" s="72" t="s">
        <v>133</v>
      </c>
      <c r="G496" s="52" t="s">
        <v>1165</v>
      </c>
      <c r="H496" s="52" t="s">
        <v>453</v>
      </c>
      <c r="I496" s="52" t="s">
        <v>85</v>
      </c>
      <c r="J496" s="52" t="s">
        <v>84</v>
      </c>
      <c r="K496" s="52" t="s">
        <v>85</v>
      </c>
      <c r="L496" s="52" t="s">
        <v>86</v>
      </c>
      <c r="M496" s="52" t="s">
        <v>85</v>
      </c>
      <c r="N496" s="52" t="s">
        <v>85</v>
      </c>
      <c r="O496" s="52" t="s">
        <v>118</v>
      </c>
      <c r="P496" s="44" t="s">
        <v>86</v>
      </c>
      <c r="Q496" s="113" t="s">
        <v>85</v>
      </c>
    </row>
    <row r="497" spans="1:17" ht="175.5" customHeight="1">
      <c r="A497" s="50" t="s">
        <v>34</v>
      </c>
      <c r="B497" s="49">
        <v>46118</v>
      </c>
      <c r="C497" s="49" t="s">
        <v>123</v>
      </c>
      <c r="D497" s="50" t="s">
        <v>79</v>
      </c>
      <c r="E497" s="56" t="s">
        <v>1166</v>
      </c>
      <c r="F497" s="53" t="s">
        <v>451</v>
      </c>
      <c r="G497" s="52" t="s">
        <v>1167</v>
      </c>
      <c r="H497" s="52" t="s">
        <v>799</v>
      </c>
      <c r="I497" s="52" t="s">
        <v>85</v>
      </c>
      <c r="J497" s="52" t="s">
        <v>85</v>
      </c>
      <c r="K497" s="52" t="s">
        <v>84</v>
      </c>
      <c r="L497" s="53" t="s">
        <v>1168</v>
      </c>
      <c r="M497" s="52" t="s">
        <v>85</v>
      </c>
      <c r="N497" s="52" t="s">
        <v>85</v>
      </c>
      <c r="O497" s="44" t="s">
        <v>87</v>
      </c>
      <c r="P497" s="44" t="s">
        <v>86</v>
      </c>
      <c r="Q497" s="113" t="s">
        <v>85</v>
      </c>
    </row>
    <row r="498" spans="1:17" ht="175.5" customHeight="1">
      <c r="A498" s="52" t="s">
        <v>34</v>
      </c>
      <c r="B498" s="49">
        <v>46119</v>
      </c>
      <c r="C498" s="49" t="s">
        <v>123</v>
      </c>
      <c r="D498" s="50" t="s">
        <v>98</v>
      </c>
      <c r="E498" s="56" t="s">
        <v>1169</v>
      </c>
      <c r="F498" s="52" t="s">
        <v>350</v>
      </c>
      <c r="G498" s="52" t="s">
        <v>117</v>
      </c>
      <c r="H498" s="52" t="s">
        <v>117</v>
      </c>
      <c r="I498" s="52" t="s">
        <v>85</v>
      </c>
      <c r="J498" s="52" t="s">
        <v>84</v>
      </c>
      <c r="K498" s="52" t="s">
        <v>85</v>
      </c>
      <c r="L498" s="52" t="s">
        <v>86</v>
      </c>
      <c r="M498" s="52" t="s">
        <v>85</v>
      </c>
      <c r="N498" s="52" t="s">
        <v>85</v>
      </c>
      <c r="O498" s="44" t="s">
        <v>87</v>
      </c>
      <c r="P498" s="44" t="s">
        <v>86</v>
      </c>
      <c r="Q498" s="113" t="s">
        <v>85</v>
      </c>
    </row>
    <row r="499" spans="1:17" ht="125.25" customHeight="1">
      <c r="A499" s="50" t="s">
        <v>34</v>
      </c>
      <c r="B499" s="49">
        <v>46119</v>
      </c>
      <c r="C499" s="49" t="s">
        <v>106</v>
      </c>
      <c r="D499" s="50" t="s">
        <v>98</v>
      </c>
      <c r="E499" s="56" t="s">
        <v>1170</v>
      </c>
      <c r="F499" s="52" t="s">
        <v>1102</v>
      </c>
      <c r="G499" s="52" t="s">
        <v>1171</v>
      </c>
      <c r="H499" s="52" t="s">
        <v>670</v>
      </c>
      <c r="I499" s="52" t="s">
        <v>84</v>
      </c>
      <c r="J499" s="52" t="s">
        <v>84</v>
      </c>
      <c r="K499" s="52" t="s">
        <v>85</v>
      </c>
      <c r="L499" s="52" t="s">
        <v>86</v>
      </c>
      <c r="M499" s="52" t="s">
        <v>85</v>
      </c>
      <c r="N499" s="52" t="s">
        <v>85</v>
      </c>
      <c r="O499" s="44" t="s">
        <v>87</v>
      </c>
      <c r="P499" s="113" t="s">
        <v>1498</v>
      </c>
      <c r="Q499" s="113" t="s">
        <v>85</v>
      </c>
    </row>
    <row r="500" spans="1:17" ht="112.5" customHeight="1">
      <c r="A500" s="50" t="s">
        <v>34</v>
      </c>
      <c r="B500" s="49">
        <v>46121</v>
      </c>
      <c r="C500" s="49" t="s">
        <v>88</v>
      </c>
      <c r="D500" s="50" t="s">
        <v>89</v>
      </c>
      <c r="E500" s="56" t="s">
        <v>1172</v>
      </c>
      <c r="F500" s="73" t="s">
        <v>1046</v>
      </c>
      <c r="G500" s="52" t="s">
        <v>117</v>
      </c>
      <c r="H500" s="52" t="s">
        <v>117</v>
      </c>
      <c r="I500" s="52" t="s">
        <v>85</v>
      </c>
      <c r="J500" s="52" t="s">
        <v>84</v>
      </c>
      <c r="K500" s="52" t="s">
        <v>85</v>
      </c>
      <c r="L500" s="52" t="s">
        <v>86</v>
      </c>
      <c r="M500" s="52" t="s">
        <v>85</v>
      </c>
      <c r="N500" s="52" t="s">
        <v>85</v>
      </c>
      <c r="O500" s="52" t="s">
        <v>118</v>
      </c>
      <c r="P500" s="44" t="s">
        <v>86</v>
      </c>
      <c r="Q500" s="113" t="s">
        <v>85</v>
      </c>
    </row>
    <row r="501" spans="1:17" ht="172.5" customHeight="1">
      <c r="A501" s="50" t="s">
        <v>34</v>
      </c>
      <c r="B501" s="49">
        <v>46121</v>
      </c>
      <c r="C501" s="49" t="s">
        <v>123</v>
      </c>
      <c r="D501" s="50" t="s">
        <v>98</v>
      </c>
      <c r="E501" s="51" t="s">
        <v>1173</v>
      </c>
      <c r="F501" s="74" t="s">
        <v>500</v>
      </c>
      <c r="G501" s="53" t="s">
        <v>1174</v>
      </c>
      <c r="H501" s="52" t="s">
        <v>405</v>
      </c>
      <c r="I501" s="52" t="s">
        <v>85</v>
      </c>
      <c r="J501" s="52" t="s">
        <v>84</v>
      </c>
      <c r="K501" s="52" t="s">
        <v>85</v>
      </c>
      <c r="L501" s="52" t="s">
        <v>86</v>
      </c>
      <c r="M501" s="52" t="s">
        <v>85</v>
      </c>
      <c r="N501" s="52" t="s">
        <v>85</v>
      </c>
      <c r="O501" s="44" t="s">
        <v>87</v>
      </c>
      <c r="P501" s="113" t="s">
        <v>1498</v>
      </c>
      <c r="Q501" s="113" t="s">
        <v>85</v>
      </c>
    </row>
    <row r="502" spans="1:17" ht="178.5" customHeight="1">
      <c r="A502" s="50" t="s">
        <v>34</v>
      </c>
      <c r="B502" s="49">
        <v>46123</v>
      </c>
      <c r="C502" s="49" t="s">
        <v>106</v>
      </c>
      <c r="D502" s="50" t="s">
        <v>79</v>
      </c>
      <c r="E502" s="56" t="s">
        <v>1175</v>
      </c>
      <c r="F502" s="52" t="s">
        <v>482</v>
      </c>
      <c r="G502" s="52" t="s">
        <v>1176</v>
      </c>
      <c r="H502" s="52" t="s">
        <v>114</v>
      </c>
      <c r="I502" s="52" t="s">
        <v>85</v>
      </c>
      <c r="J502" s="52" t="s">
        <v>84</v>
      </c>
      <c r="K502" s="52" t="s">
        <v>85</v>
      </c>
      <c r="L502" s="52" t="s">
        <v>86</v>
      </c>
      <c r="M502" s="52" t="s">
        <v>84</v>
      </c>
      <c r="N502" s="52" t="s">
        <v>85</v>
      </c>
      <c r="O502" s="44" t="s">
        <v>87</v>
      </c>
      <c r="P502" s="44" t="s">
        <v>86</v>
      </c>
      <c r="Q502" s="113" t="s">
        <v>85</v>
      </c>
    </row>
    <row r="503" spans="1:17" ht="206.25" customHeight="1">
      <c r="A503" s="50" t="s">
        <v>34</v>
      </c>
      <c r="B503" s="49">
        <v>46125</v>
      </c>
      <c r="C503" s="49" t="s">
        <v>88</v>
      </c>
      <c r="D503" s="50" t="s">
        <v>98</v>
      </c>
      <c r="E503" s="56" t="s">
        <v>1177</v>
      </c>
      <c r="F503" s="52" t="s">
        <v>350</v>
      </c>
      <c r="G503" s="52" t="s">
        <v>1178</v>
      </c>
      <c r="H503" s="52" t="s">
        <v>117</v>
      </c>
      <c r="I503" s="52" t="s">
        <v>85</v>
      </c>
      <c r="J503" s="52" t="s">
        <v>84</v>
      </c>
      <c r="K503" s="52" t="s">
        <v>85</v>
      </c>
      <c r="L503" s="52" t="s">
        <v>86</v>
      </c>
      <c r="M503" s="52" t="s">
        <v>85</v>
      </c>
      <c r="N503" s="52" t="s">
        <v>85</v>
      </c>
      <c r="O503" s="44" t="s">
        <v>87</v>
      </c>
      <c r="P503" s="44" t="s">
        <v>86</v>
      </c>
      <c r="Q503" s="113" t="s">
        <v>85</v>
      </c>
    </row>
    <row r="504" spans="1:17" ht="213" customHeight="1">
      <c r="A504" s="50" t="s">
        <v>34</v>
      </c>
      <c r="B504" s="49">
        <v>46126</v>
      </c>
      <c r="C504" s="49" t="s">
        <v>106</v>
      </c>
      <c r="D504" s="50" t="s">
        <v>98</v>
      </c>
      <c r="E504" s="56" t="s">
        <v>1179</v>
      </c>
      <c r="F504" s="52" t="s">
        <v>992</v>
      </c>
      <c r="G504" s="52" t="s">
        <v>1180</v>
      </c>
      <c r="H504" s="52" t="s">
        <v>102</v>
      </c>
      <c r="I504" s="52" t="s">
        <v>85</v>
      </c>
      <c r="J504" s="52" t="s">
        <v>84</v>
      </c>
      <c r="K504" s="52" t="s">
        <v>85</v>
      </c>
      <c r="L504" s="52" t="s">
        <v>86</v>
      </c>
      <c r="M504" s="52" t="s">
        <v>84</v>
      </c>
      <c r="N504" s="52" t="s">
        <v>85</v>
      </c>
      <c r="O504" s="44" t="s">
        <v>87</v>
      </c>
      <c r="P504" s="44" t="s">
        <v>86</v>
      </c>
      <c r="Q504" s="113" t="s">
        <v>85</v>
      </c>
    </row>
    <row r="505" spans="1:17" ht="125.25" customHeight="1">
      <c r="A505" s="50" t="s">
        <v>34</v>
      </c>
      <c r="B505" s="49">
        <v>46126</v>
      </c>
      <c r="C505" s="49" t="s">
        <v>106</v>
      </c>
      <c r="D505" s="50" t="s">
        <v>98</v>
      </c>
      <c r="E505" s="56" t="s">
        <v>1181</v>
      </c>
      <c r="F505" s="52" t="s">
        <v>543</v>
      </c>
      <c r="G505" s="53" t="s">
        <v>1182</v>
      </c>
      <c r="H505" s="53" t="s">
        <v>405</v>
      </c>
      <c r="I505" s="52" t="s">
        <v>85</v>
      </c>
      <c r="J505" s="52" t="s">
        <v>84</v>
      </c>
      <c r="K505" s="52" t="s">
        <v>85</v>
      </c>
      <c r="L505" s="52" t="s">
        <v>86</v>
      </c>
      <c r="M505" s="52" t="s">
        <v>85</v>
      </c>
      <c r="N505" s="52" t="s">
        <v>85</v>
      </c>
      <c r="O505" s="44" t="s">
        <v>87</v>
      </c>
      <c r="P505" s="44" t="s">
        <v>86</v>
      </c>
      <c r="Q505" s="113" t="s">
        <v>85</v>
      </c>
    </row>
    <row r="506" spans="1:17" ht="76.5" customHeight="1">
      <c r="A506" s="50" t="s">
        <v>34</v>
      </c>
      <c r="B506" s="49">
        <v>46126</v>
      </c>
      <c r="C506" s="49" t="s">
        <v>220</v>
      </c>
      <c r="D506" s="50" t="s">
        <v>98</v>
      </c>
      <c r="E506" s="56" t="s">
        <v>1183</v>
      </c>
      <c r="F506" s="53" t="s">
        <v>350</v>
      </c>
      <c r="G506" s="53" t="s">
        <v>1184</v>
      </c>
      <c r="H506" s="53" t="s">
        <v>405</v>
      </c>
      <c r="I506" s="52" t="s">
        <v>85</v>
      </c>
      <c r="J506" s="52" t="s">
        <v>84</v>
      </c>
      <c r="K506" s="52" t="s">
        <v>85</v>
      </c>
      <c r="L506" s="52" t="s">
        <v>86</v>
      </c>
      <c r="M506" s="52" t="s">
        <v>85</v>
      </c>
      <c r="N506" s="52" t="s">
        <v>85</v>
      </c>
      <c r="O506" s="52" t="s">
        <v>118</v>
      </c>
      <c r="P506" s="44" t="s">
        <v>86</v>
      </c>
      <c r="Q506" s="113" t="s">
        <v>85</v>
      </c>
    </row>
    <row r="507" spans="1:17" ht="87.75" customHeight="1">
      <c r="A507" s="50" t="s">
        <v>34</v>
      </c>
      <c r="B507" s="49">
        <v>46127</v>
      </c>
      <c r="C507" s="49" t="s">
        <v>106</v>
      </c>
      <c r="D507" s="50" t="s">
        <v>136</v>
      </c>
      <c r="E507" s="56" t="s">
        <v>1185</v>
      </c>
      <c r="F507" s="52" t="s">
        <v>668</v>
      </c>
      <c r="G507" s="53" t="s">
        <v>1186</v>
      </c>
      <c r="H507" s="53" t="s">
        <v>670</v>
      </c>
      <c r="I507" s="52" t="s">
        <v>85</v>
      </c>
      <c r="J507" s="52" t="s">
        <v>85</v>
      </c>
      <c r="K507" s="52" t="s">
        <v>84</v>
      </c>
      <c r="L507" s="52" t="s">
        <v>1187</v>
      </c>
      <c r="M507" s="52" t="s">
        <v>85</v>
      </c>
      <c r="N507" s="52" t="s">
        <v>85</v>
      </c>
      <c r="O507" s="52" t="s">
        <v>118</v>
      </c>
      <c r="P507" s="44" t="s">
        <v>86</v>
      </c>
      <c r="Q507" s="113" t="s">
        <v>85</v>
      </c>
    </row>
    <row r="508" spans="1:17" ht="67.5" customHeight="1">
      <c r="A508" s="50" t="s">
        <v>34</v>
      </c>
      <c r="B508" s="49">
        <v>46130</v>
      </c>
      <c r="C508" s="49" t="s">
        <v>88</v>
      </c>
      <c r="D508" s="50" t="s">
        <v>136</v>
      </c>
      <c r="E508" s="56" t="s">
        <v>1188</v>
      </c>
      <c r="F508" s="60" t="s">
        <v>249</v>
      </c>
      <c r="G508" s="52" t="s">
        <v>1189</v>
      </c>
      <c r="H508" s="52" t="s">
        <v>251</v>
      </c>
      <c r="I508" s="52" t="s">
        <v>85</v>
      </c>
      <c r="J508" s="52" t="s">
        <v>85</v>
      </c>
      <c r="K508" s="52" t="s">
        <v>84</v>
      </c>
      <c r="L508" s="52" t="s">
        <v>1190</v>
      </c>
      <c r="M508" s="52" t="s">
        <v>85</v>
      </c>
      <c r="N508" s="52" t="s">
        <v>85</v>
      </c>
      <c r="O508" s="52" t="s">
        <v>118</v>
      </c>
      <c r="P508" s="44" t="s">
        <v>86</v>
      </c>
      <c r="Q508" s="113" t="s">
        <v>85</v>
      </c>
    </row>
    <row r="509" spans="1:17" ht="118.5" customHeight="1">
      <c r="A509" s="50" t="s">
        <v>34</v>
      </c>
      <c r="B509" s="49">
        <v>46130</v>
      </c>
      <c r="C509" s="49" t="s">
        <v>106</v>
      </c>
      <c r="D509" s="50" t="s">
        <v>98</v>
      </c>
      <c r="E509" s="56" t="s">
        <v>1191</v>
      </c>
      <c r="F509" s="52" t="s">
        <v>877</v>
      </c>
      <c r="G509" s="53" t="s">
        <v>1192</v>
      </c>
      <c r="H509" s="52" t="s">
        <v>114</v>
      </c>
      <c r="I509" s="52" t="s">
        <v>85</v>
      </c>
      <c r="J509" s="52" t="s">
        <v>84</v>
      </c>
      <c r="K509" s="52" t="s">
        <v>85</v>
      </c>
      <c r="L509" s="52" t="s">
        <v>86</v>
      </c>
      <c r="M509" s="52" t="s">
        <v>84</v>
      </c>
      <c r="N509" s="52" t="s">
        <v>85</v>
      </c>
      <c r="O509" s="52" t="s">
        <v>118</v>
      </c>
      <c r="P509" s="113" t="s">
        <v>1511</v>
      </c>
      <c r="Q509" s="113" t="s">
        <v>85</v>
      </c>
    </row>
    <row r="510" spans="1:17" ht="125.25" customHeight="1">
      <c r="A510" s="50" t="s">
        <v>34</v>
      </c>
      <c r="B510" s="49">
        <v>46130</v>
      </c>
      <c r="C510" s="49" t="s">
        <v>123</v>
      </c>
      <c r="D510" s="50" t="s">
        <v>79</v>
      </c>
      <c r="E510" s="56" t="s">
        <v>1193</v>
      </c>
      <c r="F510" s="52" t="s">
        <v>497</v>
      </c>
      <c r="G510" s="75" t="s">
        <v>1194</v>
      </c>
      <c r="H510" s="52" t="s">
        <v>591</v>
      </c>
      <c r="I510" s="52" t="s">
        <v>85</v>
      </c>
      <c r="J510" s="52" t="s">
        <v>85</v>
      </c>
      <c r="K510" s="52" t="s">
        <v>84</v>
      </c>
      <c r="L510" s="76" t="s">
        <v>1195</v>
      </c>
      <c r="M510" s="52" t="s">
        <v>85</v>
      </c>
      <c r="N510" s="52" t="s">
        <v>85</v>
      </c>
      <c r="O510" s="44" t="s">
        <v>87</v>
      </c>
      <c r="P510" s="44" t="s">
        <v>86</v>
      </c>
      <c r="Q510" s="113" t="s">
        <v>85</v>
      </c>
    </row>
    <row r="511" spans="1:17" ht="162.75" customHeight="1">
      <c r="A511" s="50" t="s">
        <v>34</v>
      </c>
      <c r="B511" s="49">
        <v>46133</v>
      </c>
      <c r="C511" s="49" t="s">
        <v>106</v>
      </c>
      <c r="D511" s="50" t="s">
        <v>79</v>
      </c>
      <c r="E511" s="56" t="s">
        <v>1196</v>
      </c>
      <c r="F511" s="52" t="s">
        <v>350</v>
      </c>
      <c r="G511" s="53" t="s">
        <v>1197</v>
      </c>
      <c r="H511" s="52" t="s">
        <v>670</v>
      </c>
      <c r="I511" s="52" t="s">
        <v>84</v>
      </c>
      <c r="J511" s="52" t="s">
        <v>85</v>
      </c>
      <c r="K511" s="52" t="s">
        <v>84</v>
      </c>
      <c r="L511" s="52" t="s">
        <v>1198</v>
      </c>
      <c r="M511" s="52" t="s">
        <v>85</v>
      </c>
      <c r="N511" s="52" t="s">
        <v>85</v>
      </c>
      <c r="O511" s="44" t="s">
        <v>87</v>
      </c>
      <c r="P511" s="44" t="s">
        <v>86</v>
      </c>
      <c r="Q511" s="113" t="s">
        <v>85</v>
      </c>
    </row>
    <row r="512" spans="1:17" ht="150" customHeight="1">
      <c r="A512" s="50" t="s">
        <v>34</v>
      </c>
      <c r="B512" s="49">
        <v>46134</v>
      </c>
      <c r="C512" s="49" t="s">
        <v>106</v>
      </c>
      <c r="D512" s="50" t="s">
        <v>98</v>
      </c>
      <c r="E512" s="56" t="s">
        <v>1199</v>
      </c>
      <c r="F512" s="52" t="s">
        <v>372</v>
      </c>
      <c r="G512" s="53" t="s">
        <v>1200</v>
      </c>
      <c r="H512" s="52" t="s">
        <v>517</v>
      </c>
      <c r="I512" s="52" t="s">
        <v>85</v>
      </c>
      <c r="J512" s="52" t="s">
        <v>84</v>
      </c>
      <c r="K512" s="52" t="s">
        <v>85</v>
      </c>
      <c r="L512" s="52" t="s">
        <v>86</v>
      </c>
      <c r="M512" s="52" t="s">
        <v>85</v>
      </c>
      <c r="N512" s="52" t="s">
        <v>85</v>
      </c>
      <c r="O512" s="44" t="s">
        <v>87</v>
      </c>
      <c r="P512" s="113" t="s">
        <v>1498</v>
      </c>
      <c r="Q512" s="113" t="s">
        <v>85</v>
      </c>
    </row>
    <row r="513" spans="1:17" ht="145.5" customHeight="1">
      <c r="A513" s="50" t="s">
        <v>34</v>
      </c>
      <c r="B513" s="49">
        <v>46135</v>
      </c>
      <c r="C513" s="49" t="s">
        <v>106</v>
      </c>
      <c r="D513" s="50" t="s">
        <v>98</v>
      </c>
      <c r="E513" s="56" t="s">
        <v>1201</v>
      </c>
      <c r="F513" s="52" t="s">
        <v>96</v>
      </c>
      <c r="G513" s="53" t="s">
        <v>1202</v>
      </c>
      <c r="H513" s="52" t="s">
        <v>117</v>
      </c>
      <c r="I513" s="52" t="s">
        <v>85</v>
      </c>
      <c r="J513" s="52" t="s">
        <v>84</v>
      </c>
      <c r="K513" s="52" t="s">
        <v>85</v>
      </c>
      <c r="L513" s="52" t="s">
        <v>86</v>
      </c>
      <c r="M513" s="52" t="s">
        <v>85</v>
      </c>
      <c r="N513" s="52" t="s">
        <v>85</v>
      </c>
      <c r="O513" s="52" t="s">
        <v>118</v>
      </c>
      <c r="P513" s="44" t="s">
        <v>86</v>
      </c>
      <c r="Q513" s="113" t="s">
        <v>85</v>
      </c>
    </row>
    <row r="514" spans="1:17" ht="195" customHeight="1">
      <c r="A514" s="50" t="s">
        <v>34</v>
      </c>
      <c r="B514" s="49">
        <v>46137</v>
      </c>
      <c r="C514" s="49" t="s">
        <v>123</v>
      </c>
      <c r="D514" s="50" t="s">
        <v>79</v>
      </c>
      <c r="E514" s="56" t="s">
        <v>1203</v>
      </c>
      <c r="F514" s="52" t="s">
        <v>618</v>
      </c>
      <c r="G514" s="53" t="s">
        <v>1204</v>
      </c>
      <c r="H514" s="52" t="s">
        <v>670</v>
      </c>
      <c r="I514" s="52" t="s">
        <v>85</v>
      </c>
      <c r="J514" s="52" t="s">
        <v>85</v>
      </c>
      <c r="K514" s="52" t="s">
        <v>84</v>
      </c>
      <c r="L514" s="56" t="s">
        <v>1205</v>
      </c>
      <c r="M514" s="52" t="s">
        <v>85</v>
      </c>
      <c r="N514" s="52" t="s">
        <v>85</v>
      </c>
      <c r="O514" s="44" t="s">
        <v>87</v>
      </c>
      <c r="P514" s="44" t="s">
        <v>86</v>
      </c>
      <c r="Q514" s="113" t="s">
        <v>85</v>
      </c>
    </row>
    <row r="515" spans="1:17" ht="112.5" customHeight="1">
      <c r="A515" s="50" t="s">
        <v>34</v>
      </c>
      <c r="B515" s="49">
        <v>46137</v>
      </c>
      <c r="C515" s="49" t="s">
        <v>78</v>
      </c>
      <c r="D515" s="50" t="s">
        <v>98</v>
      </c>
      <c r="E515" s="56" t="s">
        <v>1206</v>
      </c>
      <c r="F515" s="53" t="s">
        <v>604</v>
      </c>
      <c r="G515" s="52" t="s">
        <v>1207</v>
      </c>
      <c r="H515" s="52" t="s">
        <v>175</v>
      </c>
      <c r="I515" s="52" t="s">
        <v>84</v>
      </c>
      <c r="J515" s="52" t="s">
        <v>85</v>
      </c>
      <c r="K515" s="52" t="s">
        <v>84</v>
      </c>
      <c r="L515" s="52" t="s">
        <v>1208</v>
      </c>
      <c r="M515" s="52" t="s">
        <v>85</v>
      </c>
      <c r="N515" s="52" t="s">
        <v>85</v>
      </c>
      <c r="O515" s="44" t="s">
        <v>87</v>
      </c>
      <c r="P515" s="44" t="s">
        <v>86</v>
      </c>
      <c r="Q515" s="113" t="s">
        <v>85</v>
      </c>
    </row>
    <row r="516" spans="1:17" ht="105" customHeight="1">
      <c r="A516" s="50" t="s">
        <v>34</v>
      </c>
      <c r="B516" s="49">
        <v>46137</v>
      </c>
      <c r="C516" s="49" t="s">
        <v>106</v>
      </c>
      <c r="D516" s="50" t="s">
        <v>79</v>
      </c>
      <c r="E516" s="56" t="s">
        <v>1209</v>
      </c>
      <c r="F516" s="52" t="s">
        <v>472</v>
      </c>
      <c r="G516" s="52" t="s">
        <v>1210</v>
      </c>
      <c r="H516" s="52" t="s">
        <v>93</v>
      </c>
      <c r="I516" s="52" t="s">
        <v>84</v>
      </c>
      <c r="J516" s="52" t="s">
        <v>84</v>
      </c>
      <c r="K516" s="52" t="s">
        <v>85</v>
      </c>
      <c r="L516" s="52" t="s">
        <v>86</v>
      </c>
      <c r="M516" s="52" t="s">
        <v>85</v>
      </c>
      <c r="N516" s="52" t="s">
        <v>85</v>
      </c>
      <c r="O516" s="44" t="s">
        <v>87</v>
      </c>
      <c r="P516" s="44" t="s">
        <v>86</v>
      </c>
      <c r="Q516" s="113" t="s">
        <v>85</v>
      </c>
    </row>
    <row r="517" spans="1:17" ht="99.75" customHeight="1">
      <c r="A517" s="50" t="s">
        <v>34</v>
      </c>
      <c r="B517" s="49">
        <v>46137</v>
      </c>
      <c r="C517" s="49" t="s">
        <v>78</v>
      </c>
      <c r="D517" s="50" t="s">
        <v>79</v>
      </c>
      <c r="E517" s="56" t="s">
        <v>1211</v>
      </c>
      <c r="F517" s="52" t="s">
        <v>543</v>
      </c>
      <c r="G517" s="52" t="s">
        <v>1039</v>
      </c>
      <c r="H517" s="52" t="s">
        <v>102</v>
      </c>
      <c r="I517" s="52" t="s">
        <v>85</v>
      </c>
      <c r="J517" s="52" t="s">
        <v>84</v>
      </c>
      <c r="K517" s="52" t="s">
        <v>85</v>
      </c>
      <c r="L517" s="52" t="s">
        <v>86</v>
      </c>
      <c r="M517" s="52" t="s">
        <v>85</v>
      </c>
      <c r="N517" s="52" t="s">
        <v>85</v>
      </c>
      <c r="O517" s="44" t="s">
        <v>87</v>
      </c>
      <c r="P517" s="44" t="s">
        <v>86</v>
      </c>
      <c r="Q517" s="113" t="s">
        <v>85</v>
      </c>
    </row>
    <row r="518" spans="1:17" ht="75" customHeight="1">
      <c r="A518" s="50" t="s">
        <v>34</v>
      </c>
      <c r="B518" s="49">
        <v>46137</v>
      </c>
      <c r="C518" s="49" t="s">
        <v>106</v>
      </c>
      <c r="D518" s="50" t="s">
        <v>79</v>
      </c>
      <c r="E518" s="56" t="s">
        <v>1212</v>
      </c>
      <c r="F518" s="52" t="s">
        <v>451</v>
      </c>
      <c r="G518" s="52" t="s">
        <v>1213</v>
      </c>
      <c r="H518" s="60" t="s">
        <v>102</v>
      </c>
      <c r="I518" s="52" t="s">
        <v>85</v>
      </c>
      <c r="J518" s="52" t="s">
        <v>84</v>
      </c>
      <c r="K518" s="52" t="s">
        <v>85</v>
      </c>
      <c r="L518" s="52" t="s">
        <v>86</v>
      </c>
      <c r="M518" s="52" t="s">
        <v>85</v>
      </c>
      <c r="N518" s="52" t="s">
        <v>85</v>
      </c>
      <c r="O518" s="44" t="s">
        <v>87</v>
      </c>
      <c r="P518" s="44" t="s">
        <v>86</v>
      </c>
      <c r="Q518" s="113" t="s">
        <v>85</v>
      </c>
    </row>
    <row r="519" spans="1:17" ht="146.25" customHeight="1">
      <c r="A519" s="50" t="s">
        <v>34</v>
      </c>
      <c r="B519" s="49">
        <v>46137</v>
      </c>
      <c r="C519" s="49" t="s">
        <v>88</v>
      </c>
      <c r="D519" s="50" t="s">
        <v>83</v>
      </c>
      <c r="E519" s="56" t="s">
        <v>1214</v>
      </c>
      <c r="F519" s="52" t="s">
        <v>668</v>
      </c>
      <c r="G519" s="52" t="s">
        <v>117</v>
      </c>
      <c r="H519" s="52" t="s">
        <v>117</v>
      </c>
      <c r="I519" s="52" t="s">
        <v>85</v>
      </c>
      <c r="J519" s="52" t="s">
        <v>85</v>
      </c>
      <c r="K519" s="52" t="s">
        <v>84</v>
      </c>
      <c r="L519" s="52" t="s">
        <v>1215</v>
      </c>
      <c r="M519" s="52" t="s">
        <v>85</v>
      </c>
      <c r="N519" s="52" t="s">
        <v>85</v>
      </c>
      <c r="O519" s="44" t="s">
        <v>87</v>
      </c>
      <c r="P519" s="44" t="s">
        <v>86</v>
      </c>
      <c r="Q519" s="113" t="s">
        <v>85</v>
      </c>
    </row>
    <row r="520" spans="1:17" ht="115.5" customHeight="1">
      <c r="A520" s="50" t="s">
        <v>34</v>
      </c>
      <c r="B520" s="49">
        <v>46139</v>
      </c>
      <c r="C520" s="49" t="s">
        <v>78</v>
      </c>
      <c r="D520" s="50" t="s">
        <v>79</v>
      </c>
      <c r="E520" s="56" t="s">
        <v>1216</v>
      </c>
      <c r="F520" s="52" t="s">
        <v>451</v>
      </c>
      <c r="G520" s="52" t="s">
        <v>1217</v>
      </c>
      <c r="H520" s="52" t="s">
        <v>405</v>
      </c>
      <c r="I520" s="52" t="s">
        <v>85</v>
      </c>
      <c r="J520" s="52" t="s">
        <v>84</v>
      </c>
      <c r="K520" s="52" t="s">
        <v>85</v>
      </c>
      <c r="L520" s="52" t="s">
        <v>86</v>
      </c>
      <c r="M520" s="52" t="s">
        <v>85</v>
      </c>
      <c r="N520" s="52" t="s">
        <v>84</v>
      </c>
      <c r="O520" s="44" t="s">
        <v>87</v>
      </c>
      <c r="P520" s="44" t="s">
        <v>86</v>
      </c>
      <c r="Q520" s="113" t="s">
        <v>85</v>
      </c>
    </row>
    <row r="521" spans="1:17" ht="175.5" customHeight="1">
      <c r="A521" s="50" t="s">
        <v>34</v>
      </c>
      <c r="B521" s="49">
        <v>46140</v>
      </c>
      <c r="C521" s="49" t="s">
        <v>123</v>
      </c>
      <c r="D521" s="50" t="s">
        <v>98</v>
      </c>
      <c r="E521" s="56" t="s">
        <v>1218</v>
      </c>
      <c r="F521" s="53" t="s">
        <v>96</v>
      </c>
      <c r="G521" s="52" t="s">
        <v>150</v>
      </c>
      <c r="H521" s="52" t="s">
        <v>83</v>
      </c>
      <c r="I521" s="52" t="s">
        <v>85</v>
      </c>
      <c r="J521" s="52" t="s">
        <v>84</v>
      </c>
      <c r="K521" s="52" t="s">
        <v>85</v>
      </c>
      <c r="L521" s="52" t="s">
        <v>86</v>
      </c>
      <c r="M521" s="52" t="s">
        <v>85</v>
      </c>
      <c r="N521" s="52" t="s">
        <v>85</v>
      </c>
      <c r="O521" s="44" t="s">
        <v>87</v>
      </c>
      <c r="P521" s="44" t="s">
        <v>86</v>
      </c>
      <c r="Q521" s="113" t="s">
        <v>85</v>
      </c>
    </row>
    <row r="522" spans="1:17" ht="105" customHeight="1">
      <c r="A522" s="50" t="s">
        <v>34</v>
      </c>
      <c r="B522" s="49">
        <v>46141</v>
      </c>
      <c r="C522" s="49" t="s">
        <v>106</v>
      </c>
      <c r="D522" s="50" t="s">
        <v>98</v>
      </c>
      <c r="E522" s="51" t="s">
        <v>1219</v>
      </c>
      <c r="F522" s="52" t="s">
        <v>451</v>
      </c>
      <c r="G522" s="52" t="s">
        <v>1220</v>
      </c>
      <c r="H522" s="52" t="s">
        <v>405</v>
      </c>
      <c r="I522" s="52" t="s">
        <v>84</v>
      </c>
      <c r="J522" s="52" t="s">
        <v>84</v>
      </c>
      <c r="K522" s="52" t="s">
        <v>85</v>
      </c>
      <c r="L522" s="52" t="s">
        <v>86</v>
      </c>
      <c r="M522" s="52" t="s">
        <v>85</v>
      </c>
      <c r="N522" s="52" t="s">
        <v>85</v>
      </c>
      <c r="O522" s="44" t="s">
        <v>87</v>
      </c>
      <c r="P522" s="113" t="s">
        <v>303</v>
      </c>
      <c r="Q522" s="113" t="s">
        <v>85</v>
      </c>
    </row>
    <row r="523" spans="1:17" ht="120" customHeight="1">
      <c r="A523" s="50" t="s">
        <v>34</v>
      </c>
      <c r="B523" s="49">
        <v>46142</v>
      </c>
      <c r="C523" s="49" t="s">
        <v>78</v>
      </c>
      <c r="D523" s="50" t="s">
        <v>98</v>
      </c>
      <c r="E523" s="56" t="s">
        <v>1221</v>
      </c>
      <c r="F523" s="52" t="s">
        <v>96</v>
      </c>
      <c r="G523" s="52" t="s">
        <v>1222</v>
      </c>
      <c r="H523" s="52" t="s">
        <v>405</v>
      </c>
      <c r="I523" s="52" t="s">
        <v>85</v>
      </c>
      <c r="J523" s="52" t="s">
        <v>84</v>
      </c>
      <c r="K523" s="52" t="s">
        <v>85</v>
      </c>
      <c r="L523" s="52" t="s">
        <v>86</v>
      </c>
      <c r="M523" s="52" t="s">
        <v>85</v>
      </c>
      <c r="N523" s="52" t="s">
        <v>85</v>
      </c>
      <c r="O523" s="44" t="s">
        <v>87</v>
      </c>
      <c r="P523" s="113" t="s">
        <v>303</v>
      </c>
      <c r="Q523" s="113" t="s">
        <v>85</v>
      </c>
    </row>
    <row r="524" spans="1:17" ht="213" customHeight="1">
      <c r="A524" s="50" t="s">
        <v>35</v>
      </c>
      <c r="B524" s="49">
        <v>46143</v>
      </c>
      <c r="C524" s="49" t="s">
        <v>106</v>
      </c>
      <c r="D524" s="50" t="s">
        <v>83</v>
      </c>
      <c r="E524" s="56" t="s">
        <v>1223</v>
      </c>
      <c r="F524" s="52" t="s">
        <v>91</v>
      </c>
      <c r="G524" s="52" t="s">
        <v>1224</v>
      </c>
      <c r="H524" s="52" t="s">
        <v>409</v>
      </c>
      <c r="I524" s="52" t="s">
        <v>85</v>
      </c>
      <c r="J524" s="52" t="s">
        <v>85</v>
      </c>
      <c r="K524" s="52" t="s">
        <v>84</v>
      </c>
      <c r="L524" s="52" t="s">
        <v>1225</v>
      </c>
      <c r="M524" s="52" t="s">
        <v>84</v>
      </c>
      <c r="N524" s="52" t="s">
        <v>85</v>
      </c>
      <c r="O524" s="44" t="s">
        <v>87</v>
      </c>
      <c r="P524" s="44" t="s">
        <v>86</v>
      </c>
      <c r="Q524" s="113" t="s">
        <v>85</v>
      </c>
    </row>
    <row r="525" spans="1:17" ht="105.6">
      <c r="A525" s="50" t="s">
        <v>35</v>
      </c>
      <c r="B525" s="49">
        <v>46143</v>
      </c>
      <c r="C525" s="49" t="s">
        <v>78</v>
      </c>
      <c r="D525" s="50" t="s">
        <v>98</v>
      </c>
      <c r="E525" s="56" t="s">
        <v>1226</v>
      </c>
      <c r="F525" s="52" t="s">
        <v>451</v>
      </c>
      <c r="G525" s="77" t="s">
        <v>1227</v>
      </c>
      <c r="H525" s="52" t="s">
        <v>684</v>
      </c>
      <c r="I525" s="52" t="s">
        <v>85</v>
      </c>
      <c r="J525" s="52" t="s">
        <v>84</v>
      </c>
      <c r="K525" s="52" t="s">
        <v>85</v>
      </c>
      <c r="L525" s="52" t="s">
        <v>86</v>
      </c>
      <c r="M525" s="52" t="s">
        <v>85</v>
      </c>
      <c r="N525" s="52" t="s">
        <v>85</v>
      </c>
      <c r="O525" s="52" t="s">
        <v>118</v>
      </c>
      <c r="P525" s="44" t="s">
        <v>86</v>
      </c>
      <c r="Q525" s="113" t="s">
        <v>85</v>
      </c>
    </row>
    <row r="526" spans="1:17" ht="79.2">
      <c r="A526" s="50" t="s">
        <v>35</v>
      </c>
      <c r="B526" s="49">
        <v>46143</v>
      </c>
      <c r="C526" s="49" t="s">
        <v>78</v>
      </c>
      <c r="D526" s="50" t="s">
        <v>89</v>
      </c>
      <c r="E526" s="56" t="s">
        <v>1228</v>
      </c>
      <c r="F526" s="52" t="s">
        <v>500</v>
      </c>
      <c r="G526" s="77" t="s">
        <v>1229</v>
      </c>
      <c r="H526" s="52" t="s">
        <v>527</v>
      </c>
      <c r="I526" s="52" t="s">
        <v>85</v>
      </c>
      <c r="J526" s="52" t="s">
        <v>84</v>
      </c>
      <c r="K526" s="52" t="s">
        <v>85</v>
      </c>
      <c r="L526" s="52" t="s">
        <v>86</v>
      </c>
      <c r="M526" s="52" t="s">
        <v>85</v>
      </c>
      <c r="N526" s="52" t="s">
        <v>85</v>
      </c>
      <c r="O526" s="52" t="s">
        <v>118</v>
      </c>
      <c r="P526" s="113" t="s">
        <v>1497</v>
      </c>
      <c r="Q526" s="113" t="s">
        <v>85</v>
      </c>
    </row>
    <row r="527" spans="1:17" ht="126" customHeight="1">
      <c r="A527" s="50" t="s">
        <v>35</v>
      </c>
      <c r="B527" s="49">
        <v>46145</v>
      </c>
      <c r="C527" s="49" t="s">
        <v>106</v>
      </c>
      <c r="D527" s="50" t="s">
        <v>98</v>
      </c>
      <c r="E527" s="56" t="s">
        <v>1230</v>
      </c>
      <c r="F527" s="52" t="s">
        <v>1075</v>
      </c>
      <c r="G527" s="53" t="s">
        <v>1231</v>
      </c>
      <c r="H527" s="52" t="s">
        <v>405</v>
      </c>
      <c r="I527" s="52" t="s">
        <v>84</v>
      </c>
      <c r="J527" s="52" t="s">
        <v>84</v>
      </c>
      <c r="K527" s="52" t="s">
        <v>85</v>
      </c>
      <c r="L527" s="52" t="s">
        <v>86</v>
      </c>
      <c r="M527" s="52" t="s">
        <v>85</v>
      </c>
      <c r="N527" s="52" t="s">
        <v>85</v>
      </c>
      <c r="O527" s="44" t="s">
        <v>87</v>
      </c>
      <c r="P527" s="44" t="s">
        <v>86</v>
      </c>
      <c r="Q527" s="113" t="s">
        <v>570</v>
      </c>
    </row>
    <row r="528" spans="1:17" ht="138" customHeight="1">
      <c r="A528" s="50" t="s">
        <v>35</v>
      </c>
      <c r="B528" s="49">
        <v>46145</v>
      </c>
      <c r="C528" s="49" t="s">
        <v>78</v>
      </c>
      <c r="D528" s="50" t="s">
        <v>98</v>
      </c>
      <c r="E528" s="51" t="s">
        <v>1232</v>
      </c>
      <c r="F528" s="52" t="s">
        <v>472</v>
      </c>
      <c r="G528" s="53" t="s">
        <v>1233</v>
      </c>
      <c r="H528" s="52" t="s">
        <v>83</v>
      </c>
      <c r="I528" s="52" t="s">
        <v>84</v>
      </c>
      <c r="J528" s="52" t="s">
        <v>84</v>
      </c>
      <c r="K528" s="52" t="s">
        <v>85</v>
      </c>
      <c r="L528" s="52" t="s">
        <v>86</v>
      </c>
      <c r="M528" s="52" t="s">
        <v>85</v>
      </c>
      <c r="N528" s="52" t="s">
        <v>85</v>
      </c>
      <c r="O528" s="44" t="s">
        <v>87</v>
      </c>
      <c r="P528" s="44" t="s">
        <v>86</v>
      </c>
      <c r="Q528" s="113" t="s">
        <v>85</v>
      </c>
    </row>
    <row r="529" spans="1:17" ht="125.25" customHeight="1">
      <c r="A529" s="50" t="s">
        <v>35</v>
      </c>
      <c r="B529" s="49">
        <v>46146</v>
      </c>
      <c r="C529" s="49" t="s">
        <v>78</v>
      </c>
      <c r="D529" s="50" t="s">
        <v>98</v>
      </c>
      <c r="E529" s="51" t="s">
        <v>1234</v>
      </c>
      <c r="F529" s="52" t="s">
        <v>100</v>
      </c>
      <c r="G529" s="53" t="s">
        <v>1235</v>
      </c>
      <c r="H529" s="52" t="s">
        <v>517</v>
      </c>
      <c r="I529" s="52" t="s">
        <v>85</v>
      </c>
      <c r="J529" s="52" t="s">
        <v>84</v>
      </c>
      <c r="K529" s="52" t="s">
        <v>85</v>
      </c>
      <c r="L529" s="52" t="s">
        <v>86</v>
      </c>
      <c r="M529" s="52" t="s">
        <v>85</v>
      </c>
      <c r="N529" s="52" t="s">
        <v>85</v>
      </c>
      <c r="O529" s="44" t="s">
        <v>87</v>
      </c>
      <c r="P529" s="44" t="s">
        <v>86</v>
      </c>
      <c r="Q529" s="113" t="s">
        <v>85</v>
      </c>
    </row>
    <row r="530" spans="1:17" ht="87.75" customHeight="1">
      <c r="A530" s="50" t="s">
        <v>35</v>
      </c>
      <c r="B530" s="49">
        <v>46149</v>
      </c>
      <c r="C530" s="49" t="s">
        <v>123</v>
      </c>
      <c r="D530" s="50" t="s">
        <v>98</v>
      </c>
      <c r="E530" s="56" t="s">
        <v>1236</v>
      </c>
      <c r="F530" s="52" t="s">
        <v>100</v>
      </c>
      <c r="G530" s="52" t="s">
        <v>1237</v>
      </c>
      <c r="H530" s="52" t="s">
        <v>517</v>
      </c>
      <c r="I530" s="52" t="s">
        <v>85</v>
      </c>
      <c r="J530" s="52" t="s">
        <v>84</v>
      </c>
      <c r="K530" s="52" t="s">
        <v>85</v>
      </c>
      <c r="L530" s="52" t="s">
        <v>86</v>
      </c>
      <c r="M530" s="52" t="s">
        <v>85</v>
      </c>
      <c r="N530" s="52" t="s">
        <v>85</v>
      </c>
      <c r="O530" s="52" t="s">
        <v>118</v>
      </c>
      <c r="P530" s="113" t="s">
        <v>1497</v>
      </c>
      <c r="Q530" s="113" t="s">
        <v>85</v>
      </c>
    </row>
    <row r="531" spans="1:17" ht="118.8">
      <c r="A531" s="50" t="s">
        <v>35</v>
      </c>
      <c r="B531" s="49">
        <v>46149</v>
      </c>
      <c r="C531" s="49" t="s">
        <v>88</v>
      </c>
      <c r="D531" s="50" t="s">
        <v>98</v>
      </c>
      <c r="E531" s="56" t="s">
        <v>1238</v>
      </c>
      <c r="F531" s="52" t="s">
        <v>100</v>
      </c>
      <c r="G531" s="52" t="s">
        <v>1239</v>
      </c>
      <c r="H531" s="52" t="s">
        <v>405</v>
      </c>
      <c r="I531" s="52" t="s">
        <v>85</v>
      </c>
      <c r="J531" s="52" t="s">
        <v>84</v>
      </c>
      <c r="K531" s="52" t="s">
        <v>85</v>
      </c>
      <c r="L531" s="52" t="s">
        <v>86</v>
      </c>
      <c r="M531" s="52" t="s">
        <v>85</v>
      </c>
      <c r="N531" s="52" t="s">
        <v>85</v>
      </c>
      <c r="O531" s="52" t="s">
        <v>118</v>
      </c>
      <c r="P531" s="113" t="s">
        <v>1500</v>
      </c>
      <c r="Q531" s="113" t="s">
        <v>85</v>
      </c>
    </row>
    <row r="532" spans="1:17" ht="262.5" customHeight="1">
      <c r="A532" s="50" t="s">
        <v>35</v>
      </c>
      <c r="B532" s="49">
        <v>46151</v>
      </c>
      <c r="C532" s="49" t="s">
        <v>123</v>
      </c>
      <c r="D532" s="50" t="s">
        <v>79</v>
      </c>
      <c r="E532" s="56" t="s">
        <v>1240</v>
      </c>
      <c r="F532" s="53" t="s">
        <v>161</v>
      </c>
      <c r="G532" s="52" t="s">
        <v>1241</v>
      </c>
      <c r="H532" s="52" t="s">
        <v>251</v>
      </c>
      <c r="I532" s="52" t="s">
        <v>85</v>
      </c>
      <c r="J532" s="52" t="s">
        <v>84</v>
      </c>
      <c r="K532" s="52" t="s">
        <v>85</v>
      </c>
      <c r="L532" s="52" t="s">
        <v>86</v>
      </c>
      <c r="M532" s="52" t="s">
        <v>85</v>
      </c>
      <c r="N532" s="52" t="s">
        <v>85</v>
      </c>
      <c r="O532" s="44" t="s">
        <v>87</v>
      </c>
      <c r="P532" s="44" t="s">
        <v>86</v>
      </c>
      <c r="Q532" s="113" t="s">
        <v>85</v>
      </c>
    </row>
    <row r="533" spans="1:17" ht="165" customHeight="1">
      <c r="A533" s="50" t="s">
        <v>35</v>
      </c>
      <c r="B533" s="49">
        <v>46152</v>
      </c>
      <c r="C533" s="49" t="s">
        <v>123</v>
      </c>
      <c r="D533" s="50" t="s">
        <v>79</v>
      </c>
      <c r="E533" s="56" t="s">
        <v>1242</v>
      </c>
      <c r="F533" s="52" t="s">
        <v>508</v>
      </c>
      <c r="G533" s="52" t="s">
        <v>126</v>
      </c>
      <c r="H533" s="52" t="s">
        <v>517</v>
      </c>
      <c r="I533" s="52" t="s">
        <v>85</v>
      </c>
      <c r="J533" s="52" t="s">
        <v>84</v>
      </c>
      <c r="K533" s="52" t="s">
        <v>85</v>
      </c>
      <c r="L533" s="52" t="s">
        <v>86</v>
      </c>
      <c r="M533" s="52" t="s">
        <v>85</v>
      </c>
      <c r="N533" s="52" t="s">
        <v>85</v>
      </c>
      <c r="O533" s="44" t="s">
        <v>87</v>
      </c>
      <c r="P533" s="44" t="s">
        <v>86</v>
      </c>
      <c r="Q533" s="113" t="s">
        <v>85</v>
      </c>
    </row>
    <row r="534" spans="1:17" ht="150" customHeight="1">
      <c r="A534" s="50" t="s">
        <v>35</v>
      </c>
      <c r="B534" s="49">
        <v>46152</v>
      </c>
      <c r="C534" s="49" t="s">
        <v>78</v>
      </c>
      <c r="D534" s="50" t="s">
        <v>79</v>
      </c>
      <c r="E534" s="56" t="s">
        <v>1243</v>
      </c>
      <c r="F534" s="52" t="s">
        <v>100</v>
      </c>
      <c r="G534" s="44" t="s">
        <v>1244</v>
      </c>
      <c r="H534" s="52" t="s">
        <v>517</v>
      </c>
      <c r="I534" s="52" t="s">
        <v>85</v>
      </c>
      <c r="J534" s="52" t="s">
        <v>84</v>
      </c>
      <c r="K534" s="52" t="s">
        <v>85</v>
      </c>
      <c r="L534" s="52" t="s">
        <v>86</v>
      </c>
      <c r="M534" s="52" t="s">
        <v>85</v>
      </c>
      <c r="N534" s="52" t="s">
        <v>84</v>
      </c>
      <c r="O534" s="44" t="s">
        <v>87</v>
      </c>
      <c r="P534" s="44" t="s">
        <v>86</v>
      </c>
      <c r="Q534" s="113" t="s">
        <v>85</v>
      </c>
    </row>
    <row r="535" spans="1:17" ht="107.25" customHeight="1">
      <c r="A535" s="50" t="s">
        <v>35</v>
      </c>
      <c r="B535" s="49">
        <v>46152</v>
      </c>
      <c r="C535" s="49" t="s">
        <v>220</v>
      </c>
      <c r="D535" s="50" t="s">
        <v>89</v>
      </c>
      <c r="E535" s="56" t="s">
        <v>1245</v>
      </c>
      <c r="F535" s="52" t="s">
        <v>100</v>
      </c>
      <c r="G535" s="52" t="s">
        <v>1246</v>
      </c>
      <c r="H535" s="78" t="s">
        <v>670</v>
      </c>
      <c r="I535" s="52" t="s">
        <v>85</v>
      </c>
      <c r="J535" s="52" t="s">
        <v>84</v>
      </c>
      <c r="K535" s="52" t="s">
        <v>85</v>
      </c>
      <c r="L535" s="52" t="s">
        <v>86</v>
      </c>
      <c r="M535" s="52" t="s">
        <v>85</v>
      </c>
      <c r="N535" s="52" t="s">
        <v>85</v>
      </c>
      <c r="O535" s="52" t="s">
        <v>118</v>
      </c>
      <c r="P535" s="113" t="s">
        <v>1498</v>
      </c>
      <c r="Q535" s="113" t="s">
        <v>85</v>
      </c>
    </row>
    <row r="536" spans="1:17" ht="188.25" customHeight="1">
      <c r="A536" s="50" t="s">
        <v>35</v>
      </c>
      <c r="B536" s="49">
        <v>46153</v>
      </c>
      <c r="C536" s="49" t="s">
        <v>88</v>
      </c>
      <c r="D536" s="50" t="s">
        <v>79</v>
      </c>
      <c r="E536" s="56" t="s">
        <v>1247</v>
      </c>
      <c r="F536" s="52" t="s">
        <v>939</v>
      </c>
      <c r="G536" s="52" t="s">
        <v>1248</v>
      </c>
      <c r="H536" s="52" t="s">
        <v>251</v>
      </c>
      <c r="I536" s="52" t="s">
        <v>85</v>
      </c>
      <c r="J536" s="52" t="s">
        <v>84</v>
      </c>
      <c r="K536" s="52" t="s">
        <v>85</v>
      </c>
      <c r="L536" s="52" t="s">
        <v>86</v>
      </c>
      <c r="M536" s="52" t="s">
        <v>85</v>
      </c>
      <c r="N536" s="52" t="s">
        <v>85</v>
      </c>
      <c r="O536" s="44" t="s">
        <v>87</v>
      </c>
      <c r="P536" s="44" t="s">
        <v>86</v>
      </c>
      <c r="Q536" s="113" t="s">
        <v>85</v>
      </c>
    </row>
    <row r="537" spans="1:17" ht="123" customHeight="1">
      <c r="A537" s="50" t="s">
        <v>35</v>
      </c>
      <c r="B537" s="49">
        <v>46153</v>
      </c>
      <c r="C537" s="49" t="s">
        <v>106</v>
      </c>
      <c r="D537" s="50" t="s">
        <v>79</v>
      </c>
      <c r="E537" s="56" t="s">
        <v>1249</v>
      </c>
      <c r="F537" s="52" t="s">
        <v>161</v>
      </c>
      <c r="G537" s="52" t="s">
        <v>1250</v>
      </c>
      <c r="H537" s="52" t="s">
        <v>517</v>
      </c>
      <c r="I537" s="52" t="s">
        <v>85</v>
      </c>
      <c r="J537" s="52" t="s">
        <v>84</v>
      </c>
      <c r="K537" s="52" t="s">
        <v>85</v>
      </c>
      <c r="L537" s="52" t="s">
        <v>86</v>
      </c>
      <c r="M537" s="52" t="s">
        <v>85</v>
      </c>
      <c r="N537" s="52" t="s">
        <v>85</v>
      </c>
      <c r="O537" s="44" t="s">
        <v>87</v>
      </c>
      <c r="P537" s="44" t="s">
        <v>86</v>
      </c>
      <c r="Q537" s="113" t="s">
        <v>85</v>
      </c>
    </row>
    <row r="538" spans="1:17" ht="187.5" customHeight="1">
      <c r="A538" s="50" t="s">
        <v>35</v>
      </c>
      <c r="B538" s="49">
        <v>46153</v>
      </c>
      <c r="C538" s="49" t="s">
        <v>106</v>
      </c>
      <c r="D538" s="50" t="s">
        <v>98</v>
      </c>
      <c r="E538" s="51" t="s">
        <v>1251</v>
      </c>
      <c r="F538" s="52" t="s">
        <v>100</v>
      </c>
      <c r="G538" s="52" t="s">
        <v>1252</v>
      </c>
      <c r="H538" s="52" t="s">
        <v>651</v>
      </c>
      <c r="I538" s="52" t="s">
        <v>85</v>
      </c>
      <c r="J538" s="52" t="s">
        <v>84</v>
      </c>
      <c r="K538" s="52" t="s">
        <v>85</v>
      </c>
      <c r="L538" s="52" t="s">
        <v>86</v>
      </c>
      <c r="M538" s="52" t="s">
        <v>85</v>
      </c>
      <c r="N538" s="52" t="s">
        <v>85</v>
      </c>
      <c r="O538" s="44" t="s">
        <v>87</v>
      </c>
      <c r="P538" s="113" t="s">
        <v>1497</v>
      </c>
      <c r="Q538" s="113" t="s">
        <v>85</v>
      </c>
    </row>
    <row r="539" spans="1:17" ht="113.25" customHeight="1">
      <c r="A539" s="50" t="s">
        <v>35</v>
      </c>
      <c r="B539" s="49">
        <v>46153</v>
      </c>
      <c r="C539" s="49" t="s">
        <v>106</v>
      </c>
      <c r="D539" s="50" t="s">
        <v>98</v>
      </c>
      <c r="E539" s="56" t="s">
        <v>1253</v>
      </c>
      <c r="F539" s="52" t="s">
        <v>829</v>
      </c>
      <c r="G539" s="52" t="s">
        <v>1254</v>
      </c>
      <c r="H539" s="52" t="s">
        <v>409</v>
      </c>
      <c r="I539" s="52" t="s">
        <v>85</v>
      </c>
      <c r="J539" s="52" t="s">
        <v>84</v>
      </c>
      <c r="K539" s="52" t="s">
        <v>85</v>
      </c>
      <c r="L539" s="52" t="s">
        <v>86</v>
      </c>
      <c r="M539" s="52" t="s">
        <v>85</v>
      </c>
      <c r="N539" s="52" t="s">
        <v>85</v>
      </c>
      <c r="O539" s="44" t="s">
        <v>87</v>
      </c>
      <c r="P539" s="44" t="s">
        <v>86</v>
      </c>
      <c r="Q539" s="113" t="s">
        <v>85</v>
      </c>
    </row>
    <row r="540" spans="1:17" ht="103.5" customHeight="1">
      <c r="A540" s="50" t="s">
        <v>35</v>
      </c>
      <c r="B540" s="49">
        <v>46155</v>
      </c>
      <c r="C540" s="49" t="s">
        <v>106</v>
      </c>
      <c r="D540" s="50" t="s">
        <v>98</v>
      </c>
      <c r="E540" s="56" t="s">
        <v>1255</v>
      </c>
      <c r="F540" s="52" t="s">
        <v>451</v>
      </c>
      <c r="G540" s="53" t="s">
        <v>681</v>
      </c>
      <c r="H540" s="52" t="s">
        <v>517</v>
      </c>
      <c r="I540" s="52" t="s">
        <v>85</v>
      </c>
      <c r="J540" s="52" t="s">
        <v>84</v>
      </c>
      <c r="K540" s="52" t="s">
        <v>85</v>
      </c>
      <c r="L540" s="52" t="s">
        <v>86</v>
      </c>
      <c r="M540" s="52" t="s">
        <v>85</v>
      </c>
      <c r="N540" s="52" t="s">
        <v>85</v>
      </c>
      <c r="O540" s="52" t="s">
        <v>118</v>
      </c>
      <c r="P540" s="113" t="s">
        <v>1498</v>
      </c>
      <c r="Q540" s="113" t="s">
        <v>85</v>
      </c>
    </row>
    <row r="541" spans="1:17" ht="163.5" customHeight="1">
      <c r="A541" s="50" t="s">
        <v>35</v>
      </c>
      <c r="B541" s="49">
        <v>46155</v>
      </c>
      <c r="C541" s="49" t="s">
        <v>78</v>
      </c>
      <c r="D541" s="50" t="s">
        <v>83</v>
      </c>
      <c r="E541" s="56" t="s">
        <v>1256</v>
      </c>
      <c r="F541" s="52" t="s">
        <v>1257</v>
      </c>
      <c r="G541" s="53" t="s">
        <v>1258</v>
      </c>
      <c r="H541" s="52" t="s">
        <v>684</v>
      </c>
      <c r="I541" s="52" t="s">
        <v>84</v>
      </c>
      <c r="J541" s="52" t="s">
        <v>84</v>
      </c>
      <c r="K541" s="52" t="s">
        <v>85</v>
      </c>
      <c r="L541" s="52" t="s">
        <v>86</v>
      </c>
      <c r="M541" s="52" t="s">
        <v>85</v>
      </c>
      <c r="N541" s="52" t="s">
        <v>85</v>
      </c>
      <c r="O541" s="44" t="s">
        <v>87</v>
      </c>
      <c r="P541" s="44" t="s">
        <v>86</v>
      </c>
      <c r="Q541" s="113" t="s">
        <v>85</v>
      </c>
    </row>
    <row r="542" spans="1:17" ht="116.25" customHeight="1">
      <c r="A542" s="50" t="s">
        <v>35</v>
      </c>
      <c r="B542" s="49">
        <v>46156</v>
      </c>
      <c r="C542" s="49" t="s">
        <v>106</v>
      </c>
      <c r="D542" s="50" t="s">
        <v>79</v>
      </c>
      <c r="E542" s="56" t="s">
        <v>1259</v>
      </c>
      <c r="F542" s="52" t="s">
        <v>350</v>
      </c>
      <c r="G542" s="53" t="s">
        <v>126</v>
      </c>
      <c r="H542" s="52" t="s">
        <v>517</v>
      </c>
      <c r="I542" s="52" t="s">
        <v>85</v>
      </c>
      <c r="J542" s="52" t="s">
        <v>84</v>
      </c>
      <c r="K542" s="52" t="s">
        <v>85</v>
      </c>
      <c r="L542" s="52" t="s">
        <v>86</v>
      </c>
      <c r="M542" s="52" t="s">
        <v>85</v>
      </c>
      <c r="N542" s="52" t="s">
        <v>85</v>
      </c>
      <c r="O542" s="44" t="s">
        <v>87</v>
      </c>
      <c r="P542" s="44" t="s">
        <v>86</v>
      </c>
      <c r="Q542" s="113" t="s">
        <v>85</v>
      </c>
    </row>
    <row r="543" spans="1:17" ht="147" customHeight="1">
      <c r="A543" s="50" t="s">
        <v>35</v>
      </c>
      <c r="B543" s="49">
        <v>46157</v>
      </c>
      <c r="C543" s="49" t="s">
        <v>106</v>
      </c>
      <c r="D543" s="50" t="s">
        <v>79</v>
      </c>
      <c r="E543" s="56" t="s">
        <v>1260</v>
      </c>
      <c r="F543" s="52" t="s">
        <v>1113</v>
      </c>
      <c r="G543" s="53" t="s">
        <v>1261</v>
      </c>
      <c r="H543" s="52" t="s">
        <v>453</v>
      </c>
      <c r="I543" s="52" t="s">
        <v>84</v>
      </c>
      <c r="J543" s="52" t="s">
        <v>84</v>
      </c>
      <c r="K543" s="52" t="s">
        <v>85</v>
      </c>
      <c r="L543" s="52" t="s">
        <v>86</v>
      </c>
      <c r="M543" s="52" t="s">
        <v>85</v>
      </c>
      <c r="N543" s="52" t="s">
        <v>85</v>
      </c>
      <c r="O543" s="52" t="s">
        <v>118</v>
      </c>
      <c r="P543" s="44" t="s">
        <v>86</v>
      </c>
      <c r="Q543" s="113" t="s">
        <v>85</v>
      </c>
    </row>
    <row r="544" spans="1:17" ht="141" customHeight="1">
      <c r="A544" s="50" t="s">
        <v>35</v>
      </c>
      <c r="B544" s="49">
        <v>46157</v>
      </c>
      <c r="C544" s="49" t="s">
        <v>106</v>
      </c>
      <c r="D544" s="50" t="s">
        <v>98</v>
      </c>
      <c r="E544" s="56" t="s">
        <v>1262</v>
      </c>
      <c r="F544" s="52" t="s">
        <v>451</v>
      </c>
      <c r="G544" s="53" t="s">
        <v>320</v>
      </c>
      <c r="H544" s="52" t="s">
        <v>83</v>
      </c>
      <c r="I544" s="52" t="s">
        <v>85</v>
      </c>
      <c r="J544" s="52" t="s">
        <v>84</v>
      </c>
      <c r="K544" s="52" t="s">
        <v>85</v>
      </c>
      <c r="L544" s="52" t="s">
        <v>86</v>
      </c>
      <c r="M544" s="52" t="s">
        <v>85</v>
      </c>
      <c r="N544" s="52" t="s">
        <v>85</v>
      </c>
      <c r="O544" s="52" t="s">
        <v>118</v>
      </c>
      <c r="P544" s="44" t="s">
        <v>86</v>
      </c>
      <c r="Q544" s="113" t="s">
        <v>85</v>
      </c>
    </row>
    <row r="545" spans="1:17" ht="175.5" customHeight="1">
      <c r="A545" s="50" t="s">
        <v>35</v>
      </c>
      <c r="B545" s="49">
        <v>46158</v>
      </c>
      <c r="C545" s="49" t="s">
        <v>88</v>
      </c>
      <c r="D545" s="50" t="s">
        <v>98</v>
      </c>
      <c r="E545" s="56" t="s">
        <v>1263</v>
      </c>
      <c r="F545" s="53" t="s">
        <v>500</v>
      </c>
      <c r="G545" s="52" t="s">
        <v>1264</v>
      </c>
      <c r="H545" s="52" t="s">
        <v>651</v>
      </c>
      <c r="I545" s="52" t="s">
        <v>85</v>
      </c>
      <c r="J545" s="52" t="s">
        <v>84</v>
      </c>
      <c r="K545" s="52" t="s">
        <v>85</v>
      </c>
      <c r="L545" s="52" t="s">
        <v>86</v>
      </c>
      <c r="M545" s="52" t="s">
        <v>85</v>
      </c>
      <c r="N545" s="52" t="s">
        <v>85</v>
      </c>
      <c r="O545" s="44" t="s">
        <v>87</v>
      </c>
      <c r="P545" s="113" t="s">
        <v>1497</v>
      </c>
      <c r="Q545" s="113" t="s">
        <v>85</v>
      </c>
    </row>
    <row r="546" spans="1:17" ht="113.25" customHeight="1">
      <c r="A546" s="50" t="s">
        <v>35</v>
      </c>
      <c r="B546" s="49">
        <v>46158</v>
      </c>
      <c r="C546" s="49" t="s">
        <v>106</v>
      </c>
      <c r="D546" s="50" t="s">
        <v>98</v>
      </c>
      <c r="E546" s="56" t="s">
        <v>1265</v>
      </c>
      <c r="F546" s="52" t="s">
        <v>554</v>
      </c>
      <c r="G546" s="52" t="s">
        <v>1266</v>
      </c>
      <c r="H546" s="52" t="s">
        <v>689</v>
      </c>
      <c r="I546" s="52" t="s">
        <v>84</v>
      </c>
      <c r="J546" s="52" t="s">
        <v>84</v>
      </c>
      <c r="K546" s="52" t="s">
        <v>85</v>
      </c>
      <c r="L546" s="52" t="s">
        <v>86</v>
      </c>
      <c r="M546" s="52" t="s">
        <v>85</v>
      </c>
      <c r="N546" s="52" t="s">
        <v>85</v>
      </c>
      <c r="O546" s="44" t="s">
        <v>87</v>
      </c>
      <c r="P546" s="113" t="s">
        <v>1499</v>
      </c>
      <c r="Q546" s="113" t="s">
        <v>85</v>
      </c>
    </row>
    <row r="547" spans="1:17" s="129" customFormat="1" ht="201.75" customHeight="1">
      <c r="A547" s="124" t="s">
        <v>35</v>
      </c>
      <c r="B547" s="123">
        <v>46159</v>
      </c>
      <c r="C547" s="123" t="s">
        <v>88</v>
      </c>
      <c r="D547" s="124" t="s">
        <v>89</v>
      </c>
      <c r="E547" s="130" t="s">
        <v>1267</v>
      </c>
      <c r="F547" s="131" t="s">
        <v>1110</v>
      </c>
      <c r="G547" s="126" t="s">
        <v>1268</v>
      </c>
      <c r="H547" s="126" t="s">
        <v>93</v>
      </c>
      <c r="I547" s="126" t="s">
        <v>84</v>
      </c>
      <c r="J547" s="126" t="s">
        <v>84</v>
      </c>
      <c r="K547" s="126" t="s">
        <v>85</v>
      </c>
      <c r="L547" s="132" t="s">
        <v>1269</v>
      </c>
      <c r="M547" s="126" t="s">
        <v>85</v>
      </c>
      <c r="N547" s="126" t="s">
        <v>85</v>
      </c>
      <c r="O547" s="126" t="s">
        <v>118</v>
      </c>
      <c r="P547" s="127" t="s">
        <v>86</v>
      </c>
      <c r="Q547" s="128" t="s">
        <v>570</v>
      </c>
    </row>
    <row r="548" spans="1:17" ht="250.5" customHeight="1">
      <c r="A548" s="50" t="s">
        <v>35</v>
      </c>
      <c r="B548" s="49">
        <v>46160</v>
      </c>
      <c r="C548" s="49" t="s">
        <v>123</v>
      </c>
      <c r="D548" s="50" t="s">
        <v>79</v>
      </c>
      <c r="E548" s="56" t="s">
        <v>1270</v>
      </c>
      <c r="F548" s="52" t="s">
        <v>508</v>
      </c>
      <c r="G548" s="52" t="s">
        <v>1271</v>
      </c>
      <c r="H548" s="52" t="s">
        <v>670</v>
      </c>
      <c r="I548" s="52" t="s">
        <v>85</v>
      </c>
      <c r="J548" s="52" t="s">
        <v>84</v>
      </c>
      <c r="K548" s="52" t="s">
        <v>85</v>
      </c>
      <c r="L548" s="52" t="s">
        <v>86</v>
      </c>
      <c r="M548" s="52" t="s">
        <v>85</v>
      </c>
      <c r="N548" s="52" t="s">
        <v>85</v>
      </c>
      <c r="O548" s="44" t="s">
        <v>87</v>
      </c>
      <c r="P548" s="44" t="s">
        <v>86</v>
      </c>
      <c r="Q548" s="113" t="s">
        <v>85</v>
      </c>
    </row>
    <row r="549" spans="1:17" ht="187.5" customHeight="1">
      <c r="A549" s="50" t="s">
        <v>35</v>
      </c>
      <c r="B549" s="49">
        <v>46161</v>
      </c>
      <c r="C549" s="49" t="s">
        <v>78</v>
      </c>
      <c r="D549" s="50" t="s">
        <v>98</v>
      </c>
      <c r="E549" s="56" t="s">
        <v>1272</v>
      </c>
      <c r="F549" s="52" t="s">
        <v>83</v>
      </c>
      <c r="G549" s="52" t="s">
        <v>1273</v>
      </c>
      <c r="H549" s="52" t="s">
        <v>1105</v>
      </c>
      <c r="I549" s="52" t="s">
        <v>85</v>
      </c>
      <c r="J549" s="52" t="s">
        <v>85</v>
      </c>
      <c r="K549" s="52" t="s">
        <v>84</v>
      </c>
      <c r="L549" s="76" t="s">
        <v>1106</v>
      </c>
      <c r="M549" s="52" t="s">
        <v>84</v>
      </c>
      <c r="N549" s="52" t="s">
        <v>85</v>
      </c>
      <c r="O549" s="52" t="s">
        <v>118</v>
      </c>
      <c r="P549" s="44" t="s">
        <v>86</v>
      </c>
      <c r="Q549" s="113" t="s">
        <v>85</v>
      </c>
    </row>
    <row r="550" spans="1:17" ht="187.5" customHeight="1">
      <c r="A550" s="50" t="s">
        <v>35</v>
      </c>
      <c r="B550" s="49">
        <v>46162</v>
      </c>
      <c r="C550" s="49" t="s">
        <v>88</v>
      </c>
      <c r="D550" s="50" t="s">
        <v>98</v>
      </c>
      <c r="E550" s="56" t="s">
        <v>1274</v>
      </c>
      <c r="F550" s="52" t="s">
        <v>939</v>
      </c>
      <c r="G550" s="52" t="s">
        <v>1275</v>
      </c>
      <c r="H550" s="52" t="s">
        <v>799</v>
      </c>
      <c r="I550" s="52" t="s">
        <v>85</v>
      </c>
      <c r="J550" s="52" t="s">
        <v>84</v>
      </c>
      <c r="K550" s="52" t="s">
        <v>85</v>
      </c>
      <c r="L550" s="52" t="s">
        <v>86</v>
      </c>
      <c r="M550" s="52" t="s">
        <v>85</v>
      </c>
      <c r="N550" s="52" t="s">
        <v>85</v>
      </c>
      <c r="O550" s="44" t="s">
        <v>87</v>
      </c>
      <c r="P550" s="113" t="s">
        <v>1498</v>
      </c>
      <c r="Q550" s="113" t="s">
        <v>85</v>
      </c>
    </row>
    <row r="551" spans="1:17" ht="87.75" customHeight="1">
      <c r="A551" s="50" t="s">
        <v>35</v>
      </c>
      <c r="B551" s="49">
        <v>46162</v>
      </c>
      <c r="C551" s="49" t="s">
        <v>123</v>
      </c>
      <c r="D551" s="50" t="s">
        <v>89</v>
      </c>
      <c r="E551" s="56" t="s">
        <v>1276</v>
      </c>
      <c r="F551" s="52" t="s">
        <v>350</v>
      </c>
      <c r="G551" s="52" t="s">
        <v>1277</v>
      </c>
      <c r="H551" s="52" t="s">
        <v>1278</v>
      </c>
      <c r="I551" s="52" t="s">
        <v>85</v>
      </c>
      <c r="J551" s="52" t="s">
        <v>84</v>
      </c>
      <c r="K551" s="52" t="s">
        <v>85</v>
      </c>
      <c r="L551" s="52" t="s">
        <v>86</v>
      </c>
      <c r="M551" s="52" t="s">
        <v>85</v>
      </c>
      <c r="N551" s="52" t="s">
        <v>85</v>
      </c>
      <c r="O551" s="44" t="s">
        <v>87</v>
      </c>
      <c r="P551" s="44" t="s">
        <v>86</v>
      </c>
      <c r="Q551" s="113" t="s">
        <v>85</v>
      </c>
    </row>
    <row r="552" spans="1:17" ht="112.5" customHeight="1">
      <c r="A552" s="50" t="s">
        <v>35</v>
      </c>
      <c r="B552" s="49">
        <v>46163</v>
      </c>
      <c r="C552" s="49" t="s">
        <v>78</v>
      </c>
      <c r="D552" s="50" t="s">
        <v>98</v>
      </c>
      <c r="E552" s="56" t="s">
        <v>1279</v>
      </c>
      <c r="F552" s="52" t="s">
        <v>451</v>
      </c>
      <c r="G552" s="52" t="s">
        <v>1280</v>
      </c>
      <c r="H552" s="52" t="s">
        <v>135</v>
      </c>
      <c r="I552" s="52" t="s">
        <v>85</v>
      </c>
      <c r="J552" s="52" t="s">
        <v>84</v>
      </c>
      <c r="K552" s="52" t="s">
        <v>85</v>
      </c>
      <c r="L552" s="52" t="s">
        <v>86</v>
      </c>
      <c r="M552" s="52" t="s">
        <v>85</v>
      </c>
      <c r="N552" s="52" t="s">
        <v>84</v>
      </c>
      <c r="O552" s="52" t="s">
        <v>118</v>
      </c>
      <c r="P552" s="113" t="s">
        <v>1498</v>
      </c>
      <c r="Q552" s="113" t="s">
        <v>85</v>
      </c>
    </row>
    <row r="553" spans="1:17" ht="125.25" customHeight="1">
      <c r="A553" s="50" t="s">
        <v>35</v>
      </c>
      <c r="B553" s="49">
        <v>46164</v>
      </c>
      <c r="C553" s="49" t="s">
        <v>123</v>
      </c>
      <c r="D553" s="50" t="s">
        <v>98</v>
      </c>
      <c r="E553" s="56" t="s">
        <v>1281</v>
      </c>
      <c r="F553" s="52" t="s">
        <v>451</v>
      </c>
      <c r="G553" s="52" t="s">
        <v>1282</v>
      </c>
      <c r="H553" s="53" t="s">
        <v>405</v>
      </c>
      <c r="I553" s="52" t="s">
        <v>85</v>
      </c>
      <c r="J553" s="52" t="s">
        <v>84</v>
      </c>
      <c r="K553" s="52" t="s">
        <v>85</v>
      </c>
      <c r="L553" s="52" t="s">
        <v>86</v>
      </c>
      <c r="M553" s="52" t="s">
        <v>85</v>
      </c>
      <c r="N553" s="52" t="s">
        <v>84</v>
      </c>
      <c r="O553" s="44" t="s">
        <v>87</v>
      </c>
      <c r="P553" s="113" t="s">
        <v>1498</v>
      </c>
      <c r="Q553" s="113" t="s">
        <v>85</v>
      </c>
    </row>
    <row r="554" spans="1:17" ht="87.75" customHeight="1">
      <c r="A554" s="50" t="s">
        <v>35</v>
      </c>
      <c r="B554" s="49">
        <v>46164</v>
      </c>
      <c r="C554" s="49" t="s">
        <v>123</v>
      </c>
      <c r="D554" s="50" t="s">
        <v>89</v>
      </c>
      <c r="E554" s="56" t="s">
        <v>1283</v>
      </c>
      <c r="F554" s="52" t="s">
        <v>492</v>
      </c>
      <c r="G554" s="52" t="s">
        <v>1284</v>
      </c>
      <c r="H554" s="53" t="s">
        <v>651</v>
      </c>
      <c r="I554" s="52" t="s">
        <v>85</v>
      </c>
      <c r="J554" s="52" t="s">
        <v>84</v>
      </c>
      <c r="K554" s="52" t="s">
        <v>85</v>
      </c>
      <c r="L554" s="52" t="s">
        <v>86</v>
      </c>
      <c r="M554" s="52" t="s">
        <v>85</v>
      </c>
      <c r="N554" s="52" t="s">
        <v>84</v>
      </c>
      <c r="O554" s="44" t="s">
        <v>87</v>
      </c>
      <c r="P554" s="44" t="s">
        <v>86</v>
      </c>
      <c r="Q554" s="113" t="s">
        <v>570</v>
      </c>
    </row>
    <row r="555" spans="1:17" ht="150" customHeight="1">
      <c r="A555" s="50" t="s">
        <v>35</v>
      </c>
      <c r="B555" s="49">
        <v>46164</v>
      </c>
      <c r="C555" s="49" t="s">
        <v>78</v>
      </c>
      <c r="D555" s="50" t="s">
        <v>89</v>
      </c>
      <c r="E555" s="56" t="s">
        <v>1285</v>
      </c>
      <c r="F555" s="52" t="s">
        <v>554</v>
      </c>
      <c r="G555" s="52" t="s">
        <v>1286</v>
      </c>
      <c r="H555" s="53" t="s">
        <v>126</v>
      </c>
      <c r="I555" s="52" t="s">
        <v>84</v>
      </c>
      <c r="J555" s="52" t="s">
        <v>84</v>
      </c>
      <c r="K555" s="52" t="s">
        <v>85</v>
      </c>
      <c r="L555" s="52" t="s">
        <v>86</v>
      </c>
      <c r="M555" s="52" t="s">
        <v>85</v>
      </c>
      <c r="N555" s="52" t="s">
        <v>85</v>
      </c>
      <c r="O555" s="52" t="s">
        <v>118</v>
      </c>
      <c r="P555" s="44" t="s">
        <v>86</v>
      </c>
      <c r="Q555" s="113" t="s">
        <v>85</v>
      </c>
    </row>
    <row r="556" spans="1:17" ht="150.75" customHeight="1">
      <c r="A556" s="50" t="s">
        <v>35</v>
      </c>
      <c r="B556" s="49">
        <v>46165</v>
      </c>
      <c r="C556" s="49" t="s">
        <v>106</v>
      </c>
      <c r="D556" s="50" t="s">
        <v>79</v>
      </c>
      <c r="E556" s="56" t="s">
        <v>1287</v>
      </c>
      <c r="F556" s="52" t="s">
        <v>604</v>
      </c>
      <c r="G556" s="52" t="s">
        <v>1288</v>
      </c>
      <c r="H556" s="52" t="s">
        <v>670</v>
      </c>
      <c r="I556" s="52" t="s">
        <v>85</v>
      </c>
      <c r="J556" s="52" t="s">
        <v>85</v>
      </c>
      <c r="K556" s="52" t="s">
        <v>84</v>
      </c>
      <c r="L556" s="52" t="s">
        <v>1289</v>
      </c>
      <c r="M556" s="52" t="s">
        <v>85</v>
      </c>
      <c r="N556" s="52" t="s">
        <v>85</v>
      </c>
      <c r="O556" s="44" t="s">
        <v>87</v>
      </c>
      <c r="P556" s="44" t="s">
        <v>86</v>
      </c>
      <c r="Q556" s="113" t="s">
        <v>85</v>
      </c>
    </row>
    <row r="557" spans="1:17" ht="100.5" customHeight="1">
      <c r="A557" s="50" t="s">
        <v>35</v>
      </c>
      <c r="B557" s="49">
        <v>46165</v>
      </c>
      <c r="C557" s="49" t="s">
        <v>78</v>
      </c>
      <c r="D557" s="52" t="s">
        <v>98</v>
      </c>
      <c r="E557" s="56" t="s">
        <v>1290</v>
      </c>
      <c r="F557" s="52" t="s">
        <v>604</v>
      </c>
      <c r="G557" s="52" t="s">
        <v>1291</v>
      </c>
      <c r="H557" s="52" t="s">
        <v>83</v>
      </c>
      <c r="I557" s="52" t="s">
        <v>85</v>
      </c>
      <c r="J557" s="52" t="s">
        <v>84</v>
      </c>
      <c r="K557" s="52" t="s">
        <v>85</v>
      </c>
      <c r="L557" s="52" t="s">
        <v>86</v>
      </c>
      <c r="M557" s="52" t="s">
        <v>85</v>
      </c>
      <c r="N557" s="52" t="s">
        <v>85</v>
      </c>
      <c r="O557" s="52" t="s">
        <v>118</v>
      </c>
      <c r="P557" s="113" t="s">
        <v>1498</v>
      </c>
      <c r="Q557" s="113" t="s">
        <v>85</v>
      </c>
    </row>
    <row r="558" spans="1:17" ht="187.5" customHeight="1">
      <c r="A558" s="50" t="s">
        <v>35</v>
      </c>
      <c r="B558" s="49">
        <v>46165</v>
      </c>
      <c r="C558" s="49" t="s">
        <v>106</v>
      </c>
      <c r="D558" s="52" t="s">
        <v>98</v>
      </c>
      <c r="E558" s="56" t="s">
        <v>1292</v>
      </c>
      <c r="F558" s="52" t="s">
        <v>1075</v>
      </c>
      <c r="G558" s="52" t="s">
        <v>1293</v>
      </c>
      <c r="H558" s="52" t="s">
        <v>405</v>
      </c>
      <c r="I558" s="52" t="s">
        <v>84</v>
      </c>
      <c r="J558" s="52" t="s">
        <v>84</v>
      </c>
      <c r="K558" s="52" t="s">
        <v>85</v>
      </c>
      <c r="L558" s="52" t="s">
        <v>86</v>
      </c>
      <c r="M558" s="52" t="s">
        <v>85</v>
      </c>
      <c r="N558" s="52" t="s">
        <v>85</v>
      </c>
      <c r="O558" s="44" t="s">
        <v>87</v>
      </c>
      <c r="P558" s="44" t="s">
        <v>86</v>
      </c>
      <c r="Q558" s="113" t="s">
        <v>85</v>
      </c>
    </row>
    <row r="559" spans="1:17" ht="95.25" customHeight="1">
      <c r="A559" s="50" t="s">
        <v>35</v>
      </c>
      <c r="B559" s="49">
        <v>46166</v>
      </c>
      <c r="C559" s="49" t="s">
        <v>106</v>
      </c>
      <c r="D559" s="50" t="s">
        <v>98</v>
      </c>
      <c r="E559" s="56" t="s">
        <v>1294</v>
      </c>
      <c r="F559" s="52" t="s">
        <v>96</v>
      </c>
      <c r="G559" s="52" t="s">
        <v>1295</v>
      </c>
      <c r="H559" s="52" t="s">
        <v>405</v>
      </c>
      <c r="I559" s="52" t="s">
        <v>85</v>
      </c>
      <c r="J559" s="52" t="s">
        <v>84</v>
      </c>
      <c r="K559" s="52" t="s">
        <v>85</v>
      </c>
      <c r="L559" s="52" t="s">
        <v>86</v>
      </c>
      <c r="M559" s="52" t="s">
        <v>85</v>
      </c>
      <c r="N559" s="52" t="s">
        <v>85</v>
      </c>
      <c r="O559" s="52" t="s">
        <v>118</v>
      </c>
      <c r="P559" s="113" t="s">
        <v>1497</v>
      </c>
      <c r="Q559" s="113" t="s">
        <v>85</v>
      </c>
    </row>
    <row r="560" spans="1:17" ht="275.25" customHeight="1">
      <c r="A560" s="50" t="s">
        <v>35</v>
      </c>
      <c r="B560" s="49">
        <v>46166</v>
      </c>
      <c r="C560" s="49" t="s">
        <v>88</v>
      </c>
      <c r="D560" s="50" t="s">
        <v>98</v>
      </c>
      <c r="E560" s="51" t="s">
        <v>1296</v>
      </c>
      <c r="F560" s="52" t="s">
        <v>829</v>
      </c>
      <c r="G560" s="52" t="s">
        <v>150</v>
      </c>
      <c r="H560" s="52" t="s">
        <v>117</v>
      </c>
      <c r="I560" s="52" t="s">
        <v>85</v>
      </c>
      <c r="J560" s="52" t="s">
        <v>84</v>
      </c>
      <c r="K560" s="52" t="s">
        <v>85</v>
      </c>
      <c r="L560" s="52" t="s">
        <v>86</v>
      </c>
      <c r="M560" s="52" t="s">
        <v>85</v>
      </c>
      <c r="N560" s="52" t="s">
        <v>85</v>
      </c>
      <c r="O560" s="44" t="s">
        <v>87</v>
      </c>
      <c r="P560" s="113" t="s">
        <v>1498</v>
      </c>
      <c r="Q560" s="113" t="s">
        <v>570</v>
      </c>
    </row>
    <row r="561" spans="1:17" ht="162.75" customHeight="1">
      <c r="A561" s="50" t="s">
        <v>35</v>
      </c>
      <c r="B561" s="49">
        <v>46169</v>
      </c>
      <c r="C561" s="49" t="s">
        <v>106</v>
      </c>
      <c r="D561" s="50" t="s">
        <v>83</v>
      </c>
      <c r="E561" s="51" t="s">
        <v>1297</v>
      </c>
      <c r="F561" s="52" t="s">
        <v>500</v>
      </c>
      <c r="G561" s="52" t="s">
        <v>1298</v>
      </c>
      <c r="H561" s="52" t="s">
        <v>453</v>
      </c>
      <c r="I561" s="52" t="s">
        <v>85</v>
      </c>
      <c r="J561" s="52" t="s">
        <v>84</v>
      </c>
      <c r="K561" s="52" t="s">
        <v>85</v>
      </c>
      <c r="L561" s="52" t="s">
        <v>86</v>
      </c>
      <c r="M561" s="52" t="s">
        <v>85</v>
      </c>
      <c r="N561" s="52" t="s">
        <v>85</v>
      </c>
      <c r="O561" s="44" t="s">
        <v>87</v>
      </c>
      <c r="P561" s="44" t="s">
        <v>86</v>
      </c>
      <c r="Q561" s="113" t="s">
        <v>85</v>
      </c>
    </row>
    <row r="562" spans="1:17" ht="162.75" customHeight="1">
      <c r="A562" s="50" t="s">
        <v>35</v>
      </c>
      <c r="B562" s="49">
        <v>46169</v>
      </c>
      <c r="C562" s="49" t="s">
        <v>106</v>
      </c>
      <c r="D562" s="50" t="s">
        <v>98</v>
      </c>
      <c r="E562" s="56" t="s">
        <v>1299</v>
      </c>
      <c r="F562" s="52" t="s">
        <v>500</v>
      </c>
      <c r="G562" s="52" t="s">
        <v>1300</v>
      </c>
      <c r="H562" s="52" t="s">
        <v>651</v>
      </c>
      <c r="I562" s="52" t="s">
        <v>85</v>
      </c>
      <c r="J562" s="52" t="s">
        <v>84</v>
      </c>
      <c r="K562" s="52" t="s">
        <v>85</v>
      </c>
      <c r="L562" s="52" t="s">
        <v>86</v>
      </c>
      <c r="M562" s="52" t="s">
        <v>85</v>
      </c>
      <c r="N562" s="52" t="s">
        <v>85</v>
      </c>
      <c r="O562" s="44" t="s">
        <v>87</v>
      </c>
      <c r="P562" s="113" t="s">
        <v>1497</v>
      </c>
      <c r="Q562" s="113" t="s">
        <v>85</v>
      </c>
    </row>
    <row r="563" spans="1:17" ht="112.5" customHeight="1">
      <c r="A563" s="50" t="s">
        <v>35</v>
      </c>
      <c r="B563" s="49">
        <v>46169</v>
      </c>
      <c r="C563" s="49" t="s">
        <v>106</v>
      </c>
      <c r="D563" s="50" t="s">
        <v>98</v>
      </c>
      <c r="E563" s="56" t="s">
        <v>1301</v>
      </c>
      <c r="F563" s="52" t="s">
        <v>1089</v>
      </c>
      <c r="G563" s="52" t="s">
        <v>1302</v>
      </c>
      <c r="H563" s="52" t="s">
        <v>405</v>
      </c>
      <c r="I563" s="52" t="s">
        <v>85</v>
      </c>
      <c r="J563" s="52" t="s">
        <v>84</v>
      </c>
      <c r="K563" s="52" t="s">
        <v>85</v>
      </c>
      <c r="L563" s="52" t="s">
        <v>86</v>
      </c>
      <c r="M563" s="52" t="s">
        <v>85</v>
      </c>
      <c r="N563" s="52" t="s">
        <v>85</v>
      </c>
      <c r="O563" s="44" t="s">
        <v>87</v>
      </c>
      <c r="P563" s="113" t="s">
        <v>1503</v>
      </c>
      <c r="Q563" s="113" t="s">
        <v>85</v>
      </c>
    </row>
    <row r="564" spans="1:17" s="133" customFormat="1" ht="150" customHeight="1">
      <c r="A564" s="124" t="s">
        <v>35</v>
      </c>
      <c r="B564" s="123">
        <v>46171</v>
      </c>
      <c r="C564" s="123" t="s">
        <v>78</v>
      </c>
      <c r="D564" s="124" t="s">
        <v>136</v>
      </c>
      <c r="E564" s="125" t="s">
        <v>1303</v>
      </c>
      <c r="F564" s="126" t="s">
        <v>1257</v>
      </c>
      <c r="G564" s="126" t="s">
        <v>1304</v>
      </c>
      <c r="H564" s="126" t="s">
        <v>517</v>
      </c>
      <c r="I564" s="126" t="s">
        <v>84</v>
      </c>
      <c r="J564" s="126" t="s">
        <v>84</v>
      </c>
      <c r="K564" s="126" t="s">
        <v>85</v>
      </c>
      <c r="L564" s="126" t="s">
        <v>86</v>
      </c>
      <c r="M564" s="126" t="s">
        <v>85</v>
      </c>
      <c r="N564" s="126" t="s">
        <v>85</v>
      </c>
      <c r="O564" s="127" t="s">
        <v>87</v>
      </c>
      <c r="P564" s="127" t="s">
        <v>86</v>
      </c>
      <c r="Q564" s="128" t="s">
        <v>570</v>
      </c>
    </row>
    <row r="565" spans="1:17" ht="125.25" customHeight="1">
      <c r="A565" s="50" t="s">
        <v>35</v>
      </c>
      <c r="B565" s="49">
        <v>46171</v>
      </c>
      <c r="C565" s="49" t="s">
        <v>123</v>
      </c>
      <c r="D565" s="50" t="s">
        <v>98</v>
      </c>
      <c r="E565" s="56" t="s">
        <v>1305</v>
      </c>
      <c r="F565" s="52" t="s">
        <v>1089</v>
      </c>
      <c r="G565" s="52" t="s">
        <v>1306</v>
      </c>
      <c r="H565" s="52" t="s">
        <v>126</v>
      </c>
      <c r="I565" s="52" t="s">
        <v>85</v>
      </c>
      <c r="J565" s="52" t="s">
        <v>84</v>
      </c>
      <c r="K565" s="52" t="s">
        <v>85</v>
      </c>
      <c r="L565" s="52" t="s">
        <v>86</v>
      </c>
      <c r="M565" s="52" t="s">
        <v>85</v>
      </c>
      <c r="N565" s="52" t="s">
        <v>85</v>
      </c>
      <c r="O565" s="52" t="s">
        <v>118</v>
      </c>
      <c r="P565" s="113" t="s">
        <v>1497</v>
      </c>
      <c r="Q565" s="113" t="s">
        <v>85</v>
      </c>
    </row>
    <row r="566" spans="1:17" ht="112.5" customHeight="1">
      <c r="A566" s="50" t="s">
        <v>35</v>
      </c>
      <c r="B566" s="49">
        <v>46172</v>
      </c>
      <c r="C566" s="49" t="s">
        <v>78</v>
      </c>
      <c r="D566" s="50" t="s">
        <v>79</v>
      </c>
      <c r="E566" s="56" t="s">
        <v>1307</v>
      </c>
      <c r="F566" s="52" t="s">
        <v>1257</v>
      </c>
      <c r="G566" s="53" t="s">
        <v>1308</v>
      </c>
      <c r="H566" s="52" t="s">
        <v>1278</v>
      </c>
      <c r="I566" s="52" t="s">
        <v>84</v>
      </c>
      <c r="J566" s="52" t="s">
        <v>85</v>
      </c>
      <c r="K566" s="52" t="s">
        <v>84</v>
      </c>
      <c r="L566" s="53" t="s">
        <v>1309</v>
      </c>
      <c r="M566" s="52" t="s">
        <v>85</v>
      </c>
      <c r="N566" s="52" t="s">
        <v>85</v>
      </c>
      <c r="O566" s="44" t="s">
        <v>87</v>
      </c>
      <c r="P566" s="44" t="s">
        <v>86</v>
      </c>
      <c r="Q566" s="113" t="s">
        <v>570</v>
      </c>
    </row>
    <row r="567" spans="1:17" ht="88.5" customHeight="1">
      <c r="A567" s="50" t="s">
        <v>35</v>
      </c>
      <c r="B567" s="49">
        <v>46172</v>
      </c>
      <c r="C567" s="49" t="s">
        <v>106</v>
      </c>
      <c r="D567" s="50" t="s">
        <v>79</v>
      </c>
      <c r="E567" s="51" t="s">
        <v>1310</v>
      </c>
      <c r="F567" s="52" t="s">
        <v>1075</v>
      </c>
      <c r="G567" s="52" t="s">
        <v>784</v>
      </c>
      <c r="H567" s="52" t="s">
        <v>651</v>
      </c>
      <c r="I567" s="52" t="s">
        <v>84</v>
      </c>
      <c r="J567" s="52" t="s">
        <v>84</v>
      </c>
      <c r="K567" s="52" t="s">
        <v>85</v>
      </c>
      <c r="L567" s="52" t="s">
        <v>86</v>
      </c>
      <c r="M567" s="52" t="s">
        <v>85</v>
      </c>
      <c r="N567" s="52" t="s">
        <v>85</v>
      </c>
      <c r="O567" s="52" t="s">
        <v>118</v>
      </c>
      <c r="P567" s="44" t="s">
        <v>86</v>
      </c>
      <c r="Q567" s="113" t="s">
        <v>85</v>
      </c>
    </row>
    <row r="568" spans="1:17" ht="175.5" customHeight="1">
      <c r="A568" s="50" t="s">
        <v>35</v>
      </c>
      <c r="B568" s="49">
        <v>46173</v>
      </c>
      <c r="C568" s="49" t="s">
        <v>106</v>
      </c>
      <c r="D568" s="50" t="s">
        <v>89</v>
      </c>
      <c r="E568" s="56" t="s">
        <v>1311</v>
      </c>
      <c r="F568" s="52" t="s">
        <v>775</v>
      </c>
      <c r="G568" s="52" t="s">
        <v>1312</v>
      </c>
      <c r="H568" s="52" t="s">
        <v>670</v>
      </c>
      <c r="I568" s="52" t="s">
        <v>85</v>
      </c>
      <c r="J568" s="52" t="s">
        <v>84</v>
      </c>
      <c r="K568" s="52" t="s">
        <v>85</v>
      </c>
      <c r="L568" s="52" t="s">
        <v>86</v>
      </c>
      <c r="M568" s="52" t="s">
        <v>85</v>
      </c>
      <c r="N568" s="52" t="s">
        <v>85</v>
      </c>
      <c r="O568" s="52" t="s">
        <v>118</v>
      </c>
      <c r="P568" s="44" t="s">
        <v>86</v>
      </c>
      <c r="Q568" s="113" t="s">
        <v>85</v>
      </c>
    </row>
    <row r="569" spans="1:17" ht="104.25" customHeight="1">
      <c r="A569" s="50" t="s">
        <v>36</v>
      </c>
      <c r="B569" s="49">
        <v>46176</v>
      </c>
      <c r="C569" s="49" t="s">
        <v>106</v>
      </c>
      <c r="D569" s="50" t="s">
        <v>79</v>
      </c>
      <c r="E569" s="56" t="s">
        <v>1313</v>
      </c>
      <c r="F569" s="52" t="s">
        <v>604</v>
      </c>
      <c r="G569" s="52" t="s">
        <v>1314</v>
      </c>
      <c r="H569" s="52" t="s">
        <v>799</v>
      </c>
      <c r="I569" s="52" t="s">
        <v>84</v>
      </c>
      <c r="J569" s="52" t="s">
        <v>85</v>
      </c>
      <c r="K569" s="52" t="s">
        <v>84</v>
      </c>
      <c r="L569" s="76" t="s">
        <v>1315</v>
      </c>
      <c r="M569" s="52" t="s">
        <v>85</v>
      </c>
      <c r="N569" s="52" t="s">
        <v>85</v>
      </c>
      <c r="O569" s="44" t="s">
        <v>87</v>
      </c>
      <c r="P569" s="44" t="s">
        <v>86</v>
      </c>
      <c r="Q569" s="113" t="s">
        <v>85</v>
      </c>
    </row>
    <row r="570" spans="1:17" ht="175.5" customHeight="1">
      <c r="A570" s="50" t="s">
        <v>36</v>
      </c>
      <c r="B570" s="49">
        <v>46176</v>
      </c>
      <c r="C570" s="49" t="s">
        <v>106</v>
      </c>
      <c r="D570" s="50" t="s">
        <v>98</v>
      </c>
      <c r="E570" s="56" t="s">
        <v>1316</v>
      </c>
      <c r="F570" s="52" t="s">
        <v>702</v>
      </c>
      <c r="G570" s="52" t="s">
        <v>280</v>
      </c>
      <c r="H570" s="52" t="s">
        <v>799</v>
      </c>
      <c r="I570" s="52" t="s">
        <v>85</v>
      </c>
      <c r="J570" s="52" t="s">
        <v>84</v>
      </c>
      <c r="K570" s="52" t="s">
        <v>85</v>
      </c>
      <c r="L570" s="76" t="s">
        <v>86</v>
      </c>
      <c r="M570" s="52" t="s">
        <v>85</v>
      </c>
      <c r="N570" s="52" t="s">
        <v>85</v>
      </c>
      <c r="O570" s="52" t="s">
        <v>118</v>
      </c>
      <c r="P570" s="44" t="s">
        <v>86</v>
      </c>
      <c r="Q570" s="113" t="s">
        <v>85</v>
      </c>
    </row>
    <row r="571" spans="1:17" ht="201" customHeight="1">
      <c r="A571" s="50" t="s">
        <v>36</v>
      </c>
      <c r="B571" s="49">
        <v>46179</v>
      </c>
      <c r="C571" s="49" t="s">
        <v>78</v>
      </c>
      <c r="D571" s="50" t="s">
        <v>83</v>
      </c>
      <c r="E571" s="56" t="s">
        <v>1317</v>
      </c>
      <c r="F571" s="52" t="s">
        <v>500</v>
      </c>
      <c r="G571" s="52" t="s">
        <v>1318</v>
      </c>
      <c r="H571" s="75" t="s">
        <v>453</v>
      </c>
      <c r="I571" s="52" t="s">
        <v>85</v>
      </c>
      <c r="J571" s="52" t="s">
        <v>84</v>
      </c>
      <c r="K571" s="52" t="s">
        <v>85</v>
      </c>
      <c r="L571" s="76" t="s">
        <v>86</v>
      </c>
      <c r="M571" s="52" t="s">
        <v>85</v>
      </c>
      <c r="N571" s="52" t="s">
        <v>85</v>
      </c>
      <c r="O571" s="44" t="s">
        <v>87</v>
      </c>
      <c r="P571" s="113" t="s">
        <v>1506</v>
      </c>
      <c r="Q571" s="113" t="s">
        <v>85</v>
      </c>
    </row>
    <row r="572" spans="1:17" ht="138" customHeight="1">
      <c r="A572" s="50" t="s">
        <v>36</v>
      </c>
      <c r="B572" s="49">
        <v>46179</v>
      </c>
      <c r="C572" s="49" t="s">
        <v>106</v>
      </c>
      <c r="D572" s="50" t="s">
        <v>98</v>
      </c>
      <c r="E572" s="56" t="s">
        <v>1319</v>
      </c>
      <c r="F572" s="79" t="s">
        <v>451</v>
      </c>
      <c r="G572" s="52" t="s">
        <v>1320</v>
      </c>
      <c r="H572" s="52" t="s">
        <v>517</v>
      </c>
      <c r="I572" s="52" t="s">
        <v>85</v>
      </c>
      <c r="J572" s="52" t="s">
        <v>84</v>
      </c>
      <c r="K572" s="52" t="s">
        <v>85</v>
      </c>
      <c r="L572" s="76" t="s">
        <v>86</v>
      </c>
      <c r="M572" s="52" t="s">
        <v>85</v>
      </c>
      <c r="N572" s="52" t="s">
        <v>85</v>
      </c>
      <c r="O572" s="44" t="s">
        <v>87</v>
      </c>
      <c r="P572" s="44" t="s">
        <v>86</v>
      </c>
      <c r="Q572" s="113" t="s">
        <v>85</v>
      </c>
    </row>
    <row r="573" spans="1:17" ht="100.5" customHeight="1">
      <c r="A573" s="50" t="s">
        <v>36</v>
      </c>
      <c r="B573" s="49">
        <v>46180</v>
      </c>
      <c r="C573" s="49" t="s">
        <v>123</v>
      </c>
      <c r="D573" s="50" t="s">
        <v>98</v>
      </c>
      <c r="E573" s="56" t="s">
        <v>1321</v>
      </c>
      <c r="F573" s="52" t="s">
        <v>526</v>
      </c>
      <c r="G573" s="52" t="s">
        <v>117</v>
      </c>
      <c r="H573" s="75" t="s">
        <v>117</v>
      </c>
      <c r="I573" s="52" t="s">
        <v>85</v>
      </c>
      <c r="J573" s="52" t="s">
        <v>84</v>
      </c>
      <c r="K573" s="52" t="s">
        <v>85</v>
      </c>
      <c r="L573" s="76" t="s">
        <v>86</v>
      </c>
      <c r="M573" s="52" t="s">
        <v>85</v>
      </c>
      <c r="N573" s="52" t="s">
        <v>85</v>
      </c>
      <c r="O573" s="52" t="s">
        <v>118</v>
      </c>
      <c r="P573" s="44" t="s">
        <v>86</v>
      </c>
      <c r="Q573" s="113" t="s">
        <v>85</v>
      </c>
    </row>
    <row r="574" spans="1:17" ht="87.75" customHeight="1">
      <c r="A574" s="50" t="s">
        <v>36</v>
      </c>
      <c r="B574" s="49">
        <v>46180</v>
      </c>
      <c r="C574" s="49" t="s">
        <v>106</v>
      </c>
      <c r="D574" s="50" t="s">
        <v>240</v>
      </c>
      <c r="E574" s="56" t="s">
        <v>1322</v>
      </c>
      <c r="F574" s="52" t="s">
        <v>526</v>
      </c>
      <c r="G574" s="52" t="s">
        <v>1323</v>
      </c>
      <c r="H574" s="52" t="s">
        <v>1278</v>
      </c>
      <c r="I574" s="52" t="s">
        <v>85</v>
      </c>
      <c r="J574" s="52" t="s">
        <v>84</v>
      </c>
      <c r="K574" s="52" t="s">
        <v>85</v>
      </c>
      <c r="L574" s="76" t="s">
        <v>86</v>
      </c>
      <c r="M574" s="52" t="s">
        <v>85</v>
      </c>
      <c r="N574" s="52" t="s">
        <v>85</v>
      </c>
      <c r="O574" s="44" t="s">
        <v>87</v>
      </c>
      <c r="P574" s="44" t="s">
        <v>86</v>
      </c>
      <c r="Q574" s="113" t="s">
        <v>85</v>
      </c>
    </row>
    <row r="575" spans="1:17" ht="213" customHeight="1">
      <c r="A575" s="50" t="s">
        <v>36</v>
      </c>
      <c r="B575" s="49">
        <v>46182</v>
      </c>
      <c r="C575" s="49" t="s">
        <v>78</v>
      </c>
      <c r="D575" s="50" t="s">
        <v>83</v>
      </c>
      <c r="E575" s="51" t="s">
        <v>1324</v>
      </c>
      <c r="F575" s="52" t="s">
        <v>1325</v>
      </c>
      <c r="G575" s="52" t="s">
        <v>1326</v>
      </c>
      <c r="H575" s="75" t="s">
        <v>453</v>
      </c>
      <c r="I575" s="52" t="s">
        <v>85</v>
      </c>
      <c r="J575" s="52" t="s">
        <v>84</v>
      </c>
      <c r="K575" s="52" t="s">
        <v>85</v>
      </c>
      <c r="L575" s="76" t="s">
        <v>86</v>
      </c>
      <c r="M575" s="52" t="s">
        <v>85</v>
      </c>
      <c r="N575" s="52" t="s">
        <v>85</v>
      </c>
      <c r="O575" s="44" t="s">
        <v>87</v>
      </c>
      <c r="P575" s="113" t="s">
        <v>1506</v>
      </c>
      <c r="Q575" s="113" t="s">
        <v>85</v>
      </c>
    </row>
    <row r="576" spans="1:17" ht="87.75" customHeight="1">
      <c r="A576" s="50" t="s">
        <v>36</v>
      </c>
      <c r="B576" s="49">
        <v>46182</v>
      </c>
      <c r="C576" s="49" t="s">
        <v>78</v>
      </c>
      <c r="D576" s="50" t="s">
        <v>98</v>
      </c>
      <c r="E576" s="56" t="s">
        <v>1327</v>
      </c>
      <c r="F576" s="52" t="s">
        <v>1110</v>
      </c>
      <c r="G576" s="52" t="s">
        <v>1328</v>
      </c>
      <c r="H576" s="52" t="s">
        <v>405</v>
      </c>
      <c r="I576" s="52" t="s">
        <v>84</v>
      </c>
      <c r="J576" s="52" t="s">
        <v>84</v>
      </c>
      <c r="K576" s="52" t="s">
        <v>85</v>
      </c>
      <c r="L576" s="76" t="s">
        <v>86</v>
      </c>
      <c r="M576" s="52" t="s">
        <v>85</v>
      </c>
      <c r="N576" s="52" t="s">
        <v>85</v>
      </c>
      <c r="O576" s="52" t="s">
        <v>118</v>
      </c>
      <c r="P576" s="44" t="s">
        <v>86</v>
      </c>
      <c r="Q576" s="113" t="s">
        <v>85</v>
      </c>
    </row>
    <row r="577" spans="1:17" ht="118.5" customHeight="1">
      <c r="A577" s="50" t="s">
        <v>36</v>
      </c>
      <c r="B577" s="49">
        <v>46182</v>
      </c>
      <c r="C577" s="49" t="s">
        <v>78</v>
      </c>
      <c r="D577" s="50" t="s">
        <v>79</v>
      </c>
      <c r="E577" s="56" t="s">
        <v>1329</v>
      </c>
      <c r="F577" s="52" t="s">
        <v>1113</v>
      </c>
      <c r="G577" s="52" t="s">
        <v>1330</v>
      </c>
      <c r="H577" s="52" t="s">
        <v>591</v>
      </c>
      <c r="I577" s="52" t="s">
        <v>84</v>
      </c>
      <c r="J577" s="52" t="s">
        <v>85</v>
      </c>
      <c r="K577" s="52" t="s">
        <v>84</v>
      </c>
      <c r="L577" s="76" t="s">
        <v>1331</v>
      </c>
      <c r="M577" s="52" t="s">
        <v>85</v>
      </c>
      <c r="N577" s="52" t="s">
        <v>85</v>
      </c>
      <c r="O577" s="44" t="s">
        <v>87</v>
      </c>
      <c r="P577" s="44" t="s">
        <v>86</v>
      </c>
      <c r="Q577" s="113" t="s">
        <v>85</v>
      </c>
    </row>
    <row r="578" spans="1:17" ht="100.5" customHeight="1">
      <c r="A578" s="50" t="s">
        <v>36</v>
      </c>
      <c r="B578" s="49">
        <v>46184</v>
      </c>
      <c r="C578" s="80" t="s">
        <v>123</v>
      </c>
      <c r="D578" s="81" t="s">
        <v>98</v>
      </c>
      <c r="E578" s="82" t="s">
        <v>1332</v>
      </c>
      <c r="F578" s="83" t="s">
        <v>500</v>
      </c>
      <c r="G578" s="83" t="s">
        <v>1333</v>
      </c>
      <c r="H578" s="83" t="s">
        <v>175</v>
      </c>
      <c r="I578" s="52" t="s">
        <v>85</v>
      </c>
      <c r="J578" s="52" t="s">
        <v>84</v>
      </c>
      <c r="K578" s="52" t="s">
        <v>85</v>
      </c>
      <c r="L578" s="84" t="s">
        <v>86</v>
      </c>
      <c r="M578" s="52" t="s">
        <v>85</v>
      </c>
      <c r="N578" s="52" t="s">
        <v>85</v>
      </c>
      <c r="O578" s="44" t="s">
        <v>87</v>
      </c>
      <c r="P578" s="113" t="s">
        <v>1498</v>
      </c>
      <c r="Q578" s="113" t="s">
        <v>85</v>
      </c>
    </row>
    <row r="579" spans="1:17" ht="150" customHeight="1">
      <c r="A579" s="50" t="s">
        <v>36</v>
      </c>
      <c r="B579" s="49">
        <v>46184</v>
      </c>
      <c r="C579" s="49" t="s">
        <v>78</v>
      </c>
      <c r="D579" s="50" t="s">
        <v>79</v>
      </c>
      <c r="E579" s="56" t="s">
        <v>1334</v>
      </c>
      <c r="F579" s="52" t="s">
        <v>1335</v>
      </c>
      <c r="G579" s="52" t="s">
        <v>1336</v>
      </c>
      <c r="H579" s="75" t="s">
        <v>591</v>
      </c>
      <c r="I579" s="52" t="s">
        <v>85</v>
      </c>
      <c r="J579" s="52" t="s">
        <v>85</v>
      </c>
      <c r="K579" s="52" t="s">
        <v>84</v>
      </c>
      <c r="L579" s="76" t="s">
        <v>1337</v>
      </c>
      <c r="M579" s="52" t="s">
        <v>85</v>
      </c>
      <c r="N579" s="52" t="s">
        <v>85</v>
      </c>
      <c r="O579" s="44" t="s">
        <v>87</v>
      </c>
      <c r="P579" s="44" t="s">
        <v>86</v>
      </c>
      <c r="Q579" s="113" t="s">
        <v>85</v>
      </c>
    </row>
    <row r="580" spans="1:17" ht="200.25" customHeight="1">
      <c r="A580" s="50" t="s">
        <v>36</v>
      </c>
      <c r="B580" s="49">
        <v>46186</v>
      </c>
      <c r="C580" s="49" t="s">
        <v>78</v>
      </c>
      <c r="D580" s="50" t="s">
        <v>98</v>
      </c>
      <c r="E580" s="56" t="s">
        <v>1338</v>
      </c>
      <c r="F580" s="52" t="s">
        <v>1102</v>
      </c>
      <c r="G580" s="52" t="s">
        <v>1339</v>
      </c>
      <c r="H580" s="52" t="s">
        <v>453</v>
      </c>
      <c r="I580" s="52" t="s">
        <v>84</v>
      </c>
      <c r="J580" s="52" t="s">
        <v>84</v>
      </c>
      <c r="K580" s="52" t="s">
        <v>85</v>
      </c>
      <c r="L580" s="76" t="s">
        <v>86</v>
      </c>
      <c r="M580" s="52" t="s">
        <v>85</v>
      </c>
      <c r="N580" s="52" t="s">
        <v>85</v>
      </c>
      <c r="O580" s="44" t="s">
        <v>87</v>
      </c>
      <c r="P580" s="113" t="s">
        <v>1506</v>
      </c>
      <c r="Q580" s="113" t="s">
        <v>85</v>
      </c>
    </row>
    <row r="581" spans="1:17" ht="138" customHeight="1">
      <c r="A581" s="50" t="s">
        <v>36</v>
      </c>
      <c r="B581" s="49">
        <v>46186</v>
      </c>
      <c r="C581" s="49" t="s">
        <v>123</v>
      </c>
      <c r="D581" s="50" t="s">
        <v>98</v>
      </c>
      <c r="E581" s="56" t="s">
        <v>1340</v>
      </c>
      <c r="F581" s="52" t="s">
        <v>1089</v>
      </c>
      <c r="G581" s="52" t="s">
        <v>1341</v>
      </c>
      <c r="H581" s="75" t="s">
        <v>527</v>
      </c>
      <c r="I581" s="52" t="s">
        <v>85</v>
      </c>
      <c r="J581" s="52" t="s">
        <v>84</v>
      </c>
      <c r="K581" s="52" t="s">
        <v>85</v>
      </c>
      <c r="L581" s="76" t="s">
        <v>86</v>
      </c>
      <c r="M581" s="52" t="s">
        <v>85</v>
      </c>
      <c r="N581" s="52" t="s">
        <v>85</v>
      </c>
      <c r="O581" s="44" t="s">
        <v>87</v>
      </c>
      <c r="P581" s="44" t="s">
        <v>86</v>
      </c>
      <c r="Q581" s="113" t="s">
        <v>85</v>
      </c>
    </row>
    <row r="582" spans="1:17" ht="213" customHeight="1">
      <c r="A582" s="50" t="s">
        <v>36</v>
      </c>
      <c r="B582" s="49">
        <v>46187</v>
      </c>
      <c r="C582" s="49" t="s">
        <v>220</v>
      </c>
      <c r="D582" s="50" t="s">
        <v>98</v>
      </c>
      <c r="E582" s="56" t="s">
        <v>1342</v>
      </c>
      <c r="F582" s="75" t="s">
        <v>604</v>
      </c>
      <c r="G582" s="52" t="s">
        <v>1343</v>
      </c>
      <c r="H582" s="52" t="s">
        <v>405</v>
      </c>
      <c r="I582" s="52" t="s">
        <v>85</v>
      </c>
      <c r="J582" s="52" t="s">
        <v>84</v>
      </c>
      <c r="K582" s="52" t="s">
        <v>85</v>
      </c>
      <c r="L582" s="76" t="s">
        <v>86</v>
      </c>
      <c r="M582" s="52" t="s">
        <v>85</v>
      </c>
      <c r="N582" s="52" t="s">
        <v>85</v>
      </c>
      <c r="O582" s="52" t="s">
        <v>118</v>
      </c>
      <c r="P582" s="113" t="s">
        <v>1497</v>
      </c>
      <c r="Q582" s="113" t="s">
        <v>85</v>
      </c>
    </row>
    <row r="583" spans="1:17" ht="201" customHeight="1">
      <c r="A583" s="50" t="s">
        <v>36</v>
      </c>
      <c r="B583" s="49">
        <v>46187</v>
      </c>
      <c r="C583" s="49" t="s">
        <v>78</v>
      </c>
      <c r="D583" s="81" t="s">
        <v>98</v>
      </c>
      <c r="E583" s="56" t="s">
        <v>1344</v>
      </c>
      <c r="F583" s="52" t="s">
        <v>482</v>
      </c>
      <c r="G583" s="52" t="s">
        <v>1345</v>
      </c>
      <c r="H583" s="52" t="s">
        <v>651</v>
      </c>
      <c r="I583" s="52" t="s">
        <v>85</v>
      </c>
      <c r="J583" s="52" t="s">
        <v>84</v>
      </c>
      <c r="K583" s="52" t="s">
        <v>85</v>
      </c>
      <c r="L583" s="76" t="s">
        <v>86</v>
      </c>
      <c r="M583" s="52" t="s">
        <v>84</v>
      </c>
      <c r="N583" s="52" t="s">
        <v>85</v>
      </c>
      <c r="O583" s="44" t="s">
        <v>87</v>
      </c>
      <c r="P583" s="44" t="s">
        <v>86</v>
      </c>
      <c r="Q583" s="113" t="s">
        <v>85</v>
      </c>
    </row>
    <row r="584" spans="1:17" ht="276" customHeight="1">
      <c r="A584" s="50" t="s">
        <v>36</v>
      </c>
      <c r="B584" s="49">
        <v>46188</v>
      </c>
      <c r="C584" s="49" t="s">
        <v>78</v>
      </c>
      <c r="D584" s="50" t="s">
        <v>79</v>
      </c>
      <c r="E584" s="56" t="s">
        <v>1346</v>
      </c>
      <c r="F584" s="52" t="s">
        <v>482</v>
      </c>
      <c r="G584" s="52" t="s">
        <v>1347</v>
      </c>
      <c r="H584" s="52" t="s">
        <v>591</v>
      </c>
      <c r="I584" s="52" t="s">
        <v>85</v>
      </c>
      <c r="J584" s="52" t="s">
        <v>85</v>
      </c>
      <c r="K584" s="52" t="s">
        <v>84</v>
      </c>
      <c r="L584" s="76" t="s">
        <v>1348</v>
      </c>
      <c r="M584" s="52" t="s">
        <v>84</v>
      </c>
      <c r="N584" s="52" t="s">
        <v>85</v>
      </c>
      <c r="O584" s="44" t="s">
        <v>87</v>
      </c>
      <c r="P584" s="44" t="s">
        <v>86</v>
      </c>
      <c r="Q584" s="113" t="s">
        <v>85</v>
      </c>
    </row>
    <row r="585" spans="1:17" ht="125.25" customHeight="1">
      <c r="A585" s="50" t="s">
        <v>36</v>
      </c>
      <c r="B585" s="49">
        <v>46189</v>
      </c>
      <c r="C585" s="49" t="s">
        <v>106</v>
      </c>
      <c r="D585" s="50" t="s">
        <v>98</v>
      </c>
      <c r="E585" s="56" t="s">
        <v>1349</v>
      </c>
      <c r="F585" s="52" t="s">
        <v>451</v>
      </c>
      <c r="G585" s="75" t="s">
        <v>1350</v>
      </c>
      <c r="H585" s="52" t="s">
        <v>135</v>
      </c>
      <c r="I585" s="52" t="s">
        <v>85</v>
      </c>
      <c r="J585" s="52" t="s">
        <v>84</v>
      </c>
      <c r="K585" s="52" t="s">
        <v>85</v>
      </c>
      <c r="L585" s="76" t="s">
        <v>86</v>
      </c>
      <c r="M585" s="52" t="s">
        <v>85</v>
      </c>
      <c r="N585" s="52" t="s">
        <v>84</v>
      </c>
      <c r="O585" s="44" t="s">
        <v>87</v>
      </c>
      <c r="P585" s="44" t="s">
        <v>86</v>
      </c>
      <c r="Q585" s="113" t="s">
        <v>85</v>
      </c>
    </row>
    <row r="586" spans="1:17" ht="150" customHeight="1">
      <c r="A586" s="50" t="s">
        <v>36</v>
      </c>
      <c r="B586" s="49">
        <v>46190</v>
      </c>
      <c r="C586" s="49" t="s">
        <v>78</v>
      </c>
      <c r="D586" s="50" t="s">
        <v>98</v>
      </c>
      <c r="E586" s="56" t="s">
        <v>1351</v>
      </c>
      <c r="F586" s="52" t="s">
        <v>1161</v>
      </c>
      <c r="G586" s="52" t="s">
        <v>1352</v>
      </c>
      <c r="H586" s="52" t="s">
        <v>684</v>
      </c>
      <c r="I586" s="52" t="s">
        <v>85</v>
      </c>
      <c r="J586" s="52" t="s">
        <v>85</v>
      </c>
      <c r="K586" s="52" t="s">
        <v>84</v>
      </c>
      <c r="L586" s="76" t="s">
        <v>1353</v>
      </c>
      <c r="M586" s="52" t="s">
        <v>85</v>
      </c>
      <c r="N586" s="52" t="s">
        <v>85</v>
      </c>
      <c r="O586" s="44" t="s">
        <v>87</v>
      </c>
      <c r="P586" s="44" t="s">
        <v>86</v>
      </c>
      <c r="Q586" s="113" t="s">
        <v>85</v>
      </c>
    </row>
    <row r="587" spans="1:17" ht="252" customHeight="1">
      <c r="A587" s="50" t="s">
        <v>36</v>
      </c>
      <c r="B587" s="49">
        <v>46191</v>
      </c>
      <c r="C587" s="49" t="s">
        <v>123</v>
      </c>
      <c r="D587" s="50" t="s">
        <v>79</v>
      </c>
      <c r="E587" s="56" t="s">
        <v>1354</v>
      </c>
      <c r="F587" s="52" t="s">
        <v>350</v>
      </c>
      <c r="G587" s="52" t="s">
        <v>1355</v>
      </c>
      <c r="H587" s="52" t="s">
        <v>405</v>
      </c>
      <c r="I587" s="52" t="s">
        <v>85</v>
      </c>
      <c r="J587" s="52" t="s">
        <v>84</v>
      </c>
      <c r="K587" s="52" t="s">
        <v>85</v>
      </c>
      <c r="L587" s="76" t="s">
        <v>86</v>
      </c>
      <c r="M587" s="52" t="s">
        <v>85</v>
      </c>
      <c r="N587" s="52" t="s">
        <v>85</v>
      </c>
      <c r="O587" s="44" t="s">
        <v>87</v>
      </c>
      <c r="P587" s="113" t="s">
        <v>1500</v>
      </c>
      <c r="Q587" s="113" t="s">
        <v>85</v>
      </c>
    </row>
    <row r="588" spans="1:17" ht="102.75" customHeight="1">
      <c r="A588" s="50" t="s">
        <v>36</v>
      </c>
      <c r="B588" s="49">
        <v>46192</v>
      </c>
      <c r="C588" s="49" t="s">
        <v>190</v>
      </c>
      <c r="D588" s="50" t="s">
        <v>98</v>
      </c>
      <c r="E588" s="56" t="s">
        <v>1356</v>
      </c>
      <c r="F588" s="52" t="s">
        <v>1325</v>
      </c>
      <c r="G588" s="56" t="s">
        <v>1357</v>
      </c>
      <c r="H588" s="52" t="s">
        <v>117</v>
      </c>
      <c r="I588" s="52" t="s">
        <v>85</v>
      </c>
      <c r="J588" s="52" t="s">
        <v>84</v>
      </c>
      <c r="K588" s="52" t="s">
        <v>85</v>
      </c>
      <c r="L588" s="76" t="s">
        <v>86</v>
      </c>
      <c r="M588" s="52" t="s">
        <v>85</v>
      </c>
      <c r="N588" s="52" t="s">
        <v>85</v>
      </c>
      <c r="O588" s="52" t="s">
        <v>118</v>
      </c>
      <c r="P588" s="44" t="s">
        <v>86</v>
      </c>
      <c r="Q588" s="113" t="s">
        <v>85</v>
      </c>
    </row>
    <row r="589" spans="1:17" ht="150" customHeight="1">
      <c r="A589" s="50" t="s">
        <v>36</v>
      </c>
      <c r="B589" s="49">
        <v>46192</v>
      </c>
      <c r="C589" s="49" t="s">
        <v>78</v>
      </c>
      <c r="D589" s="50" t="s">
        <v>79</v>
      </c>
      <c r="E589" s="56" t="s">
        <v>1358</v>
      </c>
      <c r="F589" s="52" t="s">
        <v>451</v>
      </c>
      <c r="G589" s="52" t="s">
        <v>1359</v>
      </c>
      <c r="H589" s="52" t="s">
        <v>670</v>
      </c>
      <c r="I589" s="52" t="s">
        <v>85</v>
      </c>
      <c r="J589" s="52" t="s">
        <v>84</v>
      </c>
      <c r="K589" s="52" t="s">
        <v>85</v>
      </c>
      <c r="L589" s="76" t="s">
        <v>86</v>
      </c>
      <c r="M589" s="52" t="s">
        <v>85</v>
      </c>
      <c r="N589" s="52" t="s">
        <v>84</v>
      </c>
      <c r="O589" s="44" t="s">
        <v>87</v>
      </c>
      <c r="P589" s="113" t="s">
        <v>1497</v>
      </c>
      <c r="Q589" s="113" t="s">
        <v>85</v>
      </c>
    </row>
    <row r="590" spans="1:17" ht="127.5" customHeight="1">
      <c r="A590" s="50" t="s">
        <v>36</v>
      </c>
      <c r="B590" s="49">
        <v>46192</v>
      </c>
      <c r="C590" s="49" t="s">
        <v>106</v>
      </c>
      <c r="D590" s="50" t="s">
        <v>98</v>
      </c>
      <c r="E590" s="56" t="s">
        <v>1360</v>
      </c>
      <c r="F590" s="52" t="s">
        <v>1089</v>
      </c>
      <c r="G590" s="52" t="s">
        <v>125</v>
      </c>
      <c r="H590" s="52" t="s">
        <v>651</v>
      </c>
      <c r="I590" s="52" t="s">
        <v>85</v>
      </c>
      <c r="J590" s="52" t="s">
        <v>84</v>
      </c>
      <c r="K590" s="52" t="s">
        <v>85</v>
      </c>
      <c r="L590" s="76" t="s">
        <v>86</v>
      </c>
      <c r="M590" s="52" t="s">
        <v>85</v>
      </c>
      <c r="N590" s="52" t="s">
        <v>85</v>
      </c>
      <c r="O590" s="52" t="s">
        <v>118</v>
      </c>
      <c r="P590" s="113" t="s">
        <v>1497</v>
      </c>
      <c r="Q590" s="113" t="s">
        <v>85</v>
      </c>
    </row>
    <row r="591" spans="1:17" ht="126" customHeight="1">
      <c r="A591" s="50" t="s">
        <v>36</v>
      </c>
      <c r="B591" s="49">
        <v>46194</v>
      </c>
      <c r="C591" s="49" t="s">
        <v>123</v>
      </c>
      <c r="D591" s="50" t="s">
        <v>98</v>
      </c>
      <c r="E591" s="51" t="s">
        <v>1361</v>
      </c>
      <c r="F591" s="75" t="s">
        <v>1335</v>
      </c>
      <c r="G591" s="52" t="s">
        <v>1362</v>
      </c>
      <c r="H591" s="52" t="s">
        <v>591</v>
      </c>
      <c r="I591" s="52" t="s">
        <v>85</v>
      </c>
      <c r="J591" s="52" t="s">
        <v>84</v>
      </c>
      <c r="K591" s="52" t="s">
        <v>85</v>
      </c>
      <c r="L591" s="76" t="s">
        <v>86</v>
      </c>
      <c r="M591" s="52" t="s">
        <v>85</v>
      </c>
      <c r="N591" s="52" t="s">
        <v>85</v>
      </c>
      <c r="O591" s="44" t="s">
        <v>87</v>
      </c>
      <c r="P591" s="44" t="s">
        <v>86</v>
      </c>
      <c r="Q591" s="113" t="s">
        <v>85</v>
      </c>
    </row>
    <row r="592" spans="1:17" ht="113.25" customHeight="1">
      <c r="A592" s="50" t="s">
        <v>36</v>
      </c>
      <c r="B592" s="49">
        <v>46194</v>
      </c>
      <c r="C592" s="49" t="s">
        <v>106</v>
      </c>
      <c r="D592" s="50" t="s">
        <v>79</v>
      </c>
      <c r="E592" s="56" t="s">
        <v>1363</v>
      </c>
      <c r="F592" s="52" t="s">
        <v>1113</v>
      </c>
      <c r="G592" s="52" t="s">
        <v>1364</v>
      </c>
      <c r="H592" s="52" t="s">
        <v>591</v>
      </c>
      <c r="I592" s="52" t="s">
        <v>84</v>
      </c>
      <c r="J592" s="52" t="s">
        <v>85</v>
      </c>
      <c r="K592" s="52" t="s">
        <v>84</v>
      </c>
      <c r="L592" s="76" t="s">
        <v>1365</v>
      </c>
      <c r="M592" s="52" t="s">
        <v>85</v>
      </c>
      <c r="N592" s="52" t="s">
        <v>85</v>
      </c>
      <c r="O592" s="44" t="s">
        <v>87</v>
      </c>
      <c r="P592" s="44" t="s">
        <v>86</v>
      </c>
      <c r="Q592" s="113" t="s">
        <v>85</v>
      </c>
    </row>
    <row r="593" spans="1:17" ht="112.5" customHeight="1">
      <c r="A593" s="50" t="s">
        <v>36</v>
      </c>
      <c r="B593" s="49">
        <v>46194</v>
      </c>
      <c r="C593" s="49" t="s">
        <v>123</v>
      </c>
      <c r="D593" s="50" t="s">
        <v>98</v>
      </c>
      <c r="E593" s="56" t="s">
        <v>1366</v>
      </c>
      <c r="F593" s="52" t="s">
        <v>554</v>
      </c>
      <c r="G593" s="52" t="s">
        <v>1367</v>
      </c>
      <c r="H593" s="52" t="s">
        <v>409</v>
      </c>
      <c r="I593" s="52" t="s">
        <v>84</v>
      </c>
      <c r="J593" s="52" t="s">
        <v>84</v>
      </c>
      <c r="K593" s="52" t="s">
        <v>85</v>
      </c>
      <c r="L593" s="76" t="s">
        <v>86</v>
      </c>
      <c r="M593" s="52" t="s">
        <v>85</v>
      </c>
      <c r="N593" s="52" t="s">
        <v>85</v>
      </c>
      <c r="O593" s="44" t="s">
        <v>87</v>
      </c>
      <c r="P593" s="44" t="s">
        <v>86</v>
      </c>
      <c r="Q593" s="113" t="s">
        <v>570</v>
      </c>
    </row>
    <row r="594" spans="1:17" ht="96" customHeight="1">
      <c r="A594" s="50" t="s">
        <v>36</v>
      </c>
      <c r="B594" s="49">
        <v>46196</v>
      </c>
      <c r="C594" s="49" t="s">
        <v>106</v>
      </c>
      <c r="D594" s="50" t="s">
        <v>79</v>
      </c>
      <c r="E594" s="56" t="s">
        <v>1368</v>
      </c>
      <c r="F594" s="52" t="s">
        <v>1335</v>
      </c>
      <c r="G594" s="52" t="s">
        <v>1369</v>
      </c>
      <c r="H594" s="52" t="s">
        <v>591</v>
      </c>
      <c r="I594" s="52" t="s">
        <v>84</v>
      </c>
      <c r="J594" s="52" t="s">
        <v>85</v>
      </c>
      <c r="K594" s="52" t="s">
        <v>84</v>
      </c>
      <c r="L594" s="76" t="s">
        <v>1370</v>
      </c>
      <c r="M594" s="52" t="s">
        <v>85</v>
      </c>
      <c r="N594" s="52" t="s">
        <v>85</v>
      </c>
      <c r="O594" s="44" t="s">
        <v>87</v>
      </c>
      <c r="P594" s="44" t="s">
        <v>86</v>
      </c>
      <c r="Q594" s="113" t="s">
        <v>85</v>
      </c>
    </row>
    <row r="595" spans="1:17" ht="118.5" customHeight="1">
      <c r="A595" s="50" t="s">
        <v>36</v>
      </c>
      <c r="B595" s="49">
        <v>46196</v>
      </c>
      <c r="C595" s="80" t="s">
        <v>78</v>
      </c>
      <c r="D595" s="50" t="s">
        <v>79</v>
      </c>
      <c r="E595" s="82" t="s">
        <v>1371</v>
      </c>
      <c r="F595" s="83" t="s">
        <v>618</v>
      </c>
      <c r="G595" s="83" t="s">
        <v>1372</v>
      </c>
      <c r="H595" s="75" t="s">
        <v>1278</v>
      </c>
      <c r="I595" s="52" t="s">
        <v>85</v>
      </c>
      <c r="J595" s="52" t="s">
        <v>85</v>
      </c>
      <c r="K595" s="52" t="s">
        <v>84</v>
      </c>
      <c r="L595" s="84" t="s">
        <v>1373</v>
      </c>
      <c r="M595" s="52" t="s">
        <v>85</v>
      </c>
      <c r="N595" s="52" t="s">
        <v>85</v>
      </c>
      <c r="O595" s="44" t="s">
        <v>87</v>
      </c>
      <c r="P595" s="44" t="s">
        <v>86</v>
      </c>
      <c r="Q595" s="113" t="s">
        <v>85</v>
      </c>
    </row>
    <row r="596" spans="1:17" ht="112.5" customHeight="1">
      <c r="A596" s="50" t="s">
        <v>36</v>
      </c>
      <c r="B596" s="49">
        <v>46197</v>
      </c>
      <c r="C596" s="80" t="s">
        <v>78</v>
      </c>
      <c r="D596" s="50" t="s">
        <v>79</v>
      </c>
      <c r="E596" s="56" t="s">
        <v>1374</v>
      </c>
      <c r="F596" s="52" t="s">
        <v>604</v>
      </c>
      <c r="G596" s="52" t="s">
        <v>1375</v>
      </c>
      <c r="H596" s="52" t="s">
        <v>453</v>
      </c>
      <c r="I596" s="52" t="s">
        <v>85</v>
      </c>
      <c r="J596" s="52" t="s">
        <v>85</v>
      </c>
      <c r="K596" s="52" t="s">
        <v>84</v>
      </c>
      <c r="L596" s="76" t="s">
        <v>1376</v>
      </c>
      <c r="M596" s="52" t="s">
        <v>85</v>
      </c>
      <c r="N596" s="52" t="s">
        <v>85</v>
      </c>
      <c r="O596" s="44" t="s">
        <v>87</v>
      </c>
      <c r="P596" s="44" t="s">
        <v>86</v>
      </c>
      <c r="Q596" s="113" t="s">
        <v>85</v>
      </c>
    </row>
    <row r="597" spans="1:17" ht="125.25" customHeight="1">
      <c r="A597" s="50" t="s">
        <v>36</v>
      </c>
      <c r="B597" s="49">
        <v>46197</v>
      </c>
      <c r="C597" s="49" t="s">
        <v>123</v>
      </c>
      <c r="D597" s="50" t="s">
        <v>79</v>
      </c>
      <c r="E597" s="56" t="s">
        <v>1377</v>
      </c>
      <c r="F597" s="52" t="s">
        <v>451</v>
      </c>
      <c r="G597" s="52" t="s">
        <v>1378</v>
      </c>
      <c r="H597" s="52" t="s">
        <v>453</v>
      </c>
      <c r="I597" s="52" t="s">
        <v>84</v>
      </c>
      <c r="J597" s="52" t="s">
        <v>85</v>
      </c>
      <c r="K597" s="52" t="s">
        <v>84</v>
      </c>
      <c r="L597" s="76" t="s">
        <v>1379</v>
      </c>
      <c r="M597" s="52" t="s">
        <v>85</v>
      </c>
      <c r="N597" s="52" t="s">
        <v>85</v>
      </c>
      <c r="O597" s="44" t="s">
        <v>87</v>
      </c>
      <c r="P597" s="44" t="s">
        <v>86</v>
      </c>
      <c r="Q597" s="113" t="s">
        <v>85</v>
      </c>
    </row>
    <row r="598" spans="1:17" ht="66" customHeight="1">
      <c r="A598" s="50" t="s">
        <v>36</v>
      </c>
      <c r="B598" s="49">
        <v>46198</v>
      </c>
      <c r="C598" s="49" t="s">
        <v>123</v>
      </c>
      <c r="D598" s="50" t="s">
        <v>98</v>
      </c>
      <c r="E598" s="56" t="s">
        <v>1380</v>
      </c>
      <c r="F598" s="52" t="s">
        <v>1381</v>
      </c>
      <c r="G598" s="52" t="s">
        <v>1382</v>
      </c>
      <c r="H598" s="52" t="s">
        <v>83</v>
      </c>
      <c r="I598" s="52" t="s">
        <v>85</v>
      </c>
      <c r="J598" s="52" t="s">
        <v>84</v>
      </c>
      <c r="K598" s="52" t="s">
        <v>85</v>
      </c>
      <c r="L598" s="76" t="s">
        <v>86</v>
      </c>
      <c r="M598" s="52" t="s">
        <v>85</v>
      </c>
      <c r="N598" s="52" t="s">
        <v>85</v>
      </c>
      <c r="O598" s="52" t="s">
        <v>118</v>
      </c>
      <c r="P598" s="44" t="s">
        <v>86</v>
      </c>
      <c r="Q598" s="113" t="s">
        <v>85</v>
      </c>
    </row>
    <row r="599" spans="1:17" ht="141" customHeight="1">
      <c r="A599" s="50" t="s">
        <v>36</v>
      </c>
      <c r="B599" s="49">
        <v>46201</v>
      </c>
      <c r="C599" s="49" t="s">
        <v>106</v>
      </c>
      <c r="D599" s="50" t="s">
        <v>98</v>
      </c>
      <c r="E599" s="56" t="s">
        <v>1383</v>
      </c>
      <c r="F599" s="52" t="s">
        <v>451</v>
      </c>
      <c r="G599" s="52" t="s">
        <v>1384</v>
      </c>
      <c r="H599" s="52" t="s">
        <v>405</v>
      </c>
      <c r="I599" s="52" t="s">
        <v>84</v>
      </c>
      <c r="J599" s="52" t="s">
        <v>84</v>
      </c>
      <c r="K599" s="52" t="s">
        <v>85</v>
      </c>
      <c r="L599" s="76" t="s">
        <v>86</v>
      </c>
      <c r="M599" s="52" t="s">
        <v>85</v>
      </c>
      <c r="N599" s="52" t="s">
        <v>85</v>
      </c>
      <c r="O599" s="44" t="s">
        <v>87</v>
      </c>
      <c r="P599" s="44" t="s">
        <v>86</v>
      </c>
      <c r="Q599" s="113" t="s">
        <v>85</v>
      </c>
    </row>
    <row r="600" spans="1:17" ht="100.5" customHeight="1">
      <c r="A600" s="50" t="s">
        <v>36</v>
      </c>
      <c r="B600" s="49">
        <v>46201</v>
      </c>
      <c r="C600" s="49" t="s">
        <v>78</v>
      </c>
      <c r="D600" s="50" t="s">
        <v>98</v>
      </c>
      <c r="E600" s="56" t="s">
        <v>1385</v>
      </c>
      <c r="F600" s="52" t="s">
        <v>1102</v>
      </c>
      <c r="G600" s="52" t="s">
        <v>1386</v>
      </c>
      <c r="H600" s="75" t="s">
        <v>409</v>
      </c>
      <c r="I600" s="52" t="s">
        <v>84</v>
      </c>
      <c r="J600" s="52" t="s">
        <v>84</v>
      </c>
      <c r="K600" s="52" t="s">
        <v>85</v>
      </c>
      <c r="L600" s="76" t="s">
        <v>86</v>
      </c>
      <c r="M600" s="52" t="s">
        <v>85</v>
      </c>
      <c r="N600" s="52" t="s">
        <v>85</v>
      </c>
      <c r="O600" s="44" t="s">
        <v>87</v>
      </c>
      <c r="P600" s="44" t="s">
        <v>86</v>
      </c>
      <c r="Q600" s="113" t="s">
        <v>85</v>
      </c>
    </row>
    <row r="601" spans="1:17" ht="100.5" customHeight="1">
      <c r="A601" s="50" t="s">
        <v>36</v>
      </c>
      <c r="B601" s="49">
        <v>46201</v>
      </c>
      <c r="C601" s="49" t="s">
        <v>78</v>
      </c>
      <c r="D601" s="50" t="s">
        <v>79</v>
      </c>
      <c r="E601" s="56" t="s">
        <v>1387</v>
      </c>
      <c r="F601" s="52" t="s">
        <v>451</v>
      </c>
      <c r="G601" s="52" t="s">
        <v>1388</v>
      </c>
      <c r="H601" s="52" t="s">
        <v>591</v>
      </c>
      <c r="I601" s="52" t="s">
        <v>85</v>
      </c>
      <c r="J601" s="52" t="s">
        <v>84</v>
      </c>
      <c r="K601" s="52" t="s">
        <v>85</v>
      </c>
      <c r="L601" s="76" t="s">
        <v>86</v>
      </c>
      <c r="M601" s="52" t="s">
        <v>85</v>
      </c>
      <c r="N601" s="52" t="s">
        <v>84</v>
      </c>
      <c r="O601" s="44" t="s">
        <v>87</v>
      </c>
      <c r="P601" s="44" t="s">
        <v>86</v>
      </c>
      <c r="Q601" s="113" t="s">
        <v>85</v>
      </c>
    </row>
    <row r="602" spans="1:17" ht="138" customHeight="1">
      <c r="A602" s="50" t="s">
        <v>36</v>
      </c>
      <c r="B602" s="49">
        <v>46201</v>
      </c>
      <c r="C602" s="49" t="s">
        <v>78</v>
      </c>
      <c r="D602" s="50" t="s">
        <v>98</v>
      </c>
      <c r="E602" s="51" t="s">
        <v>1389</v>
      </c>
      <c r="F602" s="52" t="s">
        <v>1335</v>
      </c>
      <c r="G602" s="52" t="s">
        <v>150</v>
      </c>
      <c r="H602" s="52" t="s">
        <v>117</v>
      </c>
      <c r="I602" s="52" t="s">
        <v>85</v>
      </c>
      <c r="J602" s="52" t="s">
        <v>84</v>
      </c>
      <c r="K602" s="52" t="s">
        <v>85</v>
      </c>
      <c r="L602" s="76" t="s">
        <v>86</v>
      </c>
      <c r="M602" s="52" t="s">
        <v>85</v>
      </c>
      <c r="N602" s="52" t="s">
        <v>85</v>
      </c>
      <c r="O602" s="44" t="s">
        <v>87</v>
      </c>
      <c r="P602" s="44" t="s">
        <v>86</v>
      </c>
      <c r="Q602" s="113" t="s">
        <v>85</v>
      </c>
    </row>
    <row r="603" spans="1:17" ht="109.5" customHeight="1">
      <c r="A603" s="50" t="s">
        <v>36</v>
      </c>
      <c r="B603" s="49">
        <v>46203</v>
      </c>
      <c r="C603" s="49" t="s">
        <v>106</v>
      </c>
      <c r="D603" s="50" t="s">
        <v>89</v>
      </c>
      <c r="E603" s="56" t="s">
        <v>1390</v>
      </c>
      <c r="F603" s="52" t="s">
        <v>378</v>
      </c>
      <c r="G603" s="52" t="s">
        <v>1391</v>
      </c>
      <c r="H603" s="52" t="s">
        <v>591</v>
      </c>
      <c r="I603" s="52" t="s">
        <v>85</v>
      </c>
      <c r="J603" s="52" t="s">
        <v>84</v>
      </c>
      <c r="K603" s="52" t="s">
        <v>85</v>
      </c>
      <c r="L603" s="76" t="s">
        <v>86</v>
      </c>
      <c r="M603" s="52" t="s">
        <v>85</v>
      </c>
      <c r="N603" s="52" t="s">
        <v>85</v>
      </c>
      <c r="O603" s="52" t="s">
        <v>118</v>
      </c>
      <c r="P603" s="44" t="s">
        <v>86</v>
      </c>
      <c r="Q603" s="113" t="s">
        <v>85</v>
      </c>
    </row>
    <row r="604" spans="1:17" ht="138" customHeight="1">
      <c r="A604" s="52" t="s">
        <v>36</v>
      </c>
      <c r="B604" s="49">
        <v>46203</v>
      </c>
      <c r="C604" s="49" t="s">
        <v>106</v>
      </c>
      <c r="D604" s="50" t="s">
        <v>83</v>
      </c>
      <c r="E604" s="56" t="s">
        <v>1392</v>
      </c>
      <c r="F604" s="52" t="s">
        <v>451</v>
      </c>
      <c r="G604" s="52" t="s">
        <v>1393</v>
      </c>
      <c r="H604" s="75" t="s">
        <v>1278</v>
      </c>
      <c r="I604" s="52" t="s">
        <v>85</v>
      </c>
      <c r="J604" s="52" t="s">
        <v>84</v>
      </c>
      <c r="K604" s="52" t="s">
        <v>85</v>
      </c>
      <c r="L604" s="76" t="s">
        <v>86</v>
      </c>
      <c r="M604" s="52" t="s">
        <v>85</v>
      </c>
      <c r="N604" s="52" t="s">
        <v>85</v>
      </c>
      <c r="O604" s="44" t="s">
        <v>87</v>
      </c>
      <c r="P604" s="44" t="s">
        <v>86</v>
      </c>
      <c r="Q604" s="113" t="s">
        <v>85</v>
      </c>
    </row>
    <row r="605" spans="1:17" ht="213" customHeight="1">
      <c r="A605" s="50" t="s">
        <v>37</v>
      </c>
      <c r="B605" s="80">
        <v>46204</v>
      </c>
      <c r="C605" s="49" t="s">
        <v>123</v>
      </c>
      <c r="D605" s="81" t="s">
        <v>79</v>
      </c>
      <c r="E605" s="82" t="s">
        <v>1394</v>
      </c>
      <c r="F605" s="52" t="s">
        <v>877</v>
      </c>
      <c r="G605" s="83" t="s">
        <v>1395</v>
      </c>
      <c r="H605" s="83" t="s">
        <v>670</v>
      </c>
      <c r="I605" s="83" t="s">
        <v>85</v>
      </c>
      <c r="J605" s="83" t="s">
        <v>85</v>
      </c>
      <c r="K605" s="83" t="s">
        <v>84</v>
      </c>
      <c r="L605" s="84" t="s">
        <v>263</v>
      </c>
      <c r="M605" s="83" t="s">
        <v>84</v>
      </c>
      <c r="N605" s="52" t="s">
        <v>85</v>
      </c>
      <c r="O605" s="52" t="s">
        <v>118</v>
      </c>
      <c r="P605" s="44" t="s">
        <v>86</v>
      </c>
      <c r="Q605" s="113" t="s">
        <v>85</v>
      </c>
    </row>
    <row r="606" spans="1:17" ht="150" customHeight="1">
      <c r="A606" s="50" t="s">
        <v>37</v>
      </c>
      <c r="B606" s="80">
        <v>46204</v>
      </c>
      <c r="C606" s="80" t="s">
        <v>106</v>
      </c>
      <c r="D606" s="81" t="s">
        <v>98</v>
      </c>
      <c r="E606" s="82" t="s">
        <v>1396</v>
      </c>
      <c r="F606" s="52" t="s">
        <v>451</v>
      </c>
      <c r="G606" s="83" t="s">
        <v>1397</v>
      </c>
      <c r="H606" s="83" t="s">
        <v>527</v>
      </c>
      <c r="I606" s="83" t="s">
        <v>85</v>
      </c>
      <c r="J606" s="83" t="s">
        <v>84</v>
      </c>
      <c r="K606" s="83" t="s">
        <v>85</v>
      </c>
      <c r="L606" s="84" t="s">
        <v>86</v>
      </c>
      <c r="M606" s="83" t="s">
        <v>85</v>
      </c>
      <c r="N606" s="52" t="s">
        <v>85</v>
      </c>
      <c r="O606" s="44" t="s">
        <v>87</v>
      </c>
      <c r="P606" s="44" t="s">
        <v>86</v>
      </c>
      <c r="Q606" s="113" t="s">
        <v>85</v>
      </c>
    </row>
    <row r="607" spans="1:17" ht="177" customHeight="1">
      <c r="A607" s="50" t="s">
        <v>37</v>
      </c>
      <c r="B607" s="49">
        <v>46206</v>
      </c>
      <c r="C607" s="49" t="s">
        <v>88</v>
      </c>
      <c r="D607" s="81" t="s">
        <v>136</v>
      </c>
      <c r="E607" s="85" t="s">
        <v>1398</v>
      </c>
      <c r="F607" s="52" t="s">
        <v>161</v>
      </c>
      <c r="G607" s="52" t="s">
        <v>1399</v>
      </c>
      <c r="H607" s="52" t="s">
        <v>251</v>
      </c>
      <c r="I607" s="52" t="s">
        <v>85</v>
      </c>
      <c r="J607" s="52" t="s">
        <v>85</v>
      </c>
      <c r="K607" s="52" t="s">
        <v>84</v>
      </c>
      <c r="L607" s="76" t="s">
        <v>1400</v>
      </c>
      <c r="M607" s="52" t="s">
        <v>85</v>
      </c>
      <c r="N607" s="52" t="s">
        <v>85</v>
      </c>
      <c r="O607" s="44" t="s">
        <v>87</v>
      </c>
      <c r="P607" s="44" t="s">
        <v>86</v>
      </c>
      <c r="Q607" s="44" t="s">
        <v>570</v>
      </c>
    </row>
    <row r="608" spans="1:17" ht="134.25" customHeight="1">
      <c r="A608" s="50" t="s">
        <v>37</v>
      </c>
      <c r="B608" s="49">
        <v>46206</v>
      </c>
      <c r="C608" s="52" t="s">
        <v>123</v>
      </c>
      <c r="D608" s="52" t="s">
        <v>79</v>
      </c>
      <c r="E608" s="56" t="s">
        <v>1401</v>
      </c>
      <c r="F608" s="52" t="s">
        <v>775</v>
      </c>
      <c r="G608" s="52" t="s">
        <v>1402</v>
      </c>
      <c r="H608" s="52" t="s">
        <v>114</v>
      </c>
      <c r="I608" s="52" t="s">
        <v>85</v>
      </c>
      <c r="J608" s="52" t="s">
        <v>84</v>
      </c>
      <c r="K608" s="52" t="s">
        <v>85</v>
      </c>
      <c r="L608" s="52" t="s">
        <v>86</v>
      </c>
      <c r="M608" s="52" t="s">
        <v>85</v>
      </c>
      <c r="N608" s="52" t="s">
        <v>85</v>
      </c>
      <c r="O608" s="52" t="s">
        <v>118</v>
      </c>
      <c r="P608" s="113" t="s">
        <v>1497</v>
      </c>
      <c r="Q608" s="113" t="s">
        <v>85</v>
      </c>
    </row>
    <row r="609" spans="1:17" ht="170.25" customHeight="1">
      <c r="A609" s="50" t="s">
        <v>37</v>
      </c>
      <c r="B609" s="49">
        <v>46212</v>
      </c>
      <c r="C609" s="52" t="s">
        <v>106</v>
      </c>
      <c r="D609" s="52" t="s">
        <v>79</v>
      </c>
      <c r="E609" s="56" t="s">
        <v>1403</v>
      </c>
      <c r="F609" s="52" t="s">
        <v>482</v>
      </c>
      <c r="G609" s="75" t="s">
        <v>1404</v>
      </c>
      <c r="H609" s="52" t="s">
        <v>670</v>
      </c>
      <c r="I609" s="52" t="s">
        <v>85</v>
      </c>
      <c r="J609" s="52" t="s">
        <v>84</v>
      </c>
      <c r="K609" s="52" t="s">
        <v>85</v>
      </c>
      <c r="L609" s="52" t="s">
        <v>86</v>
      </c>
      <c r="M609" s="52" t="s">
        <v>84</v>
      </c>
      <c r="N609" s="52" t="s">
        <v>85</v>
      </c>
      <c r="O609" s="44" t="s">
        <v>87</v>
      </c>
      <c r="P609" s="113" t="s">
        <v>1498</v>
      </c>
      <c r="Q609" s="113" t="s">
        <v>85</v>
      </c>
    </row>
    <row r="610" spans="1:17" s="44" customFormat="1" ht="102" customHeight="1">
      <c r="A610" s="50" t="s">
        <v>37</v>
      </c>
      <c r="B610" s="49">
        <v>46213</v>
      </c>
      <c r="C610" s="52" t="s">
        <v>190</v>
      </c>
      <c r="D610" s="52" t="s">
        <v>89</v>
      </c>
      <c r="E610" s="85" t="s">
        <v>1405</v>
      </c>
      <c r="F610" s="52" t="s">
        <v>451</v>
      </c>
      <c r="G610" s="75" t="s">
        <v>1406</v>
      </c>
      <c r="H610" s="52" t="s">
        <v>114</v>
      </c>
      <c r="I610" s="52" t="s">
        <v>84</v>
      </c>
      <c r="J610" s="52" t="s">
        <v>85</v>
      </c>
      <c r="K610" s="52" t="s">
        <v>84</v>
      </c>
      <c r="L610" s="52" t="s">
        <v>1407</v>
      </c>
      <c r="M610" s="52" t="s">
        <v>85</v>
      </c>
      <c r="N610" s="52" t="s">
        <v>85</v>
      </c>
      <c r="O610" s="52" t="s">
        <v>118</v>
      </c>
      <c r="P610" s="44" t="s">
        <v>86</v>
      </c>
      <c r="Q610" s="113" t="s">
        <v>85</v>
      </c>
    </row>
    <row r="611" spans="1:17" s="44" customFormat="1" ht="132.75" customHeight="1">
      <c r="A611" s="50" t="s">
        <v>37</v>
      </c>
      <c r="B611" s="49">
        <v>46213</v>
      </c>
      <c r="C611" s="52" t="s">
        <v>106</v>
      </c>
      <c r="D611" s="52" t="s">
        <v>83</v>
      </c>
      <c r="E611" s="172" t="s">
        <v>1668</v>
      </c>
      <c r="F611" s="52" t="s">
        <v>707</v>
      </c>
      <c r="G611" s="75" t="s">
        <v>1222</v>
      </c>
      <c r="H611" s="52" t="s">
        <v>102</v>
      </c>
      <c r="I611" s="52" t="s">
        <v>85</v>
      </c>
      <c r="J611" s="52" t="s">
        <v>84</v>
      </c>
      <c r="K611" s="52" t="s">
        <v>85</v>
      </c>
      <c r="L611" s="52" t="s">
        <v>86</v>
      </c>
      <c r="M611" s="52" t="s">
        <v>85</v>
      </c>
      <c r="N611" s="52" t="s">
        <v>85</v>
      </c>
      <c r="O611" s="44" t="s">
        <v>87</v>
      </c>
      <c r="P611" s="113" t="s">
        <v>1497</v>
      </c>
      <c r="Q611" s="113" t="s">
        <v>85</v>
      </c>
    </row>
    <row r="612" spans="1:17" s="44" customFormat="1" ht="144" customHeight="1">
      <c r="A612" s="50" t="s">
        <v>37</v>
      </c>
      <c r="B612" s="49">
        <v>46214</v>
      </c>
      <c r="C612" s="52" t="s">
        <v>78</v>
      </c>
      <c r="D612" s="52" t="s">
        <v>98</v>
      </c>
      <c r="E612" s="56" t="s">
        <v>1408</v>
      </c>
      <c r="F612" s="52" t="s">
        <v>829</v>
      </c>
      <c r="G612" s="52" t="s">
        <v>1409</v>
      </c>
      <c r="H612" s="52" t="s">
        <v>126</v>
      </c>
      <c r="I612" s="52" t="s">
        <v>85</v>
      </c>
      <c r="J612" s="52" t="s">
        <v>84</v>
      </c>
      <c r="K612" s="52" t="s">
        <v>85</v>
      </c>
      <c r="L612" s="52" t="s">
        <v>86</v>
      </c>
      <c r="M612" s="52" t="s">
        <v>85</v>
      </c>
      <c r="N612" s="52" t="s">
        <v>84</v>
      </c>
      <c r="O612" s="44" t="s">
        <v>87</v>
      </c>
      <c r="P612" s="44" t="s">
        <v>86</v>
      </c>
      <c r="Q612" s="113" t="s">
        <v>85</v>
      </c>
    </row>
    <row r="613" spans="1:17" s="86" customFormat="1" ht="99.75" customHeight="1">
      <c r="A613" s="50" t="s">
        <v>37</v>
      </c>
      <c r="B613" s="49">
        <v>46214</v>
      </c>
      <c r="C613" s="52" t="s">
        <v>78</v>
      </c>
      <c r="D613" s="52" t="s">
        <v>83</v>
      </c>
      <c r="E613" s="56" t="s">
        <v>1410</v>
      </c>
      <c r="F613" s="52" t="s">
        <v>707</v>
      </c>
      <c r="G613" s="52" t="s">
        <v>1411</v>
      </c>
      <c r="H613" s="75" t="s">
        <v>453</v>
      </c>
      <c r="I613" s="52" t="s">
        <v>84</v>
      </c>
      <c r="J613" s="52" t="s">
        <v>84</v>
      </c>
      <c r="K613" s="52" t="s">
        <v>85</v>
      </c>
      <c r="L613" s="52" t="s">
        <v>86</v>
      </c>
      <c r="M613" s="52" t="s">
        <v>85</v>
      </c>
      <c r="N613" s="113" t="s">
        <v>85</v>
      </c>
      <c r="O613" s="44" t="s">
        <v>87</v>
      </c>
      <c r="P613" s="113" t="s">
        <v>1497</v>
      </c>
      <c r="Q613" s="113" t="s">
        <v>85</v>
      </c>
    </row>
    <row r="614" spans="1:17" ht="78.75" customHeight="1">
      <c r="A614" s="50" t="s">
        <v>37</v>
      </c>
      <c r="B614" s="59">
        <v>46215</v>
      </c>
      <c r="C614" s="52" t="s">
        <v>78</v>
      </c>
      <c r="D614" s="52" t="s">
        <v>240</v>
      </c>
      <c r="E614" s="56" t="s">
        <v>1412</v>
      </c>
      <c r="F614" s="52" t="s">
        <v>707</v>
      </c>
      <c r="G614" s="75" t="s">
        <v>1413</v>
      </c>
      <c r="H614" s="52" t="s">
        <v>453</v>
      </c>
      <c r="I614" s="52" t="s">
        <v>85</v>
      </c>
      <c r="J614" s="52" t="s">
        <v>84</v>
      </c>
      <c r="K614" s="52" t="s">
        <v>85</v>
      </c>
      <c r="L614" s="52" t="s">
        <v>86</v>
      </c>
      <c r="M614" s="52" t="s">
        <v>85</v>
      </c>
      <c r="N614" s="52" t="s">
        <v>85</v>
      </c>
      <c r="O614" s="44" t="s">
        <v>87</v>
      </c>
      <c r="P614" s="44" t="s">
        <v>86</v>
      </c>
      <c r="Q614" s="113" t="s">
        <v>85</v>
      </c>
    </row>
    <row r="615" spans="1:17" ht="128.25" customHeight="1">
      <c r="A615" s="50" t="s">
        <v>37</v>
      </c>
      <c r="B615" s="59">
        <v>46218</v>
      </c>
      <c r="C615" s="52" t="s">
        <v>106</v>
      </c>
      <c r="D615" s="52" t="s">
        <v>98</v>
      </c>
      <c r="E615" s="56" t="s">
        <v>1414</v>
      </c>
      <c r="F615" s="52" t="s">
        <v>81</v>
      </c>
      <c r="G615" s="75" t="s">
        <v>1415</v>
      </c>
      <c r="H615" s="52" t="s">
        <v>517</v>
      </c>
      <c r="I615" s="52" t="s">
        <v>85</v>
      </c>
      <c r="J615" s="52" t="s">
        <v>85</v>
      </c>
      <c r="K615" s="52" t="s">
        <v>84</v>
      </c>
      <c r="L615" s="52" t="s">
        <v>1416</v>
      </c>
      <c r="M615" s="52" t="s">
        <v>85</v>
      </c>
      <c r="N615" s="52" t="s">
        <v>85</v>
      </c>
      <c r="O615" s="44" t="s">
        <v>87</v>
      </c>
      <c r="P615" s="44" t="s">
        <v>86</v>
      </c>
      <c r="Q615" s="113" t="s">
        <v>85</v>
      </c>
    </row>
    <row r="616" spans="1:17" ht="178.5" customHeight="1">
      <c r="A616" s="50" t="s">
        <v>37</v>
      </c>
      <c r="B616" s="59">
        <v>46220</v>
      </c>
      <c r="C616" s="52" t="s">
        <v>106</v>
      </c>
      <c r="D616" s="52" t="s">
        <v>98</v>
      </c>
      <c r="E616" s="56" t="s">
        <v>1417</v>
      </c>
      <c r="F616" s="52" t="s">
        <v>482</v>
      </c>
      <c r="G616" s="75" t="s">
        <v>1418</v>
      </c>
      <c r="H616" s="75" t="s">
        <v>517</v>
      </c>
      <c r="I616" s="52" t="s">
        <v>85</v>
      </c>
      <c r="J616" s="52" t="s">
        <v>85</v>
      </c>
      <c r="K616" s="52" t="s">
        <v>84</v>
      </c>
      <c r="L616" s="52" t="s">
        <v>1419</v>
      </c>
      <c r="M616" s="52" t="s">
        <v>84</v>
      </c>
      <c r="N616" s="52" t="s">
        <v>85</v>
      </c>
      <c r="O616" s="44" t="s">
        <v>87</v>
      </c>
      <c r="P616" s="44" t="s">
        <v>86</v>
      </c>
      <c r="Q616" s="113" t="s">
        <v>85</v>
      </c>
    </row>
    <row r="617" spans="1:17" ht="237.75" customHeight="1">
      <c r="A617" s="50" t="s">
        <v>37</v>
      </c>
      <c r="B617" s="59">
        <v>46220</v>
      </c>
      <c r="C617" s="52" t="s">
        <v>106</v>
      </c>
      <c r="D617" s="52" t="s">
        <v>79</v>
      </c>
      <c r="E617" s="56" t="s">
        <v>1420</v>
      </c>
      <c r="F617" s="52" t="s">
        <v>378</v>
      </c>
      <c r="G617" s="52" t="s">
        <v>224</v>
      </c>
      <c r="H617" s="52" t="s">
        <v>93</v>
      </c>
      <c r="I617" s="52" t="s">
        <v>85</v>
      </c>
      <c r="J617" s="52" t="s">
        <v>84</v>
      </c>
      <c r="K617" s="52" t="s">
        <v>85</v>
      </c>
      <c r="L617" s="52" t="s">
        <v>86</v>
      </c>
      <c r="M617" s="52" t="s">
        <v>85</v>
      </c>
      <c r="N617" s="52" t="s">
        <v>85</v>
      </c>
      <c r="O617" s="52" t="s">
        <v>118</v>
      </c>
      <c r="P617" s="44" t="s">
        <v>86</v>
      </c>
      <c r="Q617" s="113" t="s">
        <v>85</v>
      </c>
    </row>
    <row r="618" spans="1:17" ht="75" customHeight="1">
      <c r="A618" s="50" t="s">
        <v>37</v>
      </c>
      <c r="B618" s="59">
        <v>46221</v>
      </c>
      <c r="C618" s="52" t="s">
        <v>78</v>
      </c>
      <c r="D618" s="52" t="s">
        <v>98</v>
      </c>
      <c r="E618" s="56" t="s">
        <v>1421</v>
      </c>
      <c r="F618" s="52" t="s">
        <v>81</v>
      </c>
      <c r="G618" s="52" t="s">
        <v>1422</v>
      </c>
      <c r="H618" s="52" t="s">
        <v>126</v>
      </c>
      <c r="I618" s="52" t="s">
        <v>85</v>
      </c>
      <c r="J618" s="52" t="s">
        <v>84</v>
      </c>
      <c r="K618" s="52" t="s">
        <v>85</v>
      </c>
      <c r="L618" s="52" t="s">
        <v>86</v>
      </c>
      <c r="M618" s="52" t="s">
        <v>85</v>
      </c>
      <c r="N618" s="52" t="s">
        <v>85</v>
      </c>
      <c r="O618" s="44" t="s">
        <v>87</v>
      </c>
      <c r="P618" s="44" t="s">
        <v>86</v>
      </c>
      <c r="Q618" s="113" t="s">
        <v>85</v>
      </c>
    </row>
    <row r="619" spans="1:17" ht="129" customHeight="1">
      <c r="A619" s="50" t="s">
        <v>37</v>
      </c>
      <c r="B619" s="59">
        <v>46221</v>
      </c>
      <c r="C619" s="52" t="s">
        <v>123</v>
      </c>
      <c r="D619" s="52" t="s">
        <v>79</v>
      </c>
      <c r="E619" s="56" t="s">
        <v>1423</v>
      </c>
      <c r="F619" s="52" t="s">
        <v>161</v>
      </c>
      <c r="G619" s="52" t="s">
        <v>1424</v>
      </c>
      <c r="H619" s="52" t="s">
        <v>591</v>
      </c>
      <c r="I619" s="52" t="s">
        <v>84</v>
      </c>
      <c r="J619" s="52" t="s">
        <v>84</v>
      </c>
      <c r="K619" s="52" t="s">
        <v>85</v>
      </c>
      <c r="L619" s="52" t="s">
        <v>86</v>
      </c>
      <c r="M619" s="52" t="s">
        <v>85</v>
      </c>
      <c r="N619" s="52" t="s">
        <v>85</v>
      </c>
      <c r="O619" s="44" t="s">
        <v>87</v>
      </c>
      <c r="P619" s="44" t="s">
        <v>86</v>
      </c>
      <c r="Q619" s="113" t="s">
        <v>85</v>
      </c>
    </row>
    <row r="620" spans="1:17" ht="87.75" customHeight="1">
      <c r="A620" s="50" t="s">
        <v>37</v>
      </c>
      <c r="B620" s="59">
        <v>46222</v>
      </c>
      <c r="C620" s="52" t="s">
        <v>88</v>
      </c>
      <c r="D620" s="52" t="s">
        <v>89</v>
      </c>
      <c r="E620" s="56" t="s">
        <v>1425</v>
      </c>
      <c r="F620" s="52" t="s">
        <v>707</v>
      </c>
      <c r="G620" s="52" t="s">
        <v>1426</v>
      </c>
      <c r="H620" s="52" t="s">
        <v>175</v>
      </c>
      <c r="I620" s="52" t="s">
        <v>85</v>
      </c>
      <c r="J620" s="52" t="s">
        <v>85</v>
      </c>
      <c r="K620" s="52" t="s">
        <v>84</v>
      </c>
      <c r="L620" s="52" t="s">
        <v>1427</v>
      </c>
      <c r="M620" s="52" t="s">
        <v>85</v>
      </c>
      <c r="N620" s="52" t="s">
        <v>85</v>
      </c>
      <c r="O620" s="52" t="s">
        <v>118</v>
      </c>
      <c r="P620" s="44" t="s">
        <v>86</v>
      </c>
      <c r="Q620" s="113" t="s">
        <v>85</v>
      </c>
    </row>
    <row r="621" spans="1:17" ht="149.4" customHeight="1">
      <c r="A621" s="50" t="s">
        <v>37</v>
      </c>
      <c r="B621" s="59">
        <v>46222</v>
      </c>
      <c r="C621" s="52" t="s">
        <v>106</v>
      </c>
      <c r="D621" s="52" t="s">
        <v>98</v>
      </c>
      <c r="E621" s="56" t="s">
        <v>1428</v>
      </c>
      <c r="F621" s="52" t="s">
        <v>100</v>
      </c>
      <c r="G621" s="52" t="s">
        <v>1429</v>
      </c>
      <c r="H621" s="52" t="s">
        <v>102</v>
      </c>
      <c r="I621" s="52" t="s">
        <v>85</v>
      </c>
      <c r="J621" s="52" t="s">
        <v>84</v>
      </c>
      <c r="K621" s="52" t="s">
        <v>85</v>
      </c>
      <c r="L621" s="52" t="s">
        <v>86</v>
      </c>
      <c r="M621" s="52" t="s">
        <v>85</v>
      </c>
      <c r="N621" s="52" t="s">
        <v>85</v>
      </c>
      <c r="O621" s="44" t="s">
        <v>87</v>
      </c>
      <c r="P621" s="113" t="s">
        <v>1498</v>
      </c>
      <c r="Q621" s="113" t="s">
        <v>85</v>
      </c>
    </row>
    <row r="622" spans="1:17" ht="184.5" customHeight="1">
      <c r="A622" s="50" t="s">
        <v>37</v>
      </c>
      <c r="B622" s="59">
        <v>46222</v>
      </c>
      <c r="C622" s="52" t="s">
        <v>106</v>
      </c>
      <c r="D622" s="52" t="s">
        <v>89</v>
      </c>
      <c r="E622" s="56" t="s">
        <v>1430</v>
      </c>
      <c r="F622" s="52" t="s">
        <v>482</v>
      </c>
      <c r="G622" s="52" t="s">
        <v>1431</v>
      </c>
      <c r="H622" s="52" t="s">
        <v>93</v>
      </c>
      <c r="I622" s="52" t="s">
        <v>85</v>
      </c>
      <c r="J622" s="52" t="s">
        <v>84</v>
      </c>
      <c r="K622" s="52" t="s">
        <v>85</v>
      </c>
      <c r="L622" s="52" t="s">
        <v>86</v>
      </c>
      <c r="M622" s="52" t="s">
        <v>84</v>
      </c>
      <c r="N622" s="52" t="s">
        <v>85</v>
      </c>
      <c r="O622" s="52" t="s">
        <v>118</v>
      </c>
      <c r="P622" s="44" t="s">
        <v>86</v>
      </c>
      <c r="Q622" s="113" t="s">
        <v>85</v>
      </c>
    </row>
    <row r="623" spans="1:17" ht="168" customHeight="1">
      <c r="A623" s="50" t="s">
        <v>37</v>
      </c>
      <c r="B623" s="59">
        <v>46223</v>
      </c>
      <c r="C623" s="52" t="s">
        <v>78</v>
      </c>
      <c r="D623" s="52" t="s">
        <v>98</v>
      </c>
      <c r="E623" s="56" t="s">
        <v>1432</v>
      </c>
      <c r="F623" s="52" t="s">
        <v>372</v>
      </c>
      <c r="G623" s="52" t="s">
        <v>1264</v>
      </c>
      <c r="H623" s="52" t="s">
        <v>527</v>
      </c>
      <c r="I623" s="52" t="s">
        <v>85</v>
      </c>
      <c r="J623" s="52" t="s">
        <v>84</v>
      </c>
      <c r="K623" s="52" t="s">
        <v>85</v>
      </c>
      <c r="L623" s="52" t="s">
        <v>86</v>
      </c>
      <c r="M623" s="52" t="s">
        <v>85</v>
      </c>
      <c r="N623" s="52" t="s">
        <v>84</v>
      </c>
      <c r="O623" s="44" t="s">
        <v>87</v>
      </c>
      <c r="P623" s="113" t="s">
        <v>1497</v>
      </c>
      <c r="Q623" s="113" t="s">
        <v>85</v>
      </c>
    </row>
    <row r="624" spans="1:17" ht="120" customHeight="1">
      <c r="A624" s="50" t="s">
        <v>37</v>
      </c>
      <c r="B624" s="59">
        <v>46224</v>
      </c>
      <c r="C624" s="52" t="s">
        <v>106</v>
      </c>
      <c r="D624" s="52" t="s">
        <v>98</v>
      </c>
      <c r="E624" s="56" t="s">
        <v>1433</v>
      </c>
      <c r="F624" s="52" t="s">
        <v>707</v>
      </c>
      <c r="G624" s="52" t="s">
        <v>125</v>
      </c>
      <c r="H624" s="52" t="s">
        <v>126</v>
      </c>
      <c r="I624" s="52" t="s">
        <v>85</v>
      </c>
      <c r="J624" s="52" t="s">
        <v>84</v>
      </c>
      <c r="K624" s="52" t="s">
        <v>85</v>
      </c>
      <c r="L624" s="52" t="s">
        <v>86</v>
      </c>
      <c r="M624" s="52" t="s">
        <v>85</v>
      </c>
      <c r="N624" s="52" t="s">
        <v>84</v>
      </c>
      <c r="O624" s="44" t="s">
        <v>87</v>
      </c>
      <c r="P624" s="113" t="s">
        <v>1497</v>
      </c>
      <c r="Q624" s="113" t="s">
        <v>85</v>
      </c>
    </row>
    <row r="625" spans="1:20" ht="133.5" customHeight="1">
      <c r="A625" s="50" t="s">
        <v>37</v>
      </c>
      <c r="B625" s="59">
        <v>46223</v>
      </c>
      <c r="C625" s="52" t="s">
        <v>78</v>
      </c>
      <c r="D625" s="52" t="s">
        <v>98</v>
      </c>
      <c r="E625" s="56" t="s">
        <v>1434</v>
      </c>
      <c r="F625" s="52" t="s">
        <v>1089</v>
      </c>
      <c r="G625" s="52" t="s">
        <v>1435</v>
      </c>
      <c r="H625" s="52" t="s">
        <v>102</v>
      </c>
      <c r="I625" s="52" t="s">
        <v>85</v>
      </c>
      <c r="J625" s="52" t="s">
        <v>84</v>
      </c>
      <c r="K625" s="52" t="s">
        <v>85</v>
      </c>
      <c r="L625" s="52" t="s">
        <v>86</v>
      </c>
      <c r="M625" s="44" t="s">
        <v>85</v>
      </c>
      <c r="N625" s="52" t="s">
        <v>85</v>
      </c>
      <c r="O625" s="44" t="s">
        <v>87</v>
      </c>
      <c r="P625" s="113" t="s">
        <v>1497</v>
      </c>
      <c r="Q625" s="113" t="s">
        <v>85</v>
      </c>
    </row>
    <row r="626" spans="1:20" ht="84" customHeight="1">
      <c r="A626" s="50" t="s">
        <v>37</v>
      </c>
      <c r="B626" s="59">
        <v>46224</v>
      </c>
      <c r="C626" s="52" t="s">
        <v>88</v>
      </c>
      <c r="D626" s="52" t="s">
        <v>79</v>
      </c>
      <c r="E626" s="56" t="s">
        <v>1436</v>
      </c>
      <c r="F626" s="44" t="s">
        <v>733</v>
      </c>
      <c r="G626" s="52" t="s">
        <v>1437</v>
      </c>
      <c r="H626" s="52" t="s">
        <v>517</v>
      </c>
      <c r="I626" s="52" t="s">
        <v>85</v>
      </c>
      <c r="J626" s="52" t="s">
        <v>85</v>
      </c>
      <c r="K626" s="52" t="s">
        <v>84</v>
      </c>
      <c r="L626" s="52" t="s">
        <v>1438</v>
      </c>
      <c r="M626" s="44" t="s">
        <v>85</v>
      </c>
      <c r="N626" s="52" t="s">
        <v>85</v>
      </c>
      <c r="O626" s="44" t="s">
        <v>87</v>
      </c>
      <c r="P626" s="44" t="s">
        <v>86</v>
      </c>
      <c r="Q626" s="113" t="s">
        <v>85</v>
      </c>
    </row>
    <row r="627" spans="1:20" ht="132">
      <c r="A627" s="50" t="s">
        <v>37</v>
      </c>
      <c r="B627" s="59">
        <v>46224</v>
      </c>
      <c r="C627" s="52" t="s">
        <v>220</v>
      </c>
      <c r="D627" s="52" t="s">
        <v>98</v>
      </c>
      <c r="E627" s="114" t="s">
        <v>1667</v>
      </c>
      <c r="F627" s="52" t="s">
        <v>378</v>
      </c>
      <c r="G627" s="52" t="s">
        <v>1439</v>
      </c>
      <c r="H627" s="52" t="s">
        <v>135</v>
      </c>
      <c r="I627" s="52" t="s">
        <v>85</v>
      </c>
      <c r="J627" s="52" t="s">
        <v>84</v>
      </c>
      <c r="K627" s="52" t="s">
        <v>85</v>
      </c>
      <c r="L627" s="52" t="s">
        <v>86</v>
      </c>
      <c r="M627" s="44" t="s">
        <v>85</v>
      </c>
      <c r="N627" s="52" t="s">
        <v>85</v>
      </c>
      <c r="O627" s="44" t="s">
        <v>118</v>
      </c>
      <c r="P627" s="113" t="s">
        <v>1498</v>
      </c>
      <c r="Q627" s="113" t="s">
        <v>85</v>
      </c>
    </row>
    <row r="628" spans="1:20" ht="111.75" customHeight="1">
      <c r="A628" s="50" t="s">
        <v>37</v>
      </c>
      <c r="B628" s="59">
        <v>46226</v>
      </c>
      <c r="C628" s="52" t="s">
        <v>190</v>
      </c>
      <c r="D628" s="52" t="s">
        <v>89</v>
      </c>
      <c r="E628" s="56" t="s">
        <v>1440</v>
      </c>
      <c r="F628" s="52" t="s">
        <v>829</v>
      </c>
      <c r="G628" s="52" t="s">
        <v>150</v>
      </c>
      <c r="H628" s="52" t="s">
        <v>117</v>
      </c>
      <c r="I628" s="52" t="s">
        <v>85</v>
      </c>
      <c r="J628" s="52" t="s">
        <v>84</v>
      </c>
      <c r="K628" s="52" t="s">
        <v>85</v>
      </c>
      <c r="L628" s="52" t="s">
        <v>86</v>
      </c>
      <c r="M628" s="44" t="s">
        <v>85</v>
      </c>
      <c r="N628" s="52" t="s">
        <v>85</v>
      </c>
      <c r="O628" s="44" t="s">
        <v>118</v>
      </c>
      <c r="P628" s="44" t="s">
        <v>86</v>
      </c>
      <c r="Q628" s="113" t="s">
        <v>85</v>
      </c>
    </row>
    <row r="629" spans="1:20" ht="82.5" customHeight="1">
      <c r="A629" s="50" t="s">
        <v>37</v>
      </c>
      <c r="B629" s="59">
        <v>46226</v>
      </c>
      <c r="C629" s="52" t="s">
        <v>190</v>
      </c>
      <c r="D629" s="52" t="s">
        <v>98</v>
      </c>
      <c r="E629" s="114" t="s">
        <v>1666</v>
      </c>
      <c r="F629" s="75" t="s">
        <v>1089</v>
      </c>
      <c r="G629" s="52" t="s">
        <v>1441</v>
      </c>
      <c r="H629" s="52" t="s">
        <v>126</v>
      </c>
      <c r="I629" s="52" t="s">
        <v>84</v>
      </c>
      <c r="J629" s="52" t="s">
        <v>84</v>
      </c>
      <c r="K629" s="52" t="s">
        <v>85</v>
      </c>
      <c r="L629" s="52" t="s">
        <v>86</v>
      </c>
      <c r="M629" s="44" t="s">
        <v>85</v>
      </c>
      <c r="N629" s="52" t="s">
        <v>85</v>
      </c>
      <c r="O629" s="44" t="s">
        <v>118</v>
      </c>
      <c r="P629" s="113" t="s">
        <v>1497</v>
      </c>
      <c r="Q629" s="113" t="s">
        <v>85</v>
      </c>
    </row>
    <row r="630" spans="1:20" ht="101.25" customHeight="1">
      <c r="A630" s="50" t="s">
        <v>37</v>
      </c>
      <c r="B630" s="59">
        <v>46226</v>
      </c>
      <c r="C630" s="52" t="s">
        <v>88</v>
      </c>
      <c r="D630" s="52" t="s">
        <v>98</v>
      </c>
      <c r="E630" s="56" t="s">
        <v>1442</v>
      </c>
      <c r="F630" s="75" t="s">
        <v>451</v>
      </c>
      <c r="G630" s="52" t="s">
        <v>1443</v>
      </c>
      <c r="H630" s="52" t="s">
        <v>1278</v>
      </c>
      <c r="I630" s="52" t="s">
        <v>85</v>
      </c>
      <c r="J630" s="52" t="s">
        <v>84</v>
      </c>
      <c r="K630" s="52" t="s">
        <v>85</v>
      </c>
      <c r="L630" s="52" t="s">
        <v>86</v>
      </c>
      <c r="M630" s="44" t="s">
        <v>85</v>
      </c>
      <c r="N630" s="52" t="s">
        <v>84</v>
      </c>
      <c r="O630" s="44" t="s">
        <v>87</v>
      </c>
      <c r="P630" s="44" t="s">
        <v>86</v>
      </c>
      <c r="Q630" s="113" t="s">
        <v>85</v>
      </c>
    </row>
    <row r="631" spans="1:20" ht="123" customHeight="1">
      <c r="A631" s="50" t="s">
        <v>37</v>
      </c>
      <c r="B631" s="59">
        <v>46227</v>
      </c>
      <c r="C631" s="52" t="s">
        <v>106</v>
      </c>
      <c r="D631" s="52" t="s">
        <v>98</v>
      </c>
      <c r="E631" s="114" t="s">
        <v>1665</v>
      </c>
      <c r="F631" s="52" t="s">
        <v>1002</v>
      </c>
      <c r="G631" s="52" t="s">
        <v>233</v>
      </c>
      <c r="H631" s="52" t="s">
        <v>126</v>
      </c>
      <c r="I631" s="52" t="s">
        <v>84</v>
      </c>
      <c r="J631" s="52" t="s">
        <v>84</v>
      </c>
      <c r="K631" s="52" t="s">
        <v>85</v>
      </c>
      <c r="L631" s="52" t="s">
        <v>86</v>
      </c>
      <c r="M631" s="44" t="s">
        <v>85</v>
      </c>
      <c r="N631" s="52" t="s">
        <v>85</v>
      </c>
      <c r="O631" s="44" t="s">
        <v>87</v>
      </c>
      <c r="P631" s="113" t="s">
        <v>1497</v>
      </c>
      <c r="Q631" s="113" t="s">
        <v>85</v>
      </c>
    </row>
    <row r="632" spans="1:20" ht="153.75" customHeight="1">
      <c r="A632" s="50" t="s">
        <v>37</v>
      </c>
      <c r="B632" s="59">
        <v>46227</v>
      </c>
      <c r="C632" s="52" t="s">
        <v>106</v>
      </c>
      <c r="D632" s="52" t="s">
        <v>98</v>
      </c>
      <c r="E632" s="56" t="s">
        <v>1444</v>
      </c>
      <c r="F632" s="52" t="s">
        <v>378</v>
      </c>
      <c r="G632" s="52" t="s">
        <v>1445</v>
      </c>
      <c r="H632" s="52" t="s">
        <v>405</v>
      </c>
      <c r="I632" s="52" t="s">
        <v>85</v>
      </c>
      <c r="J632" s="52" t="s">
        <v>84</v>
      </c>
      <c r="K632" s="52" t="s">
        <v>85</v>
      </c>
      <c r="L632" s="52" t="s">
        <v>86</v>
      </c>
      <c r="M632" s="44" t="s">
        <v>85</v>
      </c>
      <c r="N632" s="52" t="s">
        <v>85</v>
      </c>
      <c r="O632" s="44" t="s">
        <v>87</v>
      </c>
      <c r="P632" s="44" t="s">
        <v>86</v>
      </c>
      <c r="Q632" s="113" t="s">
        <v>85</v>
      </c>
    </row>
    <row r="633" spans="1:20" ht="116.25" customHeight="1">
      <c r="A633" s="50" t="s">
        <v>37</v>
      </c>
      <c r="B633" s="59">
        <v>46228</v>
      </c>
      <c r="C633" s="52" t="s">
        <v>106</v>
      </c>
      <c r="D633" s="52" t="s">
        <v>98</v>
      </c>
      <c r="E633" s="56" t="s">
        <v>1446</v>
      </c>
      <c r="F633" s="44" t="s">
        <v>604</v>
      </c>
      <c r="G633" s="52" t="s">
        <v>150</v>
      </c>
      <c r="H633" s="52" t="s">
        <v>117</v>
      </c>
      <c r="I633" s="52" t="s">
        <v>85</v>
      </c>
      <c r="J633" s="52" t="s">
        <v>84</v>
      </c>
      <c r="K633" s="52" t="s">
        <v>85</v>
      </c>
      <c r="L633" s="52" t="s">
        <v>86</v>
      </c>
      <c r="M633" s="44" t="s">
        <v>85</v>
      </c>
      <c r="N633" s="52" t="s">
        <v>85</v>
      </c>
      <c r="O633" s="52" t="s">
        <v>118</v>
      </c>
      <c r="P633" s="44" t="s">
        <v>86</v>
      </c>
      <c r="Q633" s="113" t="s">
        <v>85</v>
      </c>
    </row>
    <row r="634" spans="1:20" ht="87.75" customHeight="1">
      <c r="A634" s="50" t="s">
        <v>37</v>
      </c>
      <c r="B634" s="59">
        <v>46229</v>
      </c>
      <c r="C634" s="52" t="s">
        <v>88</v>
      </c>
      <c r="D634" s="52" t="s">
        <v>98</v>
      </c>
      <c r="E634" s="56" t="s">
        <v>1447</v>
      </c>
      <c r="F634" s="52" t="s">
        <v>96</v>
      </c>
      <c r="G634" s="52" t="s">
        <v>117</v>
      </c>
      <c r="H634" s="52" t="s">
        <v>117</v>
      </c>
      <c r="I634" s="52" t="s">
        <v>85</v>
      </c>
      <c r="J634" s="52" t="s">
        <v>84</v>
      </c>
      <c r="K634" s="52" t="s">
        <v>85</v>
      </c>
      <c r="L634" s="52" t="s">
        <v>86</v>
      </c>
      <c r="M634" s="44" t="s">
        <v>85</v>
      </c>
      <c r="N634" s="52" t="s">
        <v>85</v>
      </c>
      <c r="O634" s="44" t="s">
        <v>87</v>
      </c>
      <c r="P634" s="44" t="s">
        <v>86</v>
      </c>
      <c r="Q634" s="113" t="s">
        <v>85</v>
      </c>
    </row>
    <row r="635" spans="1:20" ht="162.75" customHeight="1">
      <c r="A635" s="50" t="s">
        <v>37</v>
      </c>
      <c r="B635" s="59">
        <v>46230</v>
      </c>
      <c r="C635" s="52" t="s">
        <v>106</v>
      </c>
      <c r="D635" s="52" t="s">
        <v>98</v>
      </c>
      <c r="E635" s="114" t="s">
        <v>1664</v>
      </c>
      <c r="F635" s="52" t="s">
        <v>451</v>
      </c>
      <c r="G635" s="52" t="s">
        <v>1448</v>
      </c>
      <c r="H635" s="52" t="s">
        <v>102</v>
      </c>
      <c r="I635" s="52" t="s">
        <v>85</v>
      </c>
      <c r="J635" s="52" t="s">
        <v>84</v>
      </c>
      <c r="K635" s="52" t="s">
        <v>85</v>
      </c>
      <c r="L635" s="52" t="s">
        <v>86</v>
      </c>
      <c r="M635" s="44" t="s">
        <v>85</v>
      </c>
      <c r="N635" s="52" t="s">
        <v>85</v>
      </c>
      <c r="O635" s="52" t="s">
        <v>87</v>
      </c>
      <c r="P635" s="113" t="s">
        <v>1498</v>
      </c>
      <c r="Q635" s="113" t="s">
        <v>85</v>
      </c>
      <c r="T635" s="111"/>
    </row>
    <row r="636" spans="1:20" ht="87.75" customHeight="1">
      <c r="A636" s="50" t="s">
        <v>37</v>
      </c>
      <c r="B636" s="59">
        <v>46231</v>
      </c>
      <c r="C636" s="52" t="s">
        <v>88</v>
      </c>
      <c r="D636" s="52" t="s">
        <v>89</v>
      </c>
      <c r="E636" s="56" t="s">
        <v>1449</v>
      </c>
      <c r="F636" s="52" t="s">
        <v>378</v>
      </c>
      <c r="G636" s="52" t="s">
        <v>1450</v>
      </c>
      <c r="H636" s="52" t="s">
        <v>135</v>
      </c>
      <c r="I636" s="52" t="s">
        <v>85</v>
      </c>
      <c r="J636" s="52" t="s">
        <v>84</v>
      </c>
      <c r="K636" s="52" t="s">
        <v>85</v>
      </c>
      <c r="L636" s="52" t="s">
        <v>86</v>
      </c>
      <c r="M636" s="44" t="s">
        <v>85</v>
      </c>
      <c r="N636" s="52" t="s">
        <v>85</v>
      </c>
      <c r="O636" s="44" t="s">
        <v>118</v>
      </c>
      <c r="P636" s="44" t="s">
        <v>86</v>
      </c>
      <c r="Q636" s="113" t="s">
        <v>85</v>
      </c>
    </row>
    <row r="637" spans="1:20" ht="118.5" customHeight="1">
      <c r="A637" s="50" t="s">
        <v>37</v>
      </c>
      <c r="B637" s="59">
        <v>46231</v>
      </c>
      <c r="C637" s="52" t="s">
        <v>106</v>
      </c>
      <c r="D637" s="52" t="s">
        <v>79</v>
      </c>
      <c r="E637" s="56" t="s">
        <v>1451</v>
      </c>
      <c r="F637" s="44" t="s">
        <v>554</v>
      </c>
      <c r="G637" s="52" t="s">
        <v>97</v>
      </c>
      <c r="H637" s="52" t="s">
        <v>591</v>
      </c>
      <c r="I637" s="52" t="s">
        <v>84</v>
      </c>
      <c r="J637" s="52" t="s">
        <v>85</v>
      </c>
      <c r="K637" s="52" t="s">
        <v>84</v>
      </c>
      <c r="L637" s="52" t="s">
        <v>263</v>
      </c>
      <c r="M637" s="44" t="s">
        <v>85</v>
      </c>
      <c r="N637" s="52" t="s">
        <v>85</v>
      </c>
      <c r="O637" s="44" t="s">
        <v>87</v>
      </c>
      <c r="P637" s="44" t="s">
        <v>86</v>
      </c>
      <c r="Q637" s="113" t="s">
        <v>85</v>
      </c>
    </row>
    <row r="638" spans="1:20" ht="201" customHeight="1">
      <c r="A638" s="50" t="s">
        <v>37</v>
      </c>
      <c r="B638" s="59">
        <v>46232</v>
      </c>
      <c r="C638" s="52" t="s">
        <v>106</v>
      </c>
      <c r="D638" s="52" t="s">
        <v>79</v>
      </c>
      <c r="E638" s="56" t="s">
        <v>1452</v>
      </c>
      <c r="F638" s="52" t="s">
        <v>472</v>
      </c>
      <c r="G638" s="52" t="s">
        <v>1453</v>
      </c>
      <c r="H638" s="52" t="s">
        <v>409</v>
      </c>
      <c r="I638" s="52" t="s">
        <v>84</v>
      </c>
      <c r="J638" s="52" t="s">
        <v>84</v>
      </c>
      <c r="K638" s="52" t="s">
        <v>85</v>
      </c>
      <c r="L638" s="52" t="s">
        <v>86</v>
      </c>
      <c r="M638" s="44" t="s">
        <v>84</v>
      </c>
      <c r="N638" s="52" t="s">
        <v>85</v>
      </c>
      <c r="O638" s="44" t="s">
        <v>87</v>
      </c>
      <c r="P638" s="44" t="s">
        <v>86</v>
      </c>
      <c r="Q638" s="44" t="s">
        <v>570</v>
      </c>
    </row>
    <row r="639" spans="1:20" ht="201" customHeight="1">
      <c r="A639" s="50" t="s">
        <v>37</v>
      </c>
      <c r="B639" s="59">
        <v>46233</v>
      </c>
      <c r="C639" s="52" t="s">
        <v>78</v>
      </c>
      <c r="D639" s="52" t="s">
        <v>98</v>
      </c>
      <c r="E639" s="114" t="s">
        <v>1663</v>
      </c>
      <c r="F639" s="75" t="s">
        <v>992</v>
      </c>
      <c r="G639" s="52" t="s">
        <v>1454</v>
      </c>
      <c r="H639" s="52" t="s">
        <v>135</v>
      </c>
      <c r="I639" s="52" t="s">
        <v>85</v>
      </c>
      <c r="J639" s="52" t="s">
        <v>84</v>
      </c>
      <c r="K639" s="52" t="s">
        <v>85</v>
      </c>
      <c r="L639" s="52" t="s">
        <v>86</v>
      </c>
      <c r="M639" s="44" t="s">
        <v>84</v>
      </c>
      <c r="N639" s="52" t="s">
        <v>85</v>
      </c>
      <c r="O639" s="52" t="s">
        <v>118</v>
      </c>
      <c r="P639" s="44" t="s">
        <v>86</v>
      </c>
      <c r="Q639" s="113" t="s">
        <v>85</v>
      </c>
    </row>
    <row r="640" spans="1:20" ht="109.5" customHeight="1">
      <c r="A640" s="87" t="s">
        <v>13</v>
      </c>
      <c r="B640" s="59">
        <v>46235</v>
      </c>
      <c r="C640" s="88" t="s">
        <v>78</v>
      </c>
      <c r="D640" s="88" t="s">
        <v>98</v>
      </c>
      <c r="E640" s="116" t="s">
        <v>1536</v>
      </c>
      <c r="F640" s="83" t="s">
        <v>508</v>
      </c>
      <c r="G640" s="88" t="s">
        <v>117</v>
      </c>
      <c r="H640" s="88" t="s">
        <v>117</v>
      </c>
      <c r="I640" s="88" t="s">
        <v>85</v>
      </c>
      <c r="J640" s="88" t="s">
        <v>84</v>
      </c>
      <c r="K640" s="88" t="s">
        <v>85</v>
      </c>
      <c r="L640" s="88" t="s">
        <v>86</v>
      </c>
      <c r="M640" s="88" t="s">
        <v>85</v>
      </c>
      <c r="N640" s="88" t="s">
        <v>85</v>
      </c>
      <c r="O640" s="88" t="s">
        <v>118</v>
      </c>
      <c r="P640" s="44" t="s">
        <v>86</v>
      </c>
      <c r="Q640" s="113" t="s">
        <v>85</v>
      </c>
    </row>
    <row r="641" spans="1:17" ht="136.5" customHeight="1">
      <c r="A641" s="87" t="s">
        <v>13</v>
      </c>
      <c r="B641" s="59">
        <v>46237</v>
      </c>
      <c r="C641" s="52" t="s">
        <v>220</v>
      </c>
      <c r="D641" s="52" t="s">
        <v>98</v>
      </c>
      <c r="E641" s="114" t="s">
        <v>1537</v>
      </c>
      <c r="F641" s="52" t="s">
        <v>829</v>
      </c>
      <c r="G641" s="52" t="s">
        <v>150</v>
      </c>
      <c r="H641" s="52" t="s">
        <v>117</v>
      </c>
      <c r="I641" s="52" t="s">
        <v>85</v>
      </c>
      <c r="J641" s="52" t="s">
        <v>84</v>
      </c>
      <c r="K641" s="52" t="s">
        <v>85</v>
      </c>
      <c r="L641" s="52" t="s">
        <v>86</v>
      </c>
      <c r="M641" s="52" t="s">
        <v>85</v>
      </c>
      <c r="N641" s="52" t="s">
        <v>85</v>
      </c>
      <c r="O641" s="52" t="s">
        <v>118</v>
      </c>
      <c r="P641" s="44" t="s">
        <v>86</v>
      </c>
      <c r="Q641" s="113" t="s">
        <v>85</v>
      </c>
    </row>
    <row r="642" spans="1:17" ht="187.5" customHeight="1">
      <c r="A642" s="87" t="s">
        <v>13</v>
      </c>
      <c r="B642" s="59">
        <v>46239</v>
      </c>
      <c r="C642" s="52" t="s">
        <v>123</v>
      </c>
      <c r="D642" s="52" t="s">
        <v>79</v>
      </c>
      <c r="E642" s="114" t="s">
        <v>1538</v>
      </c>
      <c r="F642" s="52" t="s">
        <v>472</v>
      </c>
      <c r="G642" s="52" t="s">
        <v>1455</v>
      </c>
      <c r="H642" s="52" t="s">
        <v>93</v>
      </c>
      <c r="I642" s="52" t="s">
        <v>84</v>
      </c>
      <c r="J642" s="52" t="s">
        <v>85</v>
      </c>
      <c r="K642" s="52" t="s">
        <v>84</v>
      </c>
      <c r="L642" s="52" t="s">
        <v>1565</v>
      </c>
      <c r="M642" s="52" t="s">
        <v>85</v>
      </c>
      <c r="N642" s="52" t="s">
        <v>85</v>
      </c>
      <c r="O642" s="52" t="s">
        <v>87</v>
      </c>
      <c r="P642" s="44" t="s">
        <v>86</v>
      </c>
      <c r="Q642" s="113" t="s">
        <v>85</v>
      </c>
    </row>
    <row r="643" spans="1:17" ht="129" customHeight="1">
      <c r="A643" s="87" t="s">
        <v>13</v>
      </c>
      <c r="B643" s="59">
        <v>46240</v>
      </c>
      <c r="C643" s="52" t="s">
        <v>78</v>
      </c>
      <c r="D643" s="52" t="s">
        <v>89</v>
      </c>
      <c r="E643" s="114" t="s">
        <v>1533</v>
      </c>
      <c r="F643" s="52" t="s">
        <v>1095</v>
      </c>
      <c r="G643" s="52" t="s">
        <v>150</v>
      </c>
      <c r="H643" s="52" t="s">
        <v>117</v>
      </c>
      <c r="I643" s="52" t="s">
        <v>84</v>
      </c>
      <c r="J643" s="52" t="s">
        <v>84</v>
      </c>
      <c r="K643" s="52" t="s">
        <v>85</v>
      </c>
      <c r="L643" s="52" t="s">
        <v>86</v>
      </c>
      <c r="M643" s="52" t="s">
        <v>84</v>
      </c>
      <c r="N643" s="52" t="s">
        <v>85</v>
      </c>
      <c r="O643" s="52" t="s">
        <v>87</v>
      </c>
      <c r="P643" s="113" t="s">
        <v>1503</v>
      </c>
      <c r="Q643" s="113" t="s">
        <v>85</v>
      </c>
    </row>
    <row r="644" spans="1:17" ht="221.4" customHeight="1">
      <c r="A644" s="87" t="s">
        <v>13</v>
      </c>
      <c r="B644" s="59">
        <v>46241</v>
      </c>
      <c r="C644" s="52" t="s">
        <v>106</v>
      </c>
      <c r="D644" s="52" t="s">
        <v>98</v>
      </c>
      <c r="E644" s="114" t="s">
        <v>1532</v>
      </c>
      <c r="F644" s="52" t="s">
        <v>1110</v>
      </c>
      <c r="G644" s="52" t="s">
        <v>1531</v>
      </c>
      <c r="H644" s="52" t="s">
        <v>126</v>
      </c>
      <c r="I644" s="52" t="s">
        <v>84</v>
      </c>
      <c r="J644" s="52" t="s">
        <v>84</v>
      </c>
      <c r="K644" s="52" t="s">
        <v>85</v>
      </c>
      <c r="L644" s="52" t="s">
        <v>86</v>
      </c>
      <c r="M644" s="52" t="s">
        <v>85</v>
      </c>
      <c r="N644" s="52" t="s">
        <v>85</v>
      </c>
      <c r="O644" s="52" t="s">
        <v>87</v>
      </c>
      <c r="P644" s="113" t="s">
        <v>86</v>
      </c>
      <c r="Q644" s="113" t="s">
        <v>85</v>
      </c>
    </row>
    <row r="645" spans="1:17" ht="221.4" customHeight="1">
      <c r="A645" s="87" t="s">
        <v>13</v>
      </c>
      <c r="B645" s="59">
        <v>46241</v>
      </c>
      <c r="C645" s="52" t="s">
        <v>78</v>
      </c>
      <c r="D645" s="52" t="s">
        <v>136</v>
      </c>
      <c r="E645" s="114" t="s">
        <v>1534</v>
      </c>
      <c r="F645" s="52" t="s">
        <v>877</v>
      </c>
      <c r="G645" s="52" t="s">
        <v>1535</v>
      </c>
      <c r="H645" s="52" t="s">
        <v>93</v>
      </c>
      <c r="I645" s="52" t="s">
        <v>85</v>
      </c>
      <c r="J645" s="52" t="s">
        <v>84</v>
      </c>
      <c r="K645" s="52" t="s">
        <v>85</v>
      </c>
      <c r="L645" s="52" t="s">
        <v>86</v>
      </c>
      <c r="M645" s="52" t="s">
        <v>84</v>
      </c>
      <c r="N645" s="52" t="s">
        <v>84</v>
      </c>
      <c r="O645" s="52" t="s">
        <v>87</v>
      </c>
      <c r="P645" s="113" t="s">
        <v>86</v>
      </c>
      <c r="Q645" s="113" t="s">
        <v>85</v>
      </c>
    </row>
    <row r="646" spans="1:17" ht="162" customHeight="1">
      <c r="A646" s="87" t="s">
        <v>13</v>
      </c>
      <c r="B646" s="59">
        <v>46242</v>
      </c>
      <c r="C646" s="44" t="s">
        <v>123</v>
      </c>
      <c r="D646" s="52" t="s">
        <v>98</v>
      </c>
      <c r="E646" s="114" t="s">
        <v>1662</v>
      </c>
      <c r="F646" s="52" t="s">
        <v>350</v>
      </c>
      <c r="G646" s="52" t="s">
        <v>1456</v>
      </c>
      <c r="H646" s="52" t="s">
        <v>102</v>
      </c>
      <c r="I646" s="52" t="s">
        <v>85</v>
      </c>
      <c r="J646" s="52" t="s">
        <v>84</v>
      </c>
      <c r="K646" s="52" t="s">
        <v>85</v>
      </c>
      <c r="L646" s="52" t="s">
        <v>86</v>
      </c>
      <c r="M646" s="52" t="s">
        <v>85</v>
      </c>
      <c r="N646" s="52" t="s">
        <v>85</v>
      </c>
      <c r="O646" s="44" t="s">
        <v>118</v>
      </c>
      <c r="P646" s="113" t="s">
        <v>86</v>
      </c>
      <c r="Q646" s="113" t="s">
        <v>85</v>
      </c>
    </row>
    <row r="647" spans="1:17" ht="162" customHeight="1">
      <c r="A647" s="87" t="s">
        <v>13</v>
      </c>
      <c r="B647" s="59">
        <v>46242</v>
      </c>
      <c r="C647" s="117" t="s">
        <v>78</v>
      </c>
      <c r="D647" s="83" t="s">
        <v>98</v>
      </c>
      <c r="E647" s="116" t="s">
        <v>1526</v>
      </c>
      <c r="F647" s="83" t="s">
        <v>133</v>
      </c>
      <c r="G647" s="83" t="s">
        <v>1524</v>
      </c>
      <c r="H647" s="83" t="s">
        <v>689</v>
      </c>
      <c r="I647" s="83" t="s">
        <v>85</v>
      </c>
      <c r="J647" s="83" t="s">
        <v>85</v>
      </c>
      <c r="K647" s="83" t="s">
        <v>84</v>
      </c>
      <c r="L647" s="83" t="s">
        <v>1525</v>
      </c>
      <c r="M647" s="83" t="s">
        <v>85</v>
      </c>
      <c r="N647" s="83" t="s">
        <v>85</v>
      </c>
      <c r="O647" s="117" t="s">
        <v>87</v>
      </c>
      <c r="P647" s="113" t="s">
        <v>86</v>
      </c>
      <c r="Q647" s="113" t="s">
        <v>85</v>
      </c>
    </row>
    <row r="648" spans="1:17" ht="155.1" customHeight="1">
      <c r="A648" s="87" t="s">
        <v>13</v>
      </c>
      <c r="B648" s="59">
        <v>46243</v>
      </c>
      <c r="C648" s="83" t="s">
        <v>106</v>
      </c>
      <c r="D648" s="83" t="s">
        <v>136</v>
      </c>
      <c r="E648" s="116" t="s">
        <v>1530</v>
      </c>
      <c r="F648" s="83" t="s">
        <v>1110</v>
      </c>
      <c r="G648" s="83" t="s">
        <v>1457</v>
      </c>
      <c r="H648" s="83" t="s">
        <v>517</v>
      </c>
      <c r="I648" s="83" t="s">
        <v>84</v>
      </c>
      <c r="J648" s="83" t="s">
        <v>85</v>
      </c>
      <c r="K648" s="83" t="s">
        <v>84</v>
      </c>
      <c r="L648" s="83" t="s">
        <v>1458</v>
      </c>
      <c r="M648" s="83" t="s">
        <v>85</v>
      </c>
      <c r="N648" s="83" t="s">
        <v>85</v>
      </c>
      <c r="O648" s="83" t="s">
        <v>87</v>
      </c>
      <c r="P648" s="113" t="s">
        <v>86</v>
      </c>
      <c r="Q648" s="113" t="s">
        <v>85</v>
      </c>
    </row>
    <row r="649" spans="1:17" ht="134.4" customHeight="1">
      <c r="A649" s="87" t="s">
        <v>13</v>
      </c>
      <c r="B649" s="59">
        <v>46244</v>
      </c>
      <c r="C649" s="83" t="s">
        <v>106</v>
      </c>
      <c r="D649" s="83" t="s">
        <v>79</v>
      </c>
      <c r="E649" s="116" t="s">
        <v>1529</v>
      </c>
      <c r="F649" s="83" t="s">
        <v>604</v>
      </c>
      <c r="G649" s="83" t="s">
        <v>1459</v>
      </c>
      <c r="H649" s="83" t="s">
        <v>591</v>
      </c>
      <c r="I649" s="83" t="s">
        <v>84</v>
      </c>
      <c r="J649" s="83" t="s">
        <v>85</v>
      </c>
      <c r="K649" s="83" t="s">
        <v>84</v>
      </c>
      <c r="L649" s="83" t="s">
        <v>1460</v>
      </c>
      <c r="M649" s="83" t="s">
        <v>85</v>
      </c>
      <c r="N649" s="83" t="s">
        <v>85</v>
      </c>
      <c r="O649" s="83" t="s">
        <v>87</v>
      </c>
      <c r="P649" s="113" t="s">
        <v>86</v>
      </c>
      <c r="Q649" s="113" t="s">
        <v>85</v>
      </c>
    </row>
    <row r="650" spans="1:17" ht="186.6" customHeight="1">
      <c r="A650" s="87" t="s">
        <v>13</v>
      </c>
      <c r="B650" s="59">
        <v>46245</v>
      </c>
      <c r="C650" s="83" t="s">
        <v>88</v>
      </c>
      <c r="D650" s="83" t="s">
        <v>98</v>
      </c>
      <c r="E650" s="116" t="s">
        <v>1528</v>
      </c>
      <c r="F650" s="83" t="s">
        <v>1095</v>
      </c>
      <c r="G650" s="83" t="s">
        <v>1527</v>
      </c>
      <c r="H650" s="83" t="s">
        <v>453</v>
      </c>
      <c r="I650" s="83" t="s">
        <v>84</v>
      </c>
      <c r="J650" s="83" t="s">
        <v>84</v>
      </c>
      <c r="K650" s="83" t="s">
        <v>85</v>
      </c>
      <c r="L650" s="83" t="s">
        <v>86</v>
      </c>
      <c r="M650" s="52" t="s">
        <v>85</v>
      </c>
      <c r="N650" s="52" t="s">
        <v>85</v>
      </c>
      <c r="O650" s="83" t="s">
        <v>87</v>
      </c>
      <c r="P650" s="117" t="s">
        <v>1500</v>
      </c>
      <c r="Q650" s="113" t="s">
        <v>85</v>
      </c>
    </row>
    <row r="651" spans="1:17" ht="92.4">
      <c r="A651" s="87" t="s">
        <v>13</v>
      </c>
      <c r="B651" s="59">
        <v>46245</v>
      </c>
      <c r="C651" s="52" t="s">
        <v>106</v>
      </c>
      <c r="D651" s="52" t="s">
        <v>98</v>
      </c>
      <c r="E651" s="114" t="s">
        <v>1687</v>
      </c>
      <c r="F651" s="52" t="s">
        <v>133</v>
      </c>
      <c r="G651" s="52" t="s">
        <v>529</v>
      </c>
      <c r="H651" s="52" t="s">
        <v>102</v>
      </c>
      <c r="I651" s="52" t="s">
        <v>85</v>
      </c>
      <c r="J651" s="52" t="s">
        <v>84</v>
      </c>
      <c r="K651" s="52" t="s">
        <v>85</v>
      </c>
      <c r="L651" s="52" t="s">
        <v>86</v>
      </c>
      <c r="M651" s="52" t="s">
        <v>85</v>
      </c>
      <c r="N651" s="52" t="s">
        <v>85</v>
      </c>
      <c r="O651" s="52" t="s">
        <v>118</v>
      </c>
      <c r="P651" s="113" t="s">
        <v>1497</v>
      </c>
      <c r="Q651" s="113" t="s">
        <v>85</v>
      </c>
    </row>
    <row r="652" spans="1:17" ht="143.4" customHeight="1">
      <c r="A652" s="87" t="s">
        <v>13</v>
      </c>
      <c r="B652" s="59">
        <v>46246</v>
      </c>
      <c r="C652" s="83" t="s">
        <v>123</v>
      </c>
      <c r="D652" s="83" t="s">
        <v>79</v>
      </c>
      <c r="E652" s="116" t="s">
        <v>1549</v>
      </c>
      <c r="F652" s="83" t="s">
        <v>378</v>
      </c>
      <c r="G652" s="83" t="s">
        <v>1547</v>
      </c>
      <c r="H652" s="83" t="s">
        <v>409</v>
      </c>
      <c r="I652" s="83" t="s">
        <v>85</v>
      </c>
      <c r="J652" s="83" t="s">
        <v>85</v>
      </c>
      <c r="K652" s="83" t="s">
        <v>84</v>
      </c>
      <c r="L652" s="83" t="s">
        <v>1548</v>
      </c>
      <c r="M652" s="83" t="s">
        <v>85</v>
      </c>
      <c r="N652" s="83" t="s">
        <v>85</v>
      </c>
      <c r="O652" s="83" t="s">
        <v>118</v>
      </c>
      <c r="P652" s="117" t="s">
        <v>86</v>
      </c>
      <c r="Q652" s="113" t="s">
        <v>85</v>
      </c>
    </row>
    <row r="653" spans="1:17" ht="96.6" customHeight="1">
      <c r="A653" s="87" t="s">
        <v>13</v>
      </c>
      <c r="B653" s="59">
        <v>46247</v>
      </c>
      <c r="C653" s="52" t="s">
        <v>78</v>
      </c>
      <c r="D653" s="52" t="s">
        <v>98</v>
      </c>
      <c r="E653" s="114" t="s">
        <v>1539</v>
      </c>
      <c r="F653" s="52" t="s">
        <v>543</v>
      </c>
      <c r="G653" s="52" t="s">
        <v>1540</v>
      </c>
      <c r="H653" s="52" t="s">
        <v>405</v>
      </c>
      <c r="I653" s="52" t="s">
        <v>85</v>
      </c>
      <c r="J653" s="52" t="s">
        <v>84</v>
      </c>
      <c r="K653" s="52" t="s">
        <v>85</v>
      </c>
      <c r="L653" s="52" t="s">
        <v>86</v>
      </c>
      <c r="M653" s="52" t="s">
        <v>85</v>
      </c>
      <c r="N653" s="52" t="s">
        <v>85</v>
      </c>
      <c r="O653" s="52" t="s">
        <v>87</v>
      </c>
      <c r="P653" s="117" t="s">
        <v>86</v>
      </c>
      <c r="Q653" s="113" t="s">
        <v>85</v>
      </c>
    </row>
    <row r="654" spans="1:17" ht="136.5" customHeight="1">
      <c r="A654" s="87" t="s">
        <v>13</v>
      </c>
      <c r="B654" s="59">
        <v>46247</v>
      </c>
      <c r="C654" s="83" t="s">
        <v>78</v>
      </c>
      <c r="D654" s="83" t="s">
        <v>98</v>
      </c>
      <c r="E654" s="116" t="s">
        <v>1542</v>
      </c>
      <c r="F654" s="83" t="s">
        <v>668</v>
      </c>
      <c r="G654" s="83" t="s">
        <v>1541</v>
      </c>
      <c r="H654" s="83" t="s">
        <v>517</v>
      </c>
      <c r="I654" s="83" t="s">
        <v>85</v>
      </c>
      <c r="J654" s="83" t="s">
        <v>84</v>
      </c>
      <c r="K654" s="83" t="s">
        <v>85</v>
      </c>
      <c r="L654" s="83" t="s">
        <v>86</v>
      </c>
      <c r="M654" s="83" t="s">
        <v>85</v>
      </c>
      <c r="N654" s="83" t="s">
        <v>85</v>
      </c>
      <c r="O654" s="83" t="s">
        <v>118</v>
      </c>
      <c r="P654" s="117" t="s">
        <v>86</v>
      </c>
      <c r="Q654" s="113" t="s">
        <v>85</v>
      </c>
    </row>
    <row r="655" spans="1:17" ht="224.4" customHeight="1">
      <c r="A655" s="87" t="s">
        <v>13</v>
      </c>
      <c r="B655" s="59">
        <v>46247</v>
      </c>
      <c r="C655" s="83" t="s">
        <v>88</v>
      </c>
      <c r="D655" s="83" t="s">
        <v>98</v>
      </c>
      <c r="E655" s="116" t="s">
        <v>1688</v>
      </c>
      <c r="F655" s="83" t="s">
        <v>91</v>
      </c>
      <c r="G655" s="83" t="s">
        <v>1556</v>
      </c>
      <c r="H655" s="83" t="s">
        <v>1105</v>
      </c>
      <c r="I655" s="83" t="s">
        <v>85</v>
      </c>
      <c r="J655" s="83" t="s">
        <v>85</v>
      </c>
      <c r="K655" s="83" t="s">
        <v>84</v>
      </c>
      <c r="L655" s="83" t="s">
        <v>1556</v>
      </c>
      <c r="M655" s="83" t="s">
        <v>84</v>
      </c>
      <c r="N655" s="83" t="s">
        <v>85</v>
      </c>
      <c r="O655" s="83" t="s">
        <v>118</v>
      </c>
      <c r="P655" s="117" t="s">
        <v>86</v>
      </c>
      <c r="Q655" s="113" t="s">
        <v>85</v>
      </c>
    </row>
    <row r="656" spans="1:17" ht="128.4" customHeight="1">
      <c r="A656" s="87" t="s">
        <v>13</v>
      </c>
      <c r="B656" s="59">
        <v>46249</v>
      </c>
      <c r="C656" s="83" t="s">
        <v>88</v>
      </c>
      <c r="D656" s="83" t="s">
        <v>89</v>
      </c>
      <c r="E656" s="116" t="s">
        <v>1544</v>
      </c>
      <c r="F656" s="83" t="s">
        <v>877</v>
      </c>
      <c r="G656" s="83" t="s">
        <v>1543</v>
      </c>
      <c r="H656" s="83" t="s">
        <v>517</v>
      </c>
      <c r="I656" s="83" t="s">
        <v>85</v>
      </c>
      <c r="J656" s="83" t="s">
        <v>85</v>
      </c>
      <c r="K656" s="83" t="s">
        <v>84</v>
      </c>
      <c r="L656" s="83" t="s">
        <v>1407</v>
      </c>
      <c r="M656" s="83" t="s">
        <v>84</v>
      </c>
      <c r="N656" s="83" t="s">
        <v>85</v>
      </c>
      <c r="O656" s="83" t="s">
        <v>118</v>
      </c>
      <c r="P656" s="117" t="s">
        <v>86</v>
      </c>
      <c r="Q656" s="113" t="s">
        <v>85</v>
      </c>
    </row>
    <row r="657" spans="1:17" ht="216.9" customHeight="1">
      <c r="A657" s="87" t="s">
        <v>13</v>
      </c>
      <c r="B657" s="59">
        <v>46249</v>
      </c>
      <c r="C657" s="83" t="s">
        <v>78</v>
      </c>
      <c r="D657" s="83" t="s">
        <v>98</v>
      </c>
      <c r="E657" s="116" t="s">
        <v>1546</v>
      </c>
      <c r="F657" s="83" t="s">
        <v>543</v>
      </c>
      <c r="G657" s="83" t="s">
        <v>1545</v>
      </c>
      <c r="H657" s="83" t="s">
        <v>126</v>
      </c>
      <c r="I657" s="83" t="s">
        <v>85</v>
      </c>
      <c r="J657" s="83" t="s">
        <v>84</v>
      </c>
      <c r="K657" s="83" t="s">
        <v>85</v>
      </c>
      <c r="L657" s="83" t="s">
        <v>86</v>
      </c>
      <c r="M657" s="83" t="s">
        <v>85</v>
      </c>
      <c r="N657" s="83" t="s">
        <v>84</v>
      </c>
      <c r="O657" s="83" t="s">
        <v>87</v>
      </c>
      <c r="P657" s="117" t="s">
        <v>86</v>
      </c>
      <c r="Q657" s="113" t="s">
        <v>85</v>
      </c>
    </row>
    <row r="658" spans="1:17" ht="156.6" customHeight="1">
      <c r="A658" s="87" t="s">
        <v>13</v>
      </c>
      <c r="B658" s="59">
        <v>46252</v>
      </c>
      <c r="C658" s="83" t="s">
        <v>78</v>
      </c>
      <c r="D658" s="83" t="s">
        <v>98</v>
      </c>
      <c r="E658" s="116" t="s">
        <v>1551</v>
      </c>
      <c r="F658" s="83" t="s">
        <v>992</v>
      </c>
      <c r="G658" s="83" t="s">
        <v>1550</v>
      </c>
      <c r="H658" s="121" t="s">
        <v>405</v>
      </c>
      <c r="I658" s="83" t="s">
        <v>85</v>
      </c>
      <c r="J658" s="83" t="s">
        <v>84</v>
      </c>
      <c r="K658" s="83" t="s">
        <v>85</v>
      </c>
      <c r="L658" s="83" t="s">
        <v>86</v>
      </c>
      <c r="M658" s="83" t="s">
        <v>85</v>
      </c>
      <c r="N658" s="83" t="s">
        <v>85</v>
      </c>
      <c r="O658" s="83" t="s">
        <v>87</v>
      </c>
      <c r="P658" s="117" t="s">
        <v>1497</v>
      </c>
      <c r="Q658" s="113" t="s">
        <v>85</v>
      </c>
    </row>
    <row r="659" spans="1:17" ht="118.8">
      <c r="A659" s="87" t="s">
        <v>13</v>
      </c>
      <c r="B659" s="59">
        <v>46252</v>
      </c>
      <c r="C659" s="83" t="s">
        <v>106</v>
      </c>
      <c r="D659" s="83" t="s">
        <v>79</v>
      </c>
      <c r="E659" s="116" t="s">
        <v>1559</v>
      </c>
      <c r="F659" s="83" t="s">
        <v>451</v>
      </c>
      <c r="G659" s="83" t="s">
        <v>1558</v>
      </c>
      <c r="H659" s="121" t="s">
        <v>126</v>
      </c>
      <c r="I659" s="83" t="s">
        <v>85</v>
      </c>
      <c r="J659" s="83" t="s">
        <v>85</v>
      </c>
      <c r="K659" s="83" t="s">
        <v>84</v>
      </c>
      <c r="L659" s="83" t="s">
        <v>1557</v>
      </c>
      <c r="M659" s="83" t="s">
        <v>85</v>
      </c>
      <c r="N659" s="83" t="s">
        <v>85</v>
      </c>
      <c r="O659" s="83" t="s">
        <v>118</v>
      </c>
      <c r="P659" s="117" t="s">
        <v>86</v>
      </c>
      <c r="Q659" s="113" t="s">
        <v>85</v>
      </c>
    </row>
    <row r="660" spans="1:17" ht="214.5" customHeight="1">
      <c r="A660" s="87" t="s">
        <v>13</v>
      </c>
      <c r="B660" s="59">
        <v>46254</v>
      </c>
      <c r="C660" s="83" t="s">
        <v>78</v>
      </c>
      <c r="D660" s="83" t="s">
        <v>98</v>
      </c>
      <c r="E660" s="116" t="s">
        <v>1555</v>
      </c>
      <c r="F660" s="83" t="s">
        <v>661</v>
      </c>
      <c r="G660" s="83" t="s">
        <v>1553</v>
      </c>
      <c r="H660" s="118" t="s">
        <v>1552</v>
      </c>
      <c r="I660" s="83" t="s">
        <v>84</v>
      </c>
      <c r="J660" s="83" t="s">
        <v>85</v>
      </c>
      <c r="K660" s="83" t="s">
        <v>84</v>
      </c>
      <c r="L660" s="83" t="s">
        <v>1554</v>
      </c>
      <c r="M660" s="83" t="s">
        <v>85</v>
      </c>
      <c r="N660" s="83" t="s">
        <v>85</v>
      </c>
      <c r="O660" s="83" t="s">
        <v>87</v>
      </c>
      <c r="P660" s="117" t="s">
        <v>86</v>
      </c>
      <c r="Q660" s="113" t="s">
        <v>570</v>
      </c>
    </row>
    <row r="661" spans="1:17" ht="120.6" customHeight="1">
      <c r="A661" s="87" t="s">
        <v>13</v>
      </c>
      <c r="B661" s="59">
        <v>46254</v>
      </c>
      <c r="C661" s="83" t="s">
        <v>220</v>
      </c>
      <c r="D661" s="83" t="s">
        <v>89</v>
      </c>
      <c r="E661" s="116" t="s">
        <v>1560</v>
      </c>
      <c r="F661" s="83" t="s">
        <v>1561</v>
      </c>
      <c r="G661" s="83" t="s">
        <v>1562</v>
      </c>
      <c r="H661" s="121" t="s">
        <v>405</v>
      </c>
      <c r="I661" s="83" t="s">
        <v>85</v>
      </c>
      <c r="J661" s="83" t="s">
        <v>84</v>
      </c>
      <c r="K661" s="83" t="s">
        <v>85</v>
      </c>
      <c r="L661" s="83" t="s">
        <v>86</v>
      </c>
      <c r="M661" s="83" t="s">
        <v>85</v>
      </c>
      <c r="N661" s="83" t="s">
        <v>85</v>
      </c>
      <c r="O661" s="83" t="s">
        <v>118</v>
      </c>
      <c r="P661" s="117" t="s">
        <v>1497</v>
      </c>
      <c r="Q661" s="113" t="s">
        <v>85</v>
      </c>
    </row>
    <row r="662" spans="1:17" ht="132" customHeight="1">
      <c r="A662" s="87" t="s">
        <v>13</v>
      </c>
      <c r="B662" s="59">
        <v>46255</v>
      </c>
      <c r="C662" s="83" t="s">
        <v>123</v>
      </c>
      <c r="D662" s="83" t="s">
        <v>136</v>
      </c>
      <c r="E662" s="116" t="s">
        <v>1564</v>
      </c>
      <c r="F662" s="83" t="s">
        <v>992</v>
      </c>
      <c r="G662" s="83" t="s">
        <v>1563</v>
      </c>
      <c r="H662" s="118" t="s">
        <v>453</v>
      </c>
      <c r="I662" s="83" t="s">
        <v>85</v>
      </c>
      <c r="J662" s="83" t="s">
        <v>84</v>
      </c>
      <c r="K662" s="83" t="s">
        <v>85</v>
      </c>
      <c r="L662" s="83" t="s">
        <v>86</v>
      </c>
      <c r="M662" s="83" t="s">
        <v>84</v>
      </c>
      <c r="N662" s="83" t="s">
        <v>85</v>
      </c>
      <c r="O662" s="83" t="s">
        <v>118</v>
      </c>
      <c r="P662" s="117" t="s">
        <v>86</v>
      </c>
      <c r="Q662" s="113" t="s">
        <v>85</v>
      </c>
    </row>
    <row r="663" spans="1:17" ht="132" customHeight="1">
      <c r="A663" s="87" t="s">
        <v>13</v>
      </c>
      <c r="B663" s="59">
        <v>46255</v>
      </c>
      <c r="C663" s="83" t="s">
        <v>220</v>
      </c>
      <c r="D663" s="83" t="s">
        <v>89</v>
      </c>
      <c r="E663" s="116" t="s">
        <v>1567</v>
      </c>
      <c r="F663" s="83" t="s">
        <v>661</v>
      </c>
      <c r="G663" s="83" t="s">
        <v>1566</v>
      </c>
      <c r="H663" s="118" t="s">
        <v>684</v>
      </c>
      <c r="I663" s="83" t="s">
        <v>84</v>
      </c>
      <c r="J663" s="83" t="s">
        <v>84</v>
      </c>
      <c r="K663" s="83" t="s">
        <v>85</v>
      </c>
      <c r="L663" s="83" t="s">
        <v>86</v>
      </c>
      <c r="M663" s="83" t="s">
        <v>85</v>
      </c>
      <c r="N663" s="83" t="s">
        <v>85</v>
      </c>
      <c r="O663" s="83" t="s">
        <v>118</v>
      </c>
      <c r="P663" s="117" t="s">
        <v>1502</v>
      </c>
      <c r="Q663" s="113" t="s">
        <v>85</v>
      </c>
    </row>
    <row r="664" spans="1:17" ht="132" customHeight="1">
      <c r="A664" s="87" t="s">
        <v>13</v>
      </c>
      <c r="B664" s="59">
        <v>46256</v>
      </c>
      <c r="C664" s="83" t="s">
        <v>88</v>
      </c>
      <c r="D664" s="83" t="s">
        <v>98</v>
      </c>
      <c r="E664" s="116" t="s">
        <v>1570</v>
      </c>
      <c r="F664" s="83" t="s">
        <v>81</v>
      </c>
      <c r="G664" s="83" t="s">
        <v>1569</v>
      </c>
      <c r="H664" s="118" t="s">
        <v>799</v>
      </c>
      <c r="I664" s="83" t="s">
        <v>85</v>
      </c>
      <c r="J664" s="83" t="s">
        <v>85</v>
      </c>
      <c r="K664" s="83" t="s">
        <v>84</v>
      </c>
      <c r="L664" s="83" t="s">
        <v>1568</v>
      </c>
      <c r="M664" s="83" t="s">
        <v>85</v>
      </c>
      <c r="N664" s="83" t="s">
        <v>85</v>
      </c>
      <c r="O664" s="83" t="s">
        <v>87</v>
      </c>
      <c r="P664" s="117" t="s">
        <v>86</v>
      </c>
      <c r="Q664" s="113" t="s">
        <v>85</v>
      </c>
    </row>
    <row r="665" spans="1:17" s="44" customFormat="1" ht="132.9" customHeight="1">
      <c r="A665" s="87" t="s">
        <v>13</v>
      </c>
      <c r="B665" s="115">
        <v>46257</v>
      </c>
      <c r="C665" s="88" t="s">
        <v>123</v>
      </c>
      <c r="D665" s="117" t="s">
        <v>79</v>
      </c>
      <c r="E665" s="116" t="s">
        <v>1522</v>
      </c>
      <c r="F665" s="117" t="s">
        <v>543</v>
      </c>
      <c r="G665" s="117" t="s">
        <v>1523</v>
      </c>
      <c r="H665" s="117" t="s">
        <v>517</v>
      </c>
      <c r="I665" s="117" t="s">
        <v>85</v>
      </c>
      <c r="J665" s="117" t="s">
        <v>84</v>
      </c>
      <c r="K665" s="117" t="s">
        <v>85</v>
      </c>
      <c r="L665" s="117" t="s">
        <v>86</v>
      </c>
      <c r="M665" s="117" t="s">
        <v>85</v>
      </c>
      <c r="N665" s="117" t="s">
        <v>84</v>
      </c>
      <c r="O665" s="83" t="s">
        <v>87</v>
      </c>
      <c r="P665" s="117" t="s">
        <v>86</v>
      </c>
      <c r="Q665" s="113" t="s">
        <v>85</v>
      </c>
    </row>
    <row r="666" spans="1:17" ht="211.2">
      <c r="A666" s="87" t="s">
        <v>13</v>
      </c>
      <c r="B666" s="115">
        <v>46258</v>
      </c>
      <c r="C666" s="119" t="s">
        <v>78</v>
      </c>
      <c r="D666" s="117" t="s">
        <v>98</v>
      </c>
      <c r="E666" s="116" t="s">
        <v>1572</v>
      </c>
      <c r="F666" s="117" t="s">
        <v>91</v>
      </c>
      <c r="G666" s="117" t="s">
        <v>83</v>
      </c>
      <c r="H666" s="117" t="s">
        <v>83</v>
      </c>
      <c r="I666" s="117" t="s">
        <v>85</v>
      </c>
      <c r="J666" s="117" t="s">
        <v>85</v>
      </c>
      <c r="K666" s="117" t="s">
        <v>84</v>
      </c>
      <c r="L666" s="118" t="s">
        <v>1571</v>
      </c>
      <c r="M666" s="117" t="s">
        <v>84</v>
      </c>
      <c r="N666" s="117" t="s">
        <v>85</v>
      </c>
      <c r="O666" s="117" t="s">
        <v>87</v>
      </c>
      <c r="P666" s="117" t="s">
        <v>86</v>
      </c>
      <c r="Q666" s="113" t="s">
        <v>85</v>
      </c>
    </row>
    <row r="667" spans="1:17" ht="105.6">
      <c r="A667" s="87" t="s">
        <v>13</v>
      </c>
      <c r="B667" s="115">
        <v>46259</v>
      </c>
      <c r="C667" s="117" t="s">
        <v>220</v>
      </c>
      <c r="D667" s="117" t="s">
        <v>98</v>
      </c>
      <c r="E667" s="116" t="s">
        <v>1574</v>
      </c>
      <c r="F667" s="117" t="s">
        <v>877</v>
      </c>
      <c r="G667" s="117" t="s">
        <v>1573</v>
      </c>
      <c r="H667" s="117" t="s">
        <v>114</v>
      </c>
      <c r="I667" s="117" t="s">
        <v>85</v>
      </c>
      <c r="J667" s="117" t="s">
        <v>84</v>
      </c>
      <c r="K667" s="117" t="s">
        <v>85</v>
      </c>
      <c r="L667" s="117" t="s">
        <v>86</v>
      </c>
      <c r="M667" s="117" t="s">
        <v>84</v>
      </c>
      <c r="N667" s="117" t="s">
        <v>85</v>
      </c>
      <c r="O667" s="117" t="s">
        <v>118</v>
      </c>
      <c r="P667" s="117" t="s">
        <v>1510</v>
      </c>
      <c r="Q667" s="113" t="s">
        <v>85</v>
      </c>
    </row>
    <row r="668" spans="1:17" ht="132">
      <c r="A668" s="87" t="s">
        <v>13</v>
      </c>
      <c r="B668" s="115">
        <v>46261</v>
      </c>
      <c r="C668" s="117" t="s">
        <v>78</v>
      </c>
      <c r="D668" s="117" t="s">
        <v>79</v>
      </c>
      <c r="E668" s="116" t="s">
        <v>1577</v>
      </c>
      <c r="F668" s="117" t="s">
        <v>877</v>
      </c>
      <c r="G668" s="117" t="s">
        <v>1576</v>
      </c>
      <c r="H668" s="117" t="s">
        <v>670</v>
      </c>
      <c r="I668" s="117" t="s">
        <v>85</v>
      </c>
      <c r="J668" s="117" t="s">
        <v>85</v>
      </c>
      <c r="K668" s="117" t="s">
        <v>84</v>
      </c>
      <c r="L668" s="117" t="s">
        <v>1575</v>
      </c>
      <c r="M668" s="117" t="s">
        <v>84</v>
      </c>
      <c r="N668" s="117" t="s">
        <v>85</v>
      </c>
      <c r="O668" s="117" t="s">
        <v>87</v>
      </c>
      <c r="P668" s="88" t="s">
        <v>86</v>
      </c>
      <c r="Q668" s="113" t="s">
        <v>85</v>
      </c>
    </row>
    <row r="669" spans="1:17" ht="145.19999999999999">
      <c r="A669" s="87" t="s">
        <v>13</v>
      </c>
      <c r="B669" s="115">
        <v>46261</v>
      </c>
      <c r="C669" s="117" t="s">
        <v>106</v>
      </c>
      <c r="D669" s="117" t="s">
        <v>98</v>
      </c>
      <c r="E669" s="116" t="s">
        <v>1579</v>
      </c>
      <c r="F669" s="117" t="s">
        <v>133</v>
      </c>
      <c r="G669" s="117" t="s">
        <v>1578</v>
      </c>
      <c r="H669" s="117" t="s">
        <v>684</v>
      </c>
      <c r="I669" s="117" t="s">
        <v>85</v>
      </c>
      <c r="J669" s="117" t="s">
        <v>84</v>
      </c>
      <c r="K669" s="117" t="s">
        <v>85</v>
      </c>
      <c r="L669" s="117" t="s">
        <v>86</v>
      </c>
      <c r="M669" s="117" t="s">
        <v>85</v>
      </c>
      <c r="N669" s="117" t="s">
        <v>85</v>
      </c>
      <c r="O669" s="117" t="s">
        <v>87</v>
      </c>
      <c r="P669" s="88" t="s">
        <v>86</v>
      </c>
      <c r="Q669" s="113" t="s">
        <v>85</v>
      </c>
    </row>
    <row r="670" spans="1:17" ht="145.19999999999999">
      <c r="A670" s="87" t="s">
        <v>13</v>
      </c>
      <c r="B670" s="120">
        <v>46264</v>
      </c>
      <c r="C670" s="117" t="s">
        <v>106</v>
      </c>
      <c r="D670" s="117" t="s">
        <v>98</v>
      </c>
      <c r="E670" s="116" t="s">
        <v>1582</v>
      </c>
      <c r="F670" s="117" t="s">
        <v>96</v>
      </c>
      <c r="G670" s="117" t="s">
        <v>1581</v>
      </c>
      <c r="H670" s="117" t="s">
        <v>409</v>
      </c>
      <c r="I670" s="117" t="s">
        <v>84</v>
      </c>
      <c r="J670" s="117" t="s">
        <v>84</v>
      </c>
      <c r="K670" s="117" t="s">
        <v>85</v>
      </c>
      <c r="L670" s="117" t="s">
        <v>1580</v>
      </c>
      <c r="M670" s="117" t="s">
        <v>85</v>
      </c>
      <c r="N670" s="117" t="s">
        <v>85</v>
      </c>
      <c r="O670" s="117" t="s">
        <v>87</v>
      </c>
      <c r="P670" s="88" t="s">
        <v>86</v>
      </c>
      <c r="Q670" s="113" t="s">
        <v>85</v>
      </c>
    </row>
    <row r="671" spans="1:17" ht="171.6">
      <c r="A671" s="87" t="s">
        <v>13</v>
      </c>
      <c r="B671" s="115">
        <v>46265</v>
      </c>
      <c r="C671" s="117" t="s">
        <v>106</v>
      </c>
      <c r="D671" s="117" t="s">
        <v>98</v>
      </c>
      <c r="E671" s="116" t="s">
        <v>1583</v>
      </c>
      <c r="F671" s="117" t="s">
        <v>543</v>
      </c>
      <c r="G671" s="117" t="s">
        <v>1584</v>
      </c>
      <c r="H671" s="117" t="s">
        <v>93</v>
      </c>
      <c r="I671" s="117" t="s">
        <v>85</v>
      </c>
      <c r="J671" s="117" t="s">
        <v>84</v>
      </c>
      <c r="K671" s="117" t="s">
        <v>85</v>
      </c>
      <c r="L671" s="117" t="s">
        <v>86</v>
      </c>
      <c r="M671" s="117" t="s">
        <v>85</v>
      </c>
      <c r="N671" s="117" t="s">
        <v>84</v>
      </c>
      <c r="O671" s="117" t="s">
        <v>87</v>
      </c>
      <c r="P671" s="88" t="s">
        <v>86</v>
      </c>
      <c r="Q671" s="117" t="s">
        <v>570</v>
      </c>
    </row>
    <row r="672" spans="1:17" ht="118.8">
      <c r="A672" s="87" t="s">
        <v>1493</v>
      </c>
      <c r="B672" s="115">
        <v>46266</v>
      </c>
      <c r="C672" s="117" t="s">
        <v>78</v>
      </c>
      <c r="D672" s="117" t="s">
        <v>98</v>
      </c>
      <c r="E672" s="116" t="s">
        <v>1586</v>
      </c>
      <c r="F672" s="121" t="s">
        <v>707</v>
      </c>
      <c r="G672" s="117" t="s">
        <v>1587</v>
      </c>
      <c r="H672" s="117" t="s">
        <v>405</v>
      </c>
      <c r="I672" s="117" t="s">
        <v>85</v>
      </c>
      <c r="J672" s="117" t="s">
        <v>84</v>
      </c>
      <c r="K672" s="117" t="s">
        <v>85</v>
      </c>
      <c r="L672" s="117" t="s">
        <v>86</v>
      </c>
      <c r="M672" s="117" t="s">
        <v>85</v>
      </c>
      <c r="N672" s="117" t="s">
        <v>85</v>
      </c>
      <c r="O672" s="117" t="s">
        <v>87</v>
      </c>
      <c r="P672" s="88" t="s">
        <v>86</v>
      </c>
      <c r="Q672" s="117" t="s">
        <v>85</v>
      </c>
    </row>
    <row r="673" spans="1:17" ht="145.19999999999999">
      <c r="A673" s="87" t="s">
        <v>1493</v>
      </c>
      <c r="B673" s="115">
        <v>46267</v>
      </c>
      <c r="C673" s="117" t="s">
        <v>106</v>
      </c>
      <c r="D673" s="117" t="s">
        <v>79</v>
      </c>
      <c r="E673" s="116" t="s">
        <v>1589</v>
      </c>
      <c r="F673" s="117" t="s">
        <v>554</v>
      </c>
      <c r="G673" s="117" t="s">
        <v>92</v>
      </c>
      <c r="H673" s="117" t="s">
        <v>670</v>
      </c>
      <c r="I673" s="117" t="s">
        <v>84</v>
      </c>
      <c r="J673" s="117" t="s">
        <v>85</v>
      </c>
      <c r="K673" s="117" t="s">
        <v>84</v>
      </c>
      <c r="L673" s="117" t="s">
        <v>1590</v>
      </c>
      <c r="M673" s="117" t="s">
        <v>85</v>
      </c>
      <c r="N673" s="117" t="s">
        <v>85</v>
      </c>
      <c r="O673" s="113" t="s">
        <v>87</v>
      </c>
      <c r="P673" s="88" t="s">
        <v>86</v>
      </c>
      <c r="Q673" s="117" t="s">
        <v>85</v>
      </c>
    </row>
    <row r="674" spans="1:17" ht="212.4" customHeight="1">
      <c r="A674" s="87" t="s">
        <v>1493</v>
      </c>
      <c r="B674" s="115">
        <v>46270</v>
      </c>
      <c r="C674" s="117" t="s">
        <v>123</v>
      </c>
      <c r="D674" s="117" t="s">
        <v>240</v>
      </c>
      <c r="E674" s="116" t="s">
        <v>1598</v>
      </c>
      <c r="F674" s="117" t="s">
        <v>992</v>
      </c>
      <c r="G674" s="117" t="s">
        <v>1600</v>
      </c>
      <c r="H674" s="117" t="s">
        <v>689</v>
      </c>
      <c r="I674" s="117" t="s">
        <v>85</v>
      </c>
      <c r="J674" s="117" t="s">
        <v>85</v>
      </c>
      <c r="K674" s="117" t="s">
        <v>84</v>
      </c>
      <c r="L674" s="117" t="s">
        <v>1599</v>
      </c>
      <c r="M674" s="117" t="s">
        <v>84</v>
      </c>
      <c r="N674" s="117" t="s">
        <v>85</v>
      </c>
      <c r="O674" s="117" t="s">
        <v>87</v>
      </c>
      <c r="P674" s="117" t="s">
        <v>86</v>
      </c>
      <c r="Q674" s="113" t="s">
        <v>85</v>
      </c>
    </row>
    <row r="675" spans="1:17" ht="96.9" customHeight="1">
      <c r="A675" s="87" t="s">
        <v>1493</v>
      </c>
      <c r="B675" s="115">
        <v>46271</v>
      </c>
      <c r="C675" s="117" t="s">
        <v>106</v>
      </c>
      <c r="D675" s="117" t="s">
        <v>98</v>
      </c>
      <c r="E675" s="116" t="s">
        <v>1601</v>
      </c>
      <c r="F675" s="117" t="s">
        <v>161</v>
      </c>
      <c r="G675" s="117" t="s">
        <v>1602</v>
      </c>
      <c r="H675" s="117" t="s">
        <v>517</v>
      </c>
      <c r="I675" s="117" t="s">
        <v>85</v>
      </c>
      <c r="J675" s="117" t="s">
        <v>84</v>
      </c>
      <c r="K675" s="117" t="s">
        <v>85</v>
      </c>
      <c r="L675" s="117" t="s">
        <v>86</v>
      </c>
      <c r="M675" s="117" t="s">
        <v>85</v>
      </c>
      <c r="N675" s="117" t="s">
        <v>85</v>
      </c>
      <c r="O675" s="117" t="s">
        <v>118</v>
      </c>
      <c r="P675" s="117" t="s">
        <v>86</v>
      </c>
      <c r="Q675" s="113" t="s">
        <v>570</v>
      </c>
    </row>
    <row r="676" spans="1:17" ht="124.5" customHeight="1">
      <c r="A676" s="87" t="s">
        <v>1493</v>
      </c>
      <c r="B676" s="115">
        <v>46272</v>
      </c>
      <c r="C676" s="117" t="s">
        <v>106</v>
      </c>
      <c r="D676" s="117" t="s">
        <v>79</v>
      </c>
      <c r="E676" s="116" t="s">
        <v>1630</v>
      </c>
      <c r="F676" s="117" t="s">
        <v>96</v>
      </c>
      <c r="G676" s="117" t="s">
        <v>1629</v>
      </c>
      <c r="H676" s="117" t="s">
        <v>689</v>
      </c>
      <c r="I676" s="117" t="s">
        <v>85</v>
      </c>
      <c r="J676" s="117" t="s">
        <v>84</v>
      </c>
      <c r="K676" s="117" t="s">
        <v>85</v>
      </c>
      <c r="L676" s="117" t="s">
        <v>86</v>
      </c>
      <c r="M676" s="117" t="s">
        <v>85</v>
      </c>
      <c r="N676" s="117" t="s">
        <v>85</v>
      </c>
      <c r="O676" s="117" t="s">
        <v>87</v>
      </c>
      <c r="P676" s="117" t="s">
        <v>86</v>
      </c>
      <c r="Q676" s="113" t="s">
        <v>570</v>
      </c>
    </row>
    <row r="677" spans="1:17" ht="157.5" customHeight="1">
      <c r="A677" s="87" t="s">
        <v>1493</v>
      </c>
      <c r="B677" s="115">
        <v>46274</v>
      </c>
      <c r="C677" s="117" t="s">
        <v>106</v>
      </c>
      <c r="D677" s="117" t="s">
        <v>98</v>
      </c>
      <c r="E677" s="116" t="s">
        <v>1603</v>
      </c>
      <c r="F677" s="117" t="s">
        <v>96</v>
      </c>
      <c r="G677" s="117" t="s">
        <v>117</v>
      </c>
      <c r="H677" s="117" t="s">
        <v>409</v>
      </c>
      <c r="I677" s="117" t="s">
        <v>84</v>
      </c>
      <c r="J677" s="117" t="s">
        <v>84</v>
      </c>
      <c r="K677" s="117" t="s">
        <v>85</v>
      </c>
      <c r="L677" s="117" t="s">
        <v>86</v>
      </c>
      <c r="M677" s="117" t="s">
        <v>85</v>
      </c>
      <c r="N677" s="117" t="s">
        <v>85</v>
      </c>
      <c r="O677" s="117" t="s">
        <v>87</v>
      </c>
      <c r="P677" s="117" t="s">
        <v>86</v>
      </c>
      <c r="Q677" s="113" t="s">
        <v>570</v>
      </c>
    </row>
    <row r="678" spans="1:17" ht="171.6">
      <c r="A678" s="87" t="s">
        <v>1493</v>
      </c>
      <c r="B678" s="115">
        <v>46275</v>
      </c>
      <c r="C678" s="117" t="s">
        <v>106</v>
      </c>
      <c r="D678" s="117" t="s">
        <v>98</v>
      </c>
      <c r="E678" s="116" t="s">
        <v>1612</v>
      </c>
      <c r="F678" s="117" t="s">
        <v>492</v>
      </c>
      <c r="G678" s="117" t="s">
        <v>320</v>
      </c>
      <c r="H678" s="117" t="s">
        <v>102</v>
      </c>
      <c r="I678" s="117" t="s">
        <v>85</v>
      </c>
      <c r="J678" s="117" t="s">
        <v>84</v>
      </c>
      <c r="K678" s="117" t="s">
        <v>85</v>
      </c>
      <c r="L678" s="117" t="s">
        <v>86</v>
      </c>
      <c r="M678" s="117" t="s">
        <v>84</v>
      </c>
      <c r="N678" s="117" t="s">
        <v>85</v>
      </c>
      <c r="O678" s="117" t="s">
        <v>87</v>
      </c>
      <c r="P678" s="117" t="s">
        <v>1497</v>
      </c>
      <c r="Q678" s="113" t="s">
        <v>85</v>
      </c>
    </row>
    <row r="679" spans="1:17" ht="198">
      <c r="A679" s="87" t="s">
        <v>1493</v>
      </c>
      <c r="B679" s="115">
        <v>46275</v>
      </c>
      <c r="C679" s="117" t="s">
        <v>106</v>
      </c>
      <c r="D679" s="117" t="s">
        <v>79</v>
      </c>
      <c r="E679" s="116" t="s">
        <v>1631</v>
      </c>
      <c r="F679" s="117" t="s">
        <v>81</v>
      </c>
      <c r="G679" s="117" t="s">
        <v>1633</v>
      </c>
      <c r="H679" s="117" t="s">
        <v>102</v>
      </c>
      <c r="I679" s="117" t="s">
        <v>85</v>
      </c>
      <c r="J679" s="117" t="s">
        <v>84</v>
      </c>
      <c r="K679" s="117" t="s">
        <v>85</v>
      </c>
      <c r="L679" s="117" t="s">
        <v>1632</v>
      </c>
      <c r="M679" s="117" t="s">
        <v>85</v>
      </c>
      <c r="N679" s="117" t="s">
        <v>85</v>
      </c>
      <c r="O679" s="117" t="s">
        <v>87</v>
      </c>
      <c r="P679" s="117" t="s">
        <v>86</v>
      </c>
      <c r="Q679" s="113" t="s">
        <v>570</v>
      </c>
    </row>
    <row r="680" spans="1:17" ht="200.25" customHeight="1">
      <c r="A680" s="87" t="s">
        <v>1493</v>
      </c>
      <c r="B680" s="115">
        <v>46275</v>
      </c>
      <c r="C680" s="117" t="s">
        <v>88</v>
      </c>
      <c r="D680" s="117" t="s">
        <v>83</v>
      </c>
      <c r="E680" s="116" t="s">
        <v>1681</v>
      </c>
      <c r="F680" s="117" t="s">
        <v>829</v>
      </c>
      <c r="G680" s="117" t="s">
        <v>117</v>
      </c>
      <c r="H680" s="117" t="s">
        <v>409</v>
      </c>
      <c r="I680" s="117" t="s">
        <v>85</v>
      </c>
      <c r="J680" s="117" t="s">
        <v>84</v>
      </c>
      <c r="K680" s="117" t="s">
        <v>85</v>
      </c>
      <c r="L680" s="117" t="s">
        <v>86</v>
      </c>
      <c r="M680" s="117" t="s">
        <v>85</v>
      </c>
      <c r="N680" s="117" t="s">
        <v>85</v>
      </c>
      <c r="O680" s="117" t="s">
        <v>118</v>
      </c>
      <c r="P680" s="117" t="s">
        <v>86</v>
      </c>
      <c r="Q680" s="113" t="s">
        <v>570</v>
      </c>
    </row>
    <row r="681" spans="1:17" ht="117.75" customHeight="1">
      <c r="A681" s="87" t="s">
        <v>1493</v>
      </c>
      <c r="B681" s="115">
        <v>46276</v>
      </c>
      <c r="C681" s="117" t="s">
        <v>106</v>
      </c>
      <c r="D681" s="117" t="s">
        <v>98</v>
      </c>
      <c r="E681" s="116" t="s">
        <v>1691</v>
      </c>
      <c r="F681" s="117" t="s">
        <v>472</v>
      </c>
      <c r="G681" s="117" t="s">
        <v>1591</v>
      </c>
      <c r="H681" s="117" t="s">
        <v>93</v>
      </c>
      <c r="I681" s="117" t="s">
        <v>84</v>
      </c>
      <c r="J681" s="117" t="s">
        <v>84</v>
      </c>
      <c r="K681" s="117" t="s">
        <v>85</v>
      </c>
      <c r="L681" s="117" t="s">
        <v>86</v>
      </c>
      <c r="M681" s="117" t="s">
        <v>85</v>
      </c>
      <c r="N681" s="117" t="s">
        <v>85</v>
      </c>
      <c r="O681" s="117" t="s">
        <v>118</v>
      </c>
      <c r="P681" s="117" t="s">
        <v>1506</v>
      </c>
      <c r="Q681" s="117" t="s">
        <v>85</v>
      </c>
    </row>
    <row r="682" spans="1:17" ht="184.8">
      <c r="A682" s="87" t="s">
        <v>1493</v>
      </c>
      <c r="B682" s="115">
        <v>46277</v>
      </c>
      <c r="C682" s="117" t="s">
        <v>106</v>
      </c>
      <c r="D682" s="117" t="s">
        <v>98</v>
      </c>
      <c r="E682" s="116" t="s">
        <v>1677</v>
      </c>
      <c r="F682" s="117" t="s">
        <v>81</v>
      </c>
      <c r="G682" s="117" t="s">
        <v>1678</v>
      </c>
      <c r="H682" s="117" t="s">
        <v>517</v>
      </c>
      <c r="I682" s="117" t="s">
        <v>85</v>
      </c>
      <c r="J682" s="117" t="s">
        <v>84</v>
      </c>
      <c r="K682" s="117" t="s">
        <v>85</v>
      </c>
      <c r="L682" s="117" t="s">
        <v>86</v>
      </c>
      <c r="M682" s="117" t="s">
        <v>84</v>
      </c>
      <c r="N682" s="117" t="s">
        <v>85</v>
      </c>
      <c r="O682" s="117" t="s">
        <v>118</v>
      </c>
      <c r="P682" s="117" t="s">
        <v>86</v>
      </c>
      <c r="Q682" s="113" t="s">
        <v>85</v>
      </c>
    </row>
    <row r="683" spans="1:17" ht="140.25" customHeight="1">
      <c r="A683" s="87" t="s">
        <v>1493</v>
      </c>
      <c r="B683" s="115">
        <v>46280</v>
      </c>
      <c r="C683" s="117" t="s">
        <v>88</v>
      </c>
      <c r="D683" s="117" t="s">
        <v>79</v>
      </c>
      <c r="E683" s="116" t="s">
        <v>1610</v>
      </c>
      <c r="F683" s="117" t="s">
        <v>378</v>
      </c>
      <c r="G683" s="117" t="s">
        <v>1609</v>
      </c>
      <c r="H683" s="117" t="s">
        <v>670</v>
      </c>
      <c r="I683" s="117" t="s">
        <v>85</v>
      </c>
      <c r="J683" s="117" t="s">
        <v>85</v>
      </c>
      <c r="K683" s="117" t="s">
        <v>84</v>
      </c>
      <c r="L683" s="117" t="s">
        <v>1608</v>
      </c>
      <c r="M683" s="117" t="s">
        <v>85</v>
      </c>
      <c r="N683" s="117" t="s">
        <v>85</v>
      </c>
      <c r="O683" s="117" t="s">
        <v>87</v>
      </c>
      <c r="P683" s="117" t="s">
        <v>86</v>
      </c>
      <c r="Q683" s="113" t="s">
        <v>85</v>
      </c>
    </row>
    <row r="684" spans="1:17" ht="140.25" customHeight="1">
      <c r="A684" s="87" t="s">
        <v>1493</v>
      </c>
      <c r="B684" s="115">
        <v>46280</v>
      </c>
      <c r="C684" s="117" t="s">
        <v>88</v>
      </c>
      <c r="D684" s="117" t="s">
        <v>1607</v>
      </c>
      <c r="E684" s="116" t="s">
        <v>1682</v>
      </c>
      <c r="F684" s="117" t="s">
        <v>472</v>
      </c>
      <c r="G684" s="117" t="s">
        <v>1683</v>
      </c>
      <c r="H684" s="117" t="s">
        <v>1611</v>
      </c>
      <c r="I684" s="117" t="s">
        <v>84</v>
      </c>
      <c r="J684" s="117" t="s">
        <v>84</v>
      </c>
      <c r="K684" s="117" t="s">
        <v>85</v>
      </c>
      <c r="L684" s="117" t="s">
        <v>86</v>
      </c>
      <c r="M684" s="117" t="s">
        <v>85</v>
      </c>
      <c r="N684" s="117" t="s">
        <v>85</v>
      </c>
      <c r="O684" s="117" t="s">
        <v>87</v>
      </c>
      <c r="P684" s="117" t="s">
        <v>86</v>
      </c>
      <c r="Q684" s="113" t="s">
        <v>570</v>
      </c>
    </row>
    <row r="685" spans="1:17" ht="105.6">
      <c r="A685" s="87" t="s">
        <v>1493</v>
      </c>
      <c r="B685" s="115">
        <v>46281</v>
      </c>
      <c r="C685" s="117" t="s">
        <v>78</v>
      </c>
      <c r="D685" s="117" t="s">
        <v>98</v>
      </c>
      <c r="E685" s="116" t="s">
        <v>1604</v>
      </c>
      <c r="F685" s="117" t="s">
        <v>1605</v>
      </c>
      <c r="G685" s="117" t="s">
        <v>1606</v>
      </c>
      <c r="H685" s="117" t="s">
        <v>114</v>
      </c>
      <c r="I685" s="117" t="s">
        <v>85</v>
      </c>
      <c r="J685" s="117" t="s">
        <v>84</v>
      </c>
      <c r="K685" s="117" t="s">
        <v>85</v>
      </c>
      <c r="L685" s="117" t="s">
        <v>86</v>
      </c>
      <c r="M685" s="117" t="s">
        <v>85</v>
      </c>
      <c r="N685" s="117" t="s">
        <v>85</v>
      </c>
      <c r="O685" s="117" t="s">
        <v>1478</v>
      </c>
      <c r="P685" s="117" t="s">
        <v>1511</v>
      </c>
      <c r="Q685" s="88" t="s">
        <v>570</v>
      </c>
    </row>
    <row r="686" spans="1:17" ht="104.25" customHeight="1">
      <c r="A686" s="87" t="s">
        <v>1493</v>
      </c>
      <c r="B686" s="115">
        <v>46281</v>
      </c>
      <c r="C686" s="117" t="s">
        <v>123</v>
      </c>
      <c r="D686" s="117" t="s">
        <v>79</v>
      </c>
      <c r="E686" s="116" t="s">
        <v>1615</v>
      </c>
      <c r="F686" s="117" t="s">
        <v>350</v>
      </c>
      <c r="G686" s="117" t="s">
        <v>1613</v>
      </c>
      <c r="H686" s="117" t="s">
        <v>670</v>
      </c>
      <c r="I686" s="117" t="s">
        <v>85</v>
      </c>
      <c r="J686" s="117" t="s">
        <v>85</v>
      </c>
      <c r="K686" s="117" t="s">
        <v>84</v>
      </c>
      <c r="L686" s="121" t="s">
        <v>1614</v>
      </c>
      <c r="M686" s="117" t="s">
        <v>85</v>
      </c>
      <c r="N686" s="117" t="s">
        <v>85</v>
      </c>
      <c r="O686" s="117" t="s">
        <v>1478</v>
      </c>
      <c r="P686" s="117" t="s">
        <v>86</v>
      </c>
      <c r="Q686" s="88" t="s">
        <v>85</v>
      </c>
    </row>
    <row r="687" spans="1:17" ht="146.25" customHeight="1">
      <c r="A687" s="87" t="s">
        <v>1493</v>
      </c>
      <c r="B687" s="115">
        <v>46282</v>
      </c>
      <c r="C687" s="117" t="s">
        <v>78</v>
      </c>
      <c r="D687" s="117" t="s">
        <v>98</v>
      </c>
      <c r="E687" s="116" t="s">
        <v>1674</v>
      </c>
      <c r="F687" s="117" t="s">
        <v>707</v>
      </c>
      <c r="G687" s="117" t="s">
        <v>1673</v>
      </c>
      <c r="H687" s="117" t="s">
        <v>405</v>
      </c>
      <c r="I687" s="117" t="s">
        <v>85</v>
      </c>
      <c r="J687" s="117" t="s">
        <v>84</v>
      </c>
      <c r="K687" s="117" t="s">
        <v>85</v>
      </c>
      <c r="L687" s="121" t="s">
        <v>86</v>
      </c>
      <c r="M687" s="117" t="s">
        <v>85</v>
      </c>
      <c r="N687" s="117" t="s">
        <v>85</v>
      </c>
      <c r="O687" s="117" t="s">
        <v>87</v>
      </c>
      <c r="P687" s="117" t="s">
        <v>86</v>
      </c>
      <c r="Q687" s="44" t="s">
        <v>85</v>
      </c>
    </row>
    <row r="688" spans="1:17" ht="168.75" customHeight="1">
      <c r="A688" s="87" t="s">
        <v>1493</v>
      </c>
      <c r="B688" s="115">
        <v>46283</v>
      </c>
      <c r="C688" s="117" t="s">
        <v>106</v>
      </c>
      <c r="D688" s="117" t="s">
        <v>98</v>
      </c>
      <c r="E688" s="116" t="s">
        <v>1617</v>
      </c>
      <c r="F688" s="117" t="s">
        <v>786</v>
      </c>
      <c r="G688" s="117" t="s">
        <v>1616</v>
      </c>
      <c r="H688" s="117" t="s">
        <v>102</v>
      </c>
      <c r="I688" s="117" t="s">
        <v>85</v>
      </c>
      <c r="J688" s="117" t="s">
        <v>84</v>
      </c>
      <c r="K688" s="117" t="s">
        <v>85</v>
      </c>
      <c r="L688" s="117" t="s">
        <v>86</v>
      </c>
      <c r="M688" s="117" t="s">
        <v>85</v>
      </c>
      <c r="N688" s="117" t="s">
        <v>85</v>
      </c>
      <c r="O688" s="117" t="s">
        <v>1478</v>
      </c>
      <c r="P688" s="117" t="s">
        <v>1498</v>
      </c>
      <c r="Q688" s="117" t="s">
        <v>85</v>
      </c>
    </row>
    <row r="689" spans="1:17" ht="108.75" customHeight="1">
      <c r="A689" s="87" t="s">
        <v>1493</v>
      </c>
      <c r="B689" s="115">
        <v>46284</v>
      </c>
      <c r="C689" s="117" t="s">
        <v>106</v>
      </c>
      <c r="D689" s="117" t="s">
        <v>98</v>
      </c>
      <c r="E689" s="116" t="s">
        <v>1628</v>
      </c>
      <c r="F689" s="117" t="s">
        <v>100</v>
      </c>
      <c r="G689" s="117" t="s">
        <v>1627</v>
      </c>
      <c r="H689" s="117" t="s">
        <v>102</v>
      </c>
      <c r="I689" s="117" t="s">
        <v>85</v>
      </c>
      <c r="J689" s="117" t="s">
        <v>84</v>
      </c>
      <c r="K689" s="117" t="s">
        <v>85</v>
      </c>
      <c r="L689" s="117" t="s">
        <v>86</v>
      </c>
      <c r="M689" s="117" t="s">
        <v>85</v>
      </c>
      <c r="N689" s="117" t="s">
        <v>85</v>
      </c>
      <c r="O689" s="117" t="s">
        <v>118</v>
      </c>
      <c r="P689" s="117" t="s">
        <v>1508</v>
      </c>
      <c r="Q689" s="113" t="s">
        <v>570</v>
      </c>
    </row>
    <row r="690" spans="1:17" ht="191.25" customHeight="1">
      <c r="A690" s="87" t="s">
        <v>1493</v>
      </c>
      <c r="B690" s="115">
        <v>46284</v>
      </c>
      <c r="C690" s="117" t="s">
        <v>123</v>
      </c>
      <c r="D690" s="117" t="s">
        <v>1607</v>
      </c>
      <c r="E690" s="116" t="s">
        <v>1626</v>
      </c>
      <c r="F690" s="117" t="s">
        <v>372</v>
      </c>
      <c r="G690" s="117" t="s">
        <v>114</v>
      </c>
      <c r="H690" s="117" t="s">
        <v>114</v>
      </c>
      <c r="I690" s="117" t="s">
        <v>85</v>
      </c>
      <c r="J690" s="117" t="s">
        <v>84</v>
      </c>
      <c r="K690" s="117" t="s">
        <v>85</v>
      </c>
      <c r="L690" s="117" t="s">
        <v>86</v>
      </c>
      <c r="M690" s="117" t="s">
        <v>84</v>
      </c>
      <c r="N690" s="117" t="s">
        <v>85</v>
      </c>
      <c r="O690" s="117" t="s">
        <v>118</v>
      </c>
      <c r="P690" s="117" t="s">
        <v>1511</v>
      </c>
      <c r="Q690" s="113" t="s">
        <v>570</v>
      </c>
    </row>
    <row r="691" spans="1:17" ht="66">
      <c r="A691" s="87" t="s">
        <v>1493</v>
      </c>
      <c r="B691" s="115">
        <v>46286</v>
      </c>
      <c r="C691" s="117" t="s">
        <v>78</v>
      </c>
      <c r="D691" s="117" t="s">
        <v>98</v>
      </c>
      <c r="E691" s="116" t="s">
        <v>1619</v>
      </c>
      <c r="F691" s="117" t="s">
        <v>1618</v>
      </c>
      <c r="G691" s="117" t="s">
        <v>1620</v>
      </c>
      <c r="H691" s="117" t="s">
        <v>1611</v>
      </c>
      <c r="I691" s="117" t="s">
        <v>85</v>
      </c>
      <c r="J691" s="117" t="s">
        <v>84</v>
      </c>
      <c r="K691" s="117" t="s">
        <v>85</v>
      </c>
      <c r="L691" s="117" t="s">
        <v>86</v>
      </c>
      <c r="M691" s="117" t="s">
        <v>85</v>
      </c>
      <c r="N691" s="117" t="s">
        <v>85</v>
      </c>
      <c r="O691" s="117" t="s">
        <v>1478</v>
      </c>
      <c r="P691" s="117" t="s">
        <v>86</v>
      </c>
      <c r="Q691" s="88" t="s">
        <v>570</v>
      </c>
    </row>
    <row r="692" spans="1:17" ht="79.2">
      <c r="A692" s="87" t="s">
        <v>1493</v>
      </c>
      <c r="B692" s="115">
        <v>46286</v>
      </c>
      <c r="C692" s="117" t="s">
        <v>78</v>
      </c>
      <c r="D692" s="117" t="s">
        <v>98</v>
      </c>
      <c r="E692" s="116" t="s">
        <v>1684</v>
      </c>
      <c r="F692" s="117" t="s">
        <v>100</v>
      </c>
      <c r="G692" s="117" t="s">
        <v>1685</v>
      </c>
      <c r="H692" s="117" t="s">
        <v>517</v>
      </c>
      <c r="I692" s="117" t="s">
        <v>85</v>
      </c>
      <c r="J692" s="117" t="s">
        <v>84</v>
      </c>
      <c r="K692" s="117" t="s">
        <v>85</v>
      </c>
      <c r="L692" s="117" t="s">
        <v>86</v>
      </c>
      <c r="M692" s="117" t="s">
        <v>85</v>
      </c>
      <c r="N692" s="117" t="s">
        <v>85</v>
      </c>
      <c r="O692" s="117" t="s">
        <v>118</v>
      </c>
      <c r="P692" s="117" t="s">
        <v>1497</v>
      </c>
      <c r="Q692" s="44" t="s">
        <v>570</v>
      </c>
    </row>
    <row r="693" spans="1:17" ht="66">
      <c r="A693" s="87" t="s">
        <v>1493</v>
      </c>
      <c r="B693" s="115">
        <v>46286</v>
      </c>
      <c r="C693" s="117" t="s">
        <v>106</v>
      </c>
      <c r="D693" s="117" t="s">
        <v>98</v>
      </c>
      <c r="E693" s="116" t="s">
        <v>1624</v>
      </c>
      <c r="F693" s="117" t="s">
        <v>100</v>
      </c>
      <c r="G693" s="117" t="s">
        <v>1623</v>
      </c>
      <c r="H693" s="117" t="s">
        <v>102</v>
      </c>
      <c r="I693" s="117" t="s">
        <v>85</v>
      </c>
      <c r="J693" s="117" t="s">
        <v>84</v>
      </c>
      <c r="K693" s="117" t="s">
        <v>85</v>
      </c>
      <c r="L693" s="117" t="s">
        <v>86</v>
      </c>
      <c r="M693" s="117" t="s">
        <v>85</v>
      </c>
      <c r="N693" s="117" t="s">
        <v>85</v>
      </c>
      <c r="O693" s="117" t="s">
        <v>1478</v>
      </c>
      <c r="P693" s="117" t="s">
        <v>86</v>
      </c>
      <c r="Q693" s="44" t="s">
        <v>570</v>
      </c>
    </row>
    <row r="694" spans="1:17" ht="67.5" customHeight="1">
      <c r="A694" s="87" t="s">
        <v>1493</v>
      </c>
      <c r="B694" s="115">
        <v>46286</v>
      </c>
      <c r="C694" s="117" t="s">
        <v>106</v>
      </c>
      <c r="D694" s="117" t="s">
        <v>83</v>
      </c>
      <c r="E694" s="116" t="s">
        <v>1625</v>
      </c>
      <c r="F694" s="117" t="s">
        <v>378</v>
      </c>
      <c r="G694" s="117" t="s">
        <v>150</v>
      </c>
      <c r="H694" s="117" t="s">
        <v>409</v>
      </c>
      <c r="I694" s="117" t="s">
        <v>84</v>
      </c>
      <c r="J694" s="117" t="s">
        <v>84</v>
      </c>
      <c r="K694" s="117" t="s">
        <v>85</v>
      </c>
      <c r="L694" s="117" t="s">
        <v>86</v>
      </c>
      <c r="M694" s="117" t="s">
        <v>85</v>
      </c>
      <c r="N694" s="117" t="s">
        <v>85</v>
      </c>
      <c r="O694" s="117" t="s">
        <v>1478</v>
      </c>
      <c r="P694" s="117" t="s">
        <v>1498</v>
      </c>
      <c r="Q694" s="44" t="s">
        <v>570</v>
      </c>
    </row>
    <row r="695" spans="1:17" ht="171.6">
      <c r="A695" s="87" t="s">
        <v>1493</v>
      </c>
      <c r="B695" s="115">
        <v>46289</v>
      </c>
      <c r="C695" s="117" t="s">
        <v>123</v>
      </c>
      <c r="D695" s="117" t="s">
        <v>98</v>
      </c>
      <c r="E695" s="116" t="s">
        <v>1622</v>
      </c>
      <c r="F695" s="117" t="s">
        <v>378</v>
      </c>
      <c r="G695" s="117" t="s">
        <v>1621</v>
      </c>
      <c r="H695" s="117" t="s">
        <v>409</v>
      </c>
      <c r="I695" s="117" t="s">
        <v>84</v>
      </c>
      <c r="J695" s="117" t="s">
        <v>84</v>
      </c>
      <c r="K695" s="117" t="s">
        <v>85</v>
      </c>
      <c r="L695" s="117" t="s">
        <v>86</v>
      </c>
      <c r="M695" s="117" t="s">
        <v>85</v>
      </c>
      <c r="N695" s="117" t="s">
        <v>85</v>
      </c>
      <c r="O695" s="117" t="s">
        <v>1478</v>
      </c>
      <c r="P695" s="117" t="s">
        <v>86</v>
      </c>
      <c r="Q695" s="88" t="s">
        <v>85</v>
      </c>
    </row>
    <row r="696" spans="1:17" s="44" customFormat="1" ht="145.19999999999999">
      <c r="A696" s="87" t="s">
        <v>1493</v>
      </c>
      <c r="B696" s="59">
        <v>46290</v>
      </c>
      <c r="C696" s="117" t="s">
        <v>106</v>
      </c>
      <c r="D696" s="117" t="s">
        <v>98</v>
      </c>
      <c r="E696" s="116" t="s">
        <v>1634</v>
      </c>
      <c r="F696" s="117" t="s">
        <v>100</v>
      </c>
      <c r="G696" s="117" t="s">
        <v>967</v>
      </c>
      <c r="H696" s="117" t="s">
        <v>126</v>
      </c>
      <c r="I696" s="117" t="s">
        <v>85</v>
      </c>
      <c r="J696" s="117" t="s">
        <v>84</v>
      </c>
      <c r="K696" s="117" t="s">
        <v>85</v>
      </c>
      <c r="L696" s="117" t="s">
        <v>86</v>
      </c>
      <c r="M696" s="117" t="s">
        <v>85</v>
      </c>
      <c r="N696" s="117" t="s">
        <v>85</v>
      </c>
      <c r="O696" s="117" t="s">
        <v>1478</v>
      </c>
      <c r="P696" s="117" t="s">
        <v>86</v>
      </c>
      <c r="Q696" s="88" t="s">
        <v>570</v>
      </c>
    </row>
    <row r="697" spans="1:17" s="44" customFormat="1" ht="92.25" customHeight="1">
      <c r="A697" s="87" t="s">
        <v>1493</v>
      </c>
      <c r="B697" s="115">
        <v>46290</v>
      </c>
      <c r="C697" s="117" t="s">
        <v>106</v>
      </c>
      <c r="D697" s="117" t="s">
        <v>98</v>
      </c>
      <c r="E697" s="116" t="s">
        <v>1679</v>
      </c>
      <c r="F697" s="117" t="s">
        <v>100</v>
      </c>
      <c r="G697" s="117" t="s">
        <v>1680</v>
      </c>
      <c r="H697" s="117" t="s">
        <v>102</v>
      </c>
      <c r="I697" s="117" t="s">
        <v>85</v>
      </c>
      <c r="J697" s="117" t="s">
        <v>84</v>
      </c>
      <c r="K697" s="117" t="s">
        <v>85</v>
      </c>
      <c r="L697" s="117" t="s">
        <v>86</v>
      </c>
      <c r="M697" s="117" t="s">
        <v>85</v>
      </c>
      <c r="N697" s="117" t="s">
        <v>85</v>
      </c>
      <c r="O697" s="117" t="s">
        <v>1478</v>
      </c>
      <c r="P697" s="117" t="s">
        <v>1512</v>
      </c>
      <c r="Q697" s="44" t="s">
        <v>570</v>
      </c>
    </row>
    <row r="698" spans="1:17" s="44" customFormat="1" ht="135" customHeight="1">
      <c r="A698" s="87" t="s">
        <v>1493</v>
      </c>
      <c r="B698" s="115">
        <v>46291</v>
      </c>
      <c r="C698" s="117" t="s">
        <v>78</v>
      </c>
      <c r="D698" s="117" t="s">
        <v>79</v>
      </c>
      <c r="E698" s="116" t="s">
        <v>1675</v>
      </c>
      <c r="F698" s="117" t="s">
        <v>482</v>
      </c>
      <c r="G698" s="117" t="s">
        <v>1676</v>
      </c>
      <c r="H698" s="117" t="s">
        <v>1278</v>
      </c>
      <c r="I698" s="117" t="s">
        <v>85</v>
      </c>
      <c r="J698" s="117" t="s">
        <v>84</v>
      </c>
      <c r="K698" s="117" t="s">
        <v>85</v>
      </c>
      <c r="L698" s="117" t="s">
        <v>86</v>
      </c>
      <c r="M698" s="117" t="s">
        <v>84</v>
      </c>
      <c r="N698" s="117" t="s">
        <v>85</v>
      </c>
      <c r="O698" s="117" t="s">
        <v>1478</v>
      </c>
      <c r="P698" s="117" t="s">
        <v>86</v>
      </c>
      <c r="Q698" s="44" t="s">
        <v>85</v>
      </c>
    </row>
    <row r="699" spans="1:17" ht="184.8">
      <c r="A699" s="87" t="s">
        <v>1493</v>
      </c>
      <c r="B699" s="115">
        <v>46292</v>
      </c>
      <c r="C699" s="88" t="s">
        <v>123</v>
      </c>
      <c r="D699" s="117" t="s">
        <v>98</v>
      </c>
      <c r="E699" s="116" t="s">
        <v>1669</v>
      </c>
      <c r="F699" s="117" t="s">
        <v>472</v>
      </c>
      <c r="G699" s="117" t="s">
        <v>1670</v>
      </c>
      <c r="H699" s="117" t="s">
        <v>1278</v>
      </c>
      <c r="I699" s="117" t="s">
        <v>84</v>
      </c>
      <c r="J699" s="117" t="s">
        <v>84</v>
      </c>
      <c r="K699" s="117" t="s">
        <v>85</v>
      </c>
      <c r="L699" s="117" t="s">
        <v>86</v>
      </c>
      <c r="M699" s="117" t="s">
        <v>85</v>
      </c>
      <c r="N699" s="117" t="s">
        <v>84</v>
      </c>
      <c r="O699" s="117" t="s">
        <v>1671</v>
      </c>
      <c r="P699" s="117" t="s">
        <v>86</v>
      </c>
      <c r="Q699" s="88" t="s">
        <v>85</v>
      </c>
    </row>
    <row r="700" spans="1:17" ht="66">
      <c r="A700" s="87" t="s">
        <v>1493</v>
      </c>
      <c r="B700" s="115">
        <v>46295</v>
      </c>
      <c r="C700" s="88" t="s">
        <v>106</v>
      </c>
      <c r="D700" s="117" t="s">
        <v>98</v>
      </c>
      <c r="E700" s="116" t="s">
        <v>1672</v>
      </c>
      <c r="F700" s="88" t="s">
        <v>100</v>
      </c>
      <c r="G700" s="88" t="s">
        <v>1607</v>
      </c>
      <c r="H700" s="88" t="s">
        <v>689</v>
      </c>
      <c r="I700" s="88" t="s">
        <v>85</v>
      </c>
      <c r="J700" s="88" t="s">
        <v>84</v>
      </c>
      <c r="K700" s="88" t="s">
        <v>85</v>
      </c>
      <c r="L700" s="88" t="s">
        <v>86</v>
      </c>
      <c r="M700" s="88" t="s">
        <v>85</v>
      </c>
      <c r="N700" s="88" t="s">
        <v>85</v>
      </c>
      <c r="O700" s="88" t="s">
        <v>87</v>
      </c>
      <c r="P700" s="88" t="s">
        <v>1498</v>
      </c>
      <c r="Q700" s="88" t="s">
        <v>85</v>
      </c>
    </row>
  </sheetData>
  <pageMargins left="0.75" right="0.75" top="1" bottom="1" header="0.511811023622047" footer="0.511811023622047"/>
  <pageSetup orientation="portrait" horizontalDpi="300" verticalDpi="300" r:id="rId1"/>
  <legacy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3543DD31-A237-4FDA-9378-088D679F8165}">
          <x14:formula1>
            <xm:f>'Dropdown Options'!$N$1:$N$3</xm:f>
          </x14:formula1>
          <xm:sqref>Q1 Q685:Q1048576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BDBDB"/>
  </sheetPr>
  <dimension ref="A1:AH736"/>
  <sheetViews>
    <sheetView tabSelected="1" topLeftCell="A688" zoomScale="88" zoomScaleNormal="88" workbookViewId="0">
      <selection activeCell="I651" sqref="I651"/>
    </sheetView>
  </sheetViews>
  <sheetFormatPr defaultColWidth="8.5546875" defaultRowHeight="13.2"/>
  <cols>
    <col min="1" max="1" width="35.109375" customWidth="1"/>
    <col min="5" max="5" width="23.88671875" customWidth="1"/>
  </cols>
  <sheetData>
    <row r="1" spans="1:1" ht="24.75" customHeight="1">
      <c r="A1" s="11" t="s">
        <v>1461</v>
      </c>
    </row>
    <row r="17" spans="1:1" ht="24.75" customHeight="1">
      <c r="A17" s="11" t="s">
        <v>1462</v>
      </c>
    </row>
    <row r="34" spans="1:1" ht="24.75" customHeight="1">
      <c r="A34" s="11" t="s">
        <v>1463</v>
      </c>
    </row>
    <row r="53" spans="1:1" ht="24.75" customHeight="1">
      <c r="A53" s="11" t="s">
        <v>1464</v>
      </c>
    </row>
    <row r="69" spans="1:2" ht="24.75" customHeight="1">
      <c r="A69" s="11" t="s">
        <v>1465</v>
      </c>
      <c r="B69" s="15"/>
    </row>
    <row r="103" spans="1:2" ht="22.5" customHeight="1">
      <c r="A103" s="188" t="s">
        <v>1466</v>
      </c>
      <c r="B103" s="188"/>
    </row>
    <row r="123" spans="1:15" ht="12" customHeight="1">
      <c r="A123" s="89"/>
      <c r="B123" s="90"/>
      <c r="C123" s="90"/>
      <c r="D123" s="90"/>
      <c r="E123" s="90"/>
      <c r="F123" s="90"/>
      <c r="G123" s="90"/>
      <c r="H123" s="90"/>
      <c r="I123" s="90"/>
      <c r="J123" s="90"/>
      <c r="K123" s="90"/>
      <c r="L123" s="90"/>
      <c r="M123" s="90"/>
      <c r="N123" s="90"/>
      <c r="O123" s="90"/>
    </row>
    <row r="124" spans="1:15" ht="12" customHeight="1">
      <c r="A124" s="90"/>
      <c r="B124" s="90"/>
      <c r="C124" s="90"/>
      <c r="D124" s="90"/>
      <c r="E124" s="90"/>
      <c r="F124" s="90"/>
      <c r="G124" s="90"/>
      <c r="H124" s="90"/>
      <c r="I124" s="90"/>
      <c r="J124" s="90"/>
      <c r="K124" s="90"/>
      <c r="L124" s="90"/>
      <c r="M124" s="90"/>
      <c r="N124" s="90"/>
      <c r="O124" s="90"/>
    </row>
    <row r="125" spans="1:15" ht="12" customHeight="1">
      <c r="A125" s="90"/>
      <c r="B125" s="90"/>
      <c r="C125" s="90"/>
      <c r="D125" s="90"/>
      <c r="E125" s="90"/>
      <c r="F125" s="90"/>
      <c r="G125" s="90"/>
      <c r="H125" s="90"/>
      <c r="I125" s="90"/>
      <c r="J125" s="90"/>
      <c r="K125" s="90"/>
      <c r="L125" s="90"/>
      <c r="M125" s="90"/>
      <c r="N125" s="90"/>
      <c r="O125" s="90"/>
    </row>
    <row r="126" spans="1:15" ht="27" customHeight="1">
      <c r="A126" s="91" t="s">
        <v>1467</v>
      </c>
      <c r="B126" s="90"/>
      <c r="C126" s="90"/>
      <c r="D126" s="90"/>
      <c r="E126" s="90"/>
      <c r="F126" s="90"/>
      <c r="G126" s="90"/>
      <c r="H126" s="90"/>
      <c r="I126" s="90"/>
      <c r="J126" s="90"/>
      <c r="K126" s="90"/>
      <c r="L126" s="90"/>
      <c r="M126" s="90"/>
      <c r="N126" s="90"/>
      <c r="O126" s="90"/>
    </row>
    <row r="149" spans="1:1" ht="22.5" customHeight="1">
      <c r="A149" s="92" t="s">
        <v>1468</v>
      </c>
    </row>
    <row r="201" spans="1:15" ht="18" customHeight="1">
      <c r="A201" s="93" t="s">
        <v>1469</v>
      </c>
    </row>
    <row r="203" spans="1:15" ht="24.75" customHeight="1">
      <c r="A203" s="11" t="s">
        <v>1470</v>
      </c>
      <c r="O203" s="94" t="s">
        <v>1471</v>
      </c>
    </row>
    <row r="231" spans="1:16" ht="160.5" customHeight="1">
      <c r="A231" s="11" t="s">
        <v>1472</v>
      </c>
      <c r="B231" s="95"/>
      <c r="C231" s="95"/>
      <c r="D231" s="95"/>
      <c r="E231" s="95"/>
      <c r="F231" s="95"/>
      <c r="G231" s="95"/>
      <c r="H231" s="95"/>
      <c r="I231" s="95"/>
      <c r="J231" s="95"/>
      <c r="P231" s="11" t="s">
        <v>1473</v>
      </c>
    </row>
    <row r="293" spans="1:18" ht="24.75" customHeight="1">
      <c r="A293" s="11" t="s">
        <v>1474</v>
      </c>
      <c r="R293" s="11" t="s">
        <v>1475</v>
      </c>
    </row>
    <row r="352" spans="1:1" ht="24.75" customHeight="1">
      <c r="A352" s="11"/>
    </row>
    <row r="369" spans="1:34" ht="24.6">
      <c r="A369" s="179" t="s">
        <v>1476</v>
      </c>
    </row>
    <row r="380" spans="1:34" ht="12" customHeight="1">
      <c r="AH380" s="24"/>
    </row>
    <row r="396" spans="1:1" ht="24.75" customHeight="1">
      <c r="A396" s="11" t="s">
        <v>1477</v>
      </c>
    </row>
    <row r="414" spans="1:1" ht="24.6">
      <c r="A414" s="179" t="s">
        <v>1477</v>
      </c>
    </row>
    <row r="494" spans="1:1" ht="30">
      <c r="A494" s="180" t="s">
        <v>1686</v>
      </c>
    </row>
    <row r="564" spans="1:1" ht="24.6">
      <c r="A564" s="179" t="s">
        <v>1689</v>
      </c>
    </row>
    <row r="651" spans="1:1" ht="24.6">
      <c r="A651" s="179" t="s">
        <v>1690</v>
      </c>
    </row>
    <row r="735" spans="1:1" ht="24.6">
      <c r="A735" s="179"/>
    </row>
    <row r="736" spans="1:1" ht="15" customHeight="1"/>
  </sheetData>
  <mergeCells count="1">
    <mergeCell ref="A103:B103"/>
  </mergeCells>
  <pageMargins left="0.7" right="0.7" top="0.75" bottom="0.75" header="0.511811023622047" footer="0.511811023622047"/>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2F3F7"/>
  </sheetPr>
  <dimension ref="A1:D153"/>
  <sheetViews>
    <sheetView topLeftCell="A23" zoomScale="75" zoomScaleNormal="75" workbookViewId="0">
      <selection activeCell="A86" sqref="A86"/>
    </sheetView>
  </sheetViews>
  <sheetFormatPr defaultColWidth="8.5546875" defaultRowHeight="13.2"/>
  <cols>
    <col min="1" max="1" width="151.6640625" customWidth="1"/>
    <col min="2" max="2" width="52.6640625" customWidth="1"/>
    <col min="3" max="3" width="31" customWidth="1"/>
    <col min="4" max="4" width="16" customWidth="1"/>
  </cols>
  <sheetData>
    <row r="1" spans="1:4" ht="24.6">
      <c r="A1" s="146" t="s">
        <v>1639</v>
      </c>
      <c r="B1" s="173">
        <f>IF(ISNUMBER(Summary!B2),DATE(YEAR(Summary!B2),MONTH(Summary!B2),1),DATEVALUE("1 "&amp;TRIM(Summary!B2)))</f>
        <v>46266</v>
      </c>
    </row>
    <row r="2" spans="1:4" ht="24.6">
      <c r="A2" s="146" t="s">
        <v>65</v>
      </c>
      <c r="B2" s="97" t="str">
        <f>Summary!B3</f>
        <v>All</v>
      </c>
    </row>
    <row r="3" spans="1:4" ht="22.8">
      <c r="A3" s="156" t="s">
        <v>1640</v>
      </c>
    </row>
    <row r="4" spans="1:4" ht="24.6">
      <c r="A4" s="138" t="s">
        <v>1641</v>
      </c>
      <c r="B4" s="138" t="str">
        <f>TEXT(DATE(2025,1,1),"mmmm yyyy")&amp;" - "&amp;TEXT(EDATE($B$1,-1),"mmmm yyyy")</f>
        <v>January 2025 - August 2026</v>
      </c>
      <c r="C4" s="138" t="str">
        <f>TEXT($B$1,"mmmm yyyy")</f>
        <v>September 2026</v>
      </c>
      <c r="D4" s="136"/>
    </row>
    <row r="5" spans="1:4" ht="24.6">
      <c r="A5" s="138" t="s">
        <v>1642</v>
      </c>
      <c r="B5" s="138" t="s">
        <v>1643</v>
      </c>
      <c r="C5" s="138" t="s">
        <v>1639</v>
      </c>
      <c r="D5" s="138" t="s">
        <v>19</v>
      </c>
    </row>
    <row r="6" spans="1:4" ht="30" customHeight="1">
      <c r="A6" s="155" t="s">
        <v>96</v>
      </c>
      <c r="B6" s="135">
        <f>IF(TRIM($B$2)="All",SUMPRODUCT(--(Lifting_Incidents[Date]&gt;=DATE(2025,1,1)),--(Lifting_Incidents[Date]&lt;$B$1),--(TRIM(SUBSTITUTE(Lifting_Incidents[Type of Lifting Failure],CHAR(160)," "))=A6)),SUMPRODUCT(--(Lifting_Incidents[Date]&gt;=DATE(2025,1,1)),--(Lifting_Incidents[Date]&lt;$B$1),--(TRIM(SUBSTITUTE(Lifting_Incidents[Type of Lifting Failure],CHAR(160)," "))=A6),--(TRIM(SUBSTITUTE(Lifting_Incidents[Region/District],CHAR(160)," "))=TRIM($B$2))))</f>
        <v>23</v>
      </c>
      <c r="C6" s="135">
        <f>IF(TRIM($B$2)="All",SUMPRODUCT(--(Lifting_Incidents[Date]&gt;=$B$1),--(Lifting_Incidents[Date]&lt;EDATE($B$1,1)),--(TRIM(SUBSTITUTE(Lifting_Incidents[Type of Lifting Failure],CHAR(160)," "))=A6)),SUMPRODUCT(--(Lifting_Incidents[Date]&gt;=$B$1),--(Lifting_Incidents[Date]&lt;EDATE($B$1,1)),--(TRIM(SUBSTITUTE(Lifting_Incidents[Type of Lifting Failure],CHAR(160)," "))=A6),--(TRIM(SUBSTITUTE(Lifting_Incidents[Region/District],CHAR(160)," "))=TRIM($B$2))))</f>
        <v>2</v>
      </c>
      <c r="D6" s="135">
        <f t="shared" ref="D6:D37" si="0">SUM(B6:C6)</f>
        <v>25</v>
      </c>
    </row>
    <row r="7" spans="1:4" ht="30" customHeight="1">
      <c r="A7" s="155" t="s">
        <v>829</v>
      </c>
      <c r="B7" s="135">
        <f>IF(TRIM($B$2)="All",SUMPRODUCT(--(Lifting_Incidents[Date]&gt;=DATE(2025,1,1)),--(Lifting_Incidents[Date]&lt;$B$1),--(TRIM(SUBSTITUTE(Lifting_Incidents[Type of Lifting Failure],CHAR(160)," "))=A7)),SUMPRODUCT(--(Lifting_Incidents[Date]&gt;=DATE(2025,1,1)),--(Lifting_Incidents[Date]&lt;$B$1),--(TRIM(SUBSTITUTE(Lifting_Incidents[Type of Lifting Failure],CHAR(160)," "))=A7),--(TRIM(SUBSTITUTE(Lifting_Incidents[Region/District],CHAR(160)," "))=TRIM($B$2))))</f>
        <v>6</v>
      </c>
      <c r="C7" s="135">
        <f>IF(TRIM($B$2)="All",SUMPRODUCT(--(Lifting_Incidents[Date]&gt;=$B$1),--(Lifting_Incidents[Date]&lt;EDATE($B$1,1)),--(TRIM(SUBSTITUTE(Lifting_Incidents[Type of Lifting Failure],CHAR(160)," "))=A7)),SUMPRODUCT(--(Lifting_Incidents[Date]&gt;=$B$1),--(Lifting_Incidents[Date]&lt;EDATE($B$1,1)),--(TRIM(SUBSTITUTE(Lifting_Incidents[Type of Lifting Failure],CHAR(160)," "))=A7),--(TRIM(SUBSTITUTE(Lifting_Incidents[Region/District],CHAR(160)," "))=TRIM($B$2))))</f>
        <v>1</v>
      </c>
      <c r="D7" s="135">
        <f t="shared" si="0"/>
        <v>7</v>
      </c>
    </row>
    <row r="8" spans="1:4" ht="30" customHeight="1">
      <c r="A8" s="155" t="s">
        <v>378</v>
      </c>
      <c r="B8" s="135">
        <f>IF(TRIM($B$2)="All",SUMPRODUCT(--(Lifting_Incidents[Date]&gt;=DATE(2025,1,1)),--(Lifting_Incidents[Date]&lt;$B$1),--(TRIM(SUBSTITUTE(Lifting_Incidents[Type of Lifting Failure],CHAR(160)," "))=A8)),SUMPRODUCT(--(Lifting_Incidents[Date]&gt;=DATE(2025,1,1)),--(Lifting_Incidents[Date]&lt;$B$1),--(TRIM(SUBSTITUTE(Lifting_Incidents[Type of Lifting Failure],CHAR(160)," "))=A8),--(TRIM(SUBSTITUTE(Lifting_Incidents[Region/District],CHAR(160)," "))=TRIM($B$2))))</f>
        <v>11</v>
      </c>
      <c r="C8" s="135">
        <f>IF(TRIM($B$2)="All",SUMPRODUCT(--(Lifting_Incidents[Date]&gt;=$B$1),--(Lifting_Incidents[Date]&lt;EDATE($B$1,1)),--(TRIM(SUBSTITUTE(Lifting_Incidents[Type of Lifting Failure],CHAR(160)," "))=A8)),SUMPRODUCT(--(Lifting_Incidents[Date]&gt;=$B$1),--(Lifting_Incidents[Date]&lt;EDATE($B$1,1)),--(TRIM(SUBSTITUTE(Lifting_Incidents[Type of Lifting Failure],CHAR(160)," "))=A8),--(TRIM(SUBSTITUTE(Lifting_Incidents[Region/District],CHAR(160)," "))=TRIM($B$2))))</f>
        <v>3</v>
      </c>
      <c r="D8" s="135">
        <f t="shared" si="0"/>
        <v>14</v>
      </c>
    </row>
    <row r="9" spans="1:4" ht="30" customHeight="1">
      <c r="A9" s="155" t="s">
        <v>554</v>
      </c>
      <c r="B9" s="135">
        <f>IF(TRIM($B$2)="All",SUMPRODUCT(--(Lifting_Incidents[Date]&gt;=DATE(2025,1,1)),--(Lifting_Incidents[Date]&lt;$B$1),--(TRIM(SUBSTITUTE(Lifting_Incidents[Type of Lifting Failure],CHAR(160)," "))=A9)),SUMPRODUCT(--(Lifting_Incidents[Date]&gt;=DATE(2025,1,1)),--(Lifting_Incidents[Date]&lt;$B$1),--(TRIM(SUBSTITUTE(Lifting_Incidents[Type of Lifting Failure],CHAR(160)," "))=A9),--(TRIM(SUBSTITUTE(Lifting_Incidents[Region/District],CHAR(160)," "))=TRIM($B$2))))</f>
        <v>9</v>
      </c>
      <c r="C9" s="135">
        <f>IF(TRIM($B$2)="All",SUMPRODUCT(--(Lifting_Incidents[Date]&gt;=$B$1),--(Lifting_Incidents[Date]&lt;EDATE($B$1,1)),--(TRIM(SUBSTITUTE(Lifting_Incidents[Type of Lifting Failure],CHAR(160)," "))=A9)),SUMPRODUCT(--(Lifting_Incidents[Date]&gt;=$B$1),--(Lifting_Incidents[Date]&lt;EDATE($B$1,1)),--(TRIM(SUBSTITUTE(Lifting_Incidents[Type of Lifting Failure],CHAR(160)," "))=A9),--(TRIM(SUBSTITUTE(Lifting_Incidents[Region/District],CHAR(160)," "))=TRIM($B$2))))</f>
        <v>1</v>
      </c>
      <c r="D9" s="135">
        <f t="shared" si="0"/>
        <v>10</v>
      </c>
    </row>
    <row r="10" spans="1:4" ht="30" customHeight="1">
      <c r="A10" s="155" t="s">
        <v>109</v>
      </c>
      <c r="B10" s="135">
        <f>IF(TRIM($B$2)="All",SUMPRODUCT(--(Lifting_Incidents[Date]&gt;=DATE(2025,1,1)),--(Lifting_Incidents[Date]&lt;$B$1),--(TRIM(SUBSTITUTE(Lifting_Incidents[Type of Lifting Failure],CHAR(160)," "))=A10)),SUMPRODUCT(--(Lifting_Incidents[Date]&gt;=DATE(2025,1,1)),--(Lifting_Incidents[Date]&lt;$B$1),--(TRIM(SUBSTITUTE(Lifting_Incidents[Type of Lifting Failure],CHAR(160)," "))=A10),--(TRIM(SUBSTITUTE(Lifting_Incidents[Region/District],CHAR(160)," "))=TRIM($B$2))))</f>
        <v>17</v>
      </c>
      <c r="C10" s="135">
        <f>IF(TRIM($B$2)="All",SUMPRODUCT(--(Lifting_Incidents[Date]&gt;=$B$1),--(Lifting_Incidents[Date]&lt;EDATE($B$1,1)),--(TRIM(SUBSTITUTE(Lifting_Incidents[Type of Lifting Failure],CHAR(160)," "))=A10)),SUMPRODUCT(--(Lifting_Incidents[Date]&gt;=$B$1),--(Lifting_Incidents[Date]&lt;EDATE($B$1,1)),--(TRIM(SUBSTITUTE(Lifting_Incidents[Type of Lifting Failure],CHAR(160)," "))=A10),--(TRIM(SUBSTITUTE(Lifting_Incidents[Region/District],CHAR(160)," "))=TRIM($B$2))))</f>
        <v>0</v>
      </c>
      <c r="D10" s="135">
        <f t="shared" si="0"/>
        <v>17</v>
      </c>
    </row>
    <row r="11" spans="1:4" ht="30" customHeight="1">
      <c r="A11" s="155" t="s">
        <v>668</v>
      </c>
      <c r="B11" s="135">
        <f>IF(TRIM($B$2)="All",SUMPRODUCT(--(Lifting_Incidents[Date]&gt;=DATE(2025,1,1)),--(Lifting_Incidents[Date]&lt;$B$1),--(TRIM(SUBSTITUTE(Lifting_Incidents[Type of Lifting Failure],CHAR(160)," "))=A11)),SUMPRODUCT(--(Lifting_Incidents[Date]&gt;=DATE(2025,1,1)),--(Lifting_Incidents[Date]&lt;$B$1),--(TRIM(SUBSTITUTE(Lifting_Incidents[Type of Lifting Failure],CHAR(160)," "))=A11),--(TRIM(SUBSTITUTE(Lifting_Incidents[Region/District],CHAR(160)," "))=TRIM($B$2))))</f>
        <v>6</v>
      </c>
      <c r="C11" s="135">
        <f>IF(TRIM($B$2)="All",SUMPRODUCT(--(Lifting_Incidents[Date]&gt;=$B$1),--(Lifting_Incidents[Date]&lt;EDATE($B$1,1)),--(TRIM(SUBSTITUTE(Lifting_Incidents[Type of Lifting Failure],CHAR(160)," "))=A11)),SUMPRODUCT(--(Lifting_Incidents[Date]&gt;=$B$1),--(Lifting_Incidents[Date]&lt;EDATE($B$1,1)),--(TRIM(SUBSTITUTE(Lifting_Incidents[Type of Lifting Failure],CHAR(160)," "))=A11),--(TRIM(SUBSTITUTE(Lifting_Incidents[Region/District],CHAR(160)," "))=TRIM($B$2))))</f>
        <v>0</v>
      </c>
      <c r="D11" s="135">
        <f t="shared" si="0"/>
        <v>6</v>
      </c>
    </row>
    <row r="12" spans="1:4" ht="30" customHeight="1">
      <c r="A12" s="155" t="s">
        <v>604</v>
      </c>
      <c r="B12" s="135">
        <f>IF(TRIM($B$2)="All",SUMPRODUCT(--(Lifting_Incidents[Date]&gt;=DATE(2025,1,1)),--(Lifting_Incidents[Date]&lt;$B$1),--(TRIM(SUBSTITUTE(Lifting_Incidents[Type of Lifting Failure],CHAR(160)," "))=A12)),SUMPRODUCT(--(Lifting_Incidents[Date]&gt;=DATE(2025,1,1)),--(Lifting_Incidents[Date]&lt;$B$1),--(TRIM(SUBSTITUTE(Lifting_Incidents[Type of Lifting Failure],CHAR(160)," "))=A12),--(TRIM(SUBSTITUTE(Lifting_Incidents[Region/District],CHAR(160)," "))=TRIM($B$2))))</f>
        <v>25</v>
      </c>
      <c r="C12" s="135">
        <f>IF(TRIM($B$2)="All",SUMPRODUCT(--(Lifting_Incidents[Date]&gt;=$B$1),--(Lifting_Incidents[Date]&lt;EDATE($B$1,1)),--(TRIM(SUBSTITUTE(Lifting_Incidents[Type of Lifting Failure],CHAR(160)," "))=A12)),SUMPRODUCT(--(Lifting_Incidents[Date]&gt;=$B$1),--(Lifting_Incidents[Date]&lt;EDATE($B$1,1)),--(TRIM(SUBSTITUTE(Lifting_Incidents[Type of Lifting Failure],CHAR(160)," "))=A12),--(TRIM(SUBSTITUTE(Lifting_Incidents[Region/District],CHAR(160)," "))=TRIM($B$2))))</f>
        <v>0</v>
      </c>
      <c r="D12" s="135">
        <f t="shared" si="0"/>
        <v>25</v>
      </c>
    </row>
    <row r="13" spans="1:4" ht="30" customHeight="1">
      <c r="A13" s="155" t="s">
        <v>1161</v>
      </c>
      <c r="B13" s="135">
        <f>IF(TRIM($B$2)="All",SUMPRODUCT(--(Lifting_Incidents[Date]&gt;=DATE(2025,1,1)),--(Lifting_Incidents[Date]&lt;$B$1),--(TRIM(SUBSTITUTE(Lifting_Incidents[Type of Lifting Failure],CHAR(160)," "))=A13)),SUMPRODUCT(--(Lifting_Incidents[Date]&gt;=DATE(2025,1,1)),--(Lifting_Incidents[Date]&lt;$B$1),--(TRIM(SUBSTITUTE(Lifting_Incidents[Type of Lifting Failure],CHAR(160)," "))=A13),--(TRIM(SUBSTITUTE(Lifting_Incidents[Region/District],CHAR(160)," "))=TRIM($B$2))))</f>
        <v>2</v>
      </c>
      <c r="C13" s="135">
        <f>IF(TRIM($B$2)="All",SUMPRODUCT(--(Lifting_Incidents[Date]&gt;=$B$1),--(Lifting_Incidents[Date]&lt;EDATE($B$1,1)),--(TRIM(SUBSTITUTE(Lifting_Incidents[Type of Lifting Failure],CHAR(160)," "))=A13)),SUMPRODUCT(--(Lifting_Incidents[Date]&gt;=$B$1),--(Lifting_Incidents[Date]&lt;EDATE($B$1,1)),--(TRIM(SUBSTITUTE(Lifting_Incidents[Type of Lifting Failure],CHAR(160)," "))=A13),--(TRIM(SUBSTITUTE(Lifting_Incidents[Region/District],CHAR(160)," "))=TRIM($B$2))))</f>
        <v>0</v>
      </c>
      <c r="D13" s="135">
        <f t="shared" si="0"/>
        <v>2</v>
      </c>
    </row>
    <row r="14" spans="1:4" ht="30" customHeight="1">
      <c r="A14" s="155" t="s">
        <v>91</v>
      </c>
      <c r="B14" s="135">
        <f>IF(TRIM($B$2)="All",SUMPRODUCT(--(Lifting_Incidents[Date]&gt;=DATE(2025,1,1)),--(Lifting_Incidents[Date]&lt;$B$1),--(TRIM(SUBSTITUTE(Lifting_Incidents[Type of Lifting Failure],CHAR(160)," "))=A14)),SUMPRODUCT(--(Lifting_Incidents[Date]&gt;=DATE(2025,1,1)),--(Lifting_Incidents[Date]&lt;$B$1),--(TRIM(SUBSTITUTE(Lifting_Incidents[Type of Lifting Failure],CHAR(160)," "))=A14),--(TRIM(SUBSTITUTE(Lifting_Incidents[Region/District],CHAR(160)," "))=TRIM($B$2))))</f>
        <v>45</v>
      </c>
      <c r="C14" s="135">
        <f>IF(TRIM($B$2)="All",SUMPRODUCT(--(Lifting_Incidents[Date]&gt;=$B$1),--(Lifting_Incidents[Date]&lt;EDATE($B$1,1)),--(TRIM(SUBSTITUTE(Lifting_Incidents[Type of Lifting Failure],CHAR(160)," "))=A14)),SUMPRODUCT(--(Lifting_Incidents[Date]&gt;=$B$1),--(Lifting_Incidents[Date]&lt;EDATE($B$1,1)),--(TRIM(SUBSTITUTE(Lifting_Incidents[Type of Lifting Failure],CHAR(160)," "))=A14),--(TRIM(SUBSTITUTE(Lifting_Incidents[Region/District],CHAR(160)," "))=TRIM($B$2))))</f>
        <v>0</v>
      </c>
      <c r="D14" s="135">
        <f t="shared" si="0"/>
        <v>45</v>
      </c>
    </row>
    <row r="15" spans="1:4" ht="30" customHeight="1">
      <c r="A15" s="155" t="s">
        <v>1644</v>
      </c>
      <c r="B15" s="135">
        <f>IF(TRIM($B$2)="All",SUMPRODUCT(--(Lifting_Incidents[Date]&gt;=DATE(2025,1,1)),--(Lifting_Incidents[Date]&lt;$B$1),--(TRIM(SUBSTITUTE(Lifting_Incidents[Type of Lifting Failure],CHAR(160)," "))=A15)),SUMPRODUCT(--(Lifting_Incidents[Date]&gt;=DATE(2025,1,1)),--(Lifting_Incidents[Date]&lt;$B$1),--(TRIM(SUBSTITUTE(Lifting_Incidents[Type of Lifting Failure],CHAR(160)," "))=A15),--(TRIM(SUBSTITUTE(Lifting_Incidents[Region/District],CHAR(160)," "))=TRIM($B$2))))</f>
        <v>4</v>
      </c>
      <c r="C15" s="135">
        <f>IF(TRIM($B$2)="All",SUMPRODUCT(--(Lifting_Incidents[Date]&gt;=$B$1),--(Lifting_Incidents[Date]&lt;EDATE($B$1,1)),--(TRIM(SUBSTITUTE(Lifting_Incidents[Type of Lifting Failure],CHAR(160)," "))=A15)),SUMPRODUCT(--(Lifting_Incidents[Date]&gt;=$B$1),--(Lifting_Incidents[Date]&lt;EDATE($B$1,1)),--(TRIM(SUBSTITUTE(Lifting_Incidents[Type of Lifting Failure],CHAR(160)," "))=A15),--(TRIM(SUBSTITUTE(Lifting_Incidents[Region/District],CHAR(160)," "))=TRIM($B$2))))</f>
        <v>0</v>
      </c>
      <c r="D15" s="135">
        <f t="shared" si="0"/>
        <v>4</v>
      </c>
    </row>
    <row r="16" spans="1:4" ht="30" customHeight="1">
      <c r="A16" s="155" t="s">
        <v>1046</v>
      </c>
      <c r="B16" s="135">
        <f>IF(TRIM($B$2)="All",SUMPRODUCT(--(Lifting_Incidents[Date]&gt;=DATE(2025,1,1)),--(Lifting_Incidents[Date]&lt;$B$1),--(TRIM(SUBSTITUTE(Lifting_Incidents[Type of Lifting Failure],CHAR(160)," "))=A16)),SUMPRODUCT(--(Lifting_Incidents[Date]&gt;=DATE(2025,1,1)),--(Lifting_Incidents[Date]&lt;$B$1),--(TRIM(SUBSTITUTE(Lifting_Incidents[Type of Lifting Failure],CHAR(160)," "))=A16),--(TRIM(SUBSTITUTE(Lifting_Incidents[Region/District],CHAR(160)," "))=TRIM($B$2))))</f>
        <v>4</v>
      </c>
      <c r="C16" s="135">
        <f>IF(TRIM($B$2)="All",SUMPRODUCT(--(Lifting_Incidents[Date]&gt;=$B$1),--(Lifting_Incidents[Date]&lt;EDATE($B$1,1)),--(TRIM(SUBSTITUTE(Lifting_Incidents[Type of Lifting Failure],CHAR(160)," "))=A16)),SUMPRODUCT(--(Lifting_Incidents[Date]&gt;=$B$1),--(Lifting_Incidents[Date]&lt;EDATE($B$1,1)),--(TRIM(SUBSTITUTE(Lifting_Incidents[Type of Lifting Failure],CHAR(160)," "))=A16),--(TRIM(SUBSTITUTE(Lifting_Incidents[Region/District],CHAR(160)," "))=TRIM($B$2))))</f>
        <v>0</v>
      </c>
      <c r="D16" s="135">
        <f t="shared" si="0"/>
        <v>4</v>
      </c>
    </row>
    <row r="17" spans="1:4" ht="30" customHeight="1">
      <c r="A17" s="155" t="s">
        <v>905</v>
      </c>
      <c r="B17" s="135">
        <f>IF(TRIM($B$2)="All",SUMPRODUCT(--(Lifting_Incidents[Date]&gt;=DATE(2025,1,1)),--(Lifting_Incidents[Date]&lt;$B$1),--(TRIM(SUBSTITUTE(Lifting_Incidents[Type of Lifting Failure],CHAR(160)," "))=A17)),SUMPRODUCT(--(Lifting_Incidents[Date]&gt;=DATE(2025,1,1)),--(Lifting_Incidents[Date]&lt;$B$1),--(TRIM(SUBSTITUTE(Lifting_Incidents[Type of Lifting Failure],CHAR(160)," "))=A17),--(TRIM(SUBSTITUTE(Lifting_Incidents[Region/District],CHAR(160)," "))=TRIM($B$2))))</f>
        <v>3</v>
      </c>
      <c r="C17" s="135">
        <f>IF(TRIM($B$2)="All",SUMPRODUCT(--(Lifting_Incidents[Date]&gt;=$B$1),--(Lifting_Incidents[Date]&lt;EDATE($B$1,1)),--(TRIM(SUBSTITUTE(Lifting_Incidents[Type of Lifting Failure],CHAR(160)," "))=A17)),SUMPRODUCT(--(Lifting_Incidents[Date]&gt;=$B$1),--(Lifting_Incidents[Date]&lt;EDATE($B$1,1)),--(TRIM(SUBSTITUTE(Lifting_Incidents[Type of Lifting Failure],CHAR(160)," "))=A17),--(TRIM(SUBSTITUTE(Lifting_Incidents[Region/District],CHAR(160)," "))=TRIM($B$2))))</f>
        <v>0</v>
      </c>
      <c r="D17" s="135">
        <f t="shared" si="0"/>
        <v>3</v>
      </c>
    </row>
    <row r="18" spans="1:4" ht="30" customHeight="1">
      <c r="A18" s="155" t="s">
        <v>1257</v>
      </c>
      <c r="B18" s="135">
        <f>IF(TRIM($B$2)="All",SUMPRODUCT(--(Lifting_Incidents[Date]&gt;=DATE(2025,1,1)),--(Lifting_Incidents[Date]&lt;$B$1),--(TRIM(SUBSTITUTE(Lifting_Incidents[Type of Lifting Failure],CHAR(160)," "))=A18)),SUMPRODUCT(--(Lifting_Incidents[Date]&gt;=DATE(2025,1,1)),--(Lifting_Incidents[Date]&lt;$B$1),--(TRIM(SUBSTITUTE(Lifting_Incidents[Type of Lifting Failure],CHAR(160)," "))=A18),--(TRIM(SUBSTITUTE(Lifting_Incidents[Region/District],CHAR(160)," "))=TRIM($B$2))))</f>
        <v>3</v>
      </c>
      <c r="C18" s="135">
        <f>IF(TRIM($B$2)="All",SUMPRODUCT(--(Lifting_Incidents[Date]&gt;=$B$1),--(Lifting_Incidents[Date]&lt;EDATE($B$1,1)),--(TRIM(SUBSTITUTE(Lifting_Incidents[Type of Lifting Failure],CHAR(160)," "))=A18)),SUMPRODUCT(--(Lifting_Incidents[Date]&gt;=$B$1),--(Lifting_Incidents[Date]&lt;EDATE($B$1,1)),--(TRIM(SUBSTITUTE(Lifting_Incidents[Type of Lifting Failure],CHAR(160)," "))=A18),--(TRIM(SUBSTITUTE(Lifting_Incidents[Region/District],CHAR(160)," "))=TRIM($B$2))))</f>
        <v>0</v>
      </c>
      <c r="D18" s="135">
        <f t="shared" si="0"/>
        <v>3</v>
      </c>
    </row>
    <row r="19" spans="1:4" ht="30" customHeight="1">
      <c r="A19" s="155" t="s">
        <v>482</v>
      </c>
      <c r="B19" s="135">
        <f>IF(TRIM($B$2)="All",SUMPRODUCT(--(Lifting_Incidents[Date]&gt;=DATE(2025,1,1)),--(Lifting_Incidents[Date]&lt;$B$1),--(TRIM(SUBSTITUTE(Lifting_Incidents[Type of Lifting Failure],CHAR(160)," "))=A19)),SUMPRODUCT(--(Lifting_Incidents[Date]&gt;=DATE(2025,1,1)),--(Lifting_Incidents[Date]&lt;$B$1),--(TRIM(SUBSTITUTE(Lifting_Incidents[Type of Lifting Failure],CHAR(160)," "))=A19),--(TRIM(SUBSTITUTE(Lifting_Incidents[Region/District],CHAR(160)," "))=TRIM($B$2))))</f>
        <v>8</v>
      </c>
      <c r="C19" s="135">
        <f>IF(TRIM($B$2)="All",SUMPRODUCT(--(Lifting_Incidents[Date]&gt;=$B$1),--(Lifting_Incidents[Date]&lt;EDATE($B$1,1)),--(TRIM(SUBSTITUTE(Lifting_Incidents[Type of Lifting Failure],CHAR(160)," "))=A19)),SUMPRODUCT(--(Lifting_Incidents[Date]&gt;=$B$1),--(Lifting_Incidents[Date]&lt;EDATE($B$1,1)),--(TRIM(SUBSTITUTE(Lifting_Incidents[Type of Lifting Failure],CHAR(160)," "))=A19),--(TRIM(SUBSTITUTE(Lifting_Incidents[Region/District],CHAR(160)," "))=TRIM($B$2))))</f>
        <v>1</v>
      </c>
      <c r="D19" s="135">
        <f t="shared" si="0"/>
        <v>9</v>
      </c>
    </row>
    <row r="20" spans="1:4" ht="30" customHeight="1">
      <c r="A20" s="155" t="s">
        <v>249</v>
      </c>
      <c r="B20" s="135">
        <f>IF(TRIM($B$2)="All",SUMPRODUCT(--(Lifting_Incidents[Date]&gt;=DATE(2025,1,1)),--(Lifting_Incidents[Date]&lt;$B$1),--(TRIM(SUBSTITUTE(Lifting_Incidents[Type of Lifting Failure],CHAR(160)," "))=A20)),SUMPRODUCT(--(Lifting_Incidents[Date]&gt;=DATE(2025,1,1)),--(Lifting_Incidents[Date]&lt;$B$1),--(TRIM(SUBSTITUTE(Lifting_Incidents[Type of Lifting Failure],CHAR(160)," "))=A20),--(TRIM(SUBSTITUTE(Lifting_Incidents[Region/District],CHAR(160)," "))=TRIM($B$2))))</f>
        <v>3</v>
      </c>
      <c r="C20" s="135">
        <f>IF(TRIM($B$2)="All",SUMPRODUCT(--(Lifting_Incidents[Date]&gt;=$B$1),--(Lifting_Incidents[Date]&lt;EDATE($B$1,1)),--(TRIM(SUBSTITUTE(Lifting_Incidents[Type of Lifting Failure],CHAR(160)," "))=A20)),SUMPRODUCT(--(Lifting_Incidents[Date]&gt;=$B$1),--(Lifting_Incidents[Date]&lt;EDATE($B$1,1)),--(TRIM(SUBSTITUTE(Lifting_Incidents[Type of Lifting Failure],CHAR(160)," "))=A20),--(TRIM(SUBSTITUTE(Lifting_Incidents[Region/District],CHAR(160)," "))=TRIM($B$2))))</f>
        <v>0</v>
      </c>
      <c r="D20" s="135">
        <f t="shared" si="0"/>
        <v>3</v>
      </c>
    </row>
    <row r="21" spans="1:4" ht="30" customHeight="1">
      <c r="A21" s="155" t="s">
        <v>350</v>
      </c>
      <c r="B21" s="135">
        <f>IF(TRIM($B$2)="All",SUMPRODUCT(--(Lifting_Incidents[Date]&gt;=DATE(2025,1,1)),--(Lifting_Incidents[Date]&lt;$B$1),--(TRIM(SUBSTITUTE(Lifting_Incidents[Type of Lifting Failure],CHAR(160)," "))=A21)),SUMPRODUCT(--(Lifting_Incidents[Date]&gt;=DATE(2025,1,1)),--(Lifting_Incidents[Date]&lt;$B$1),--(TRIM(SUBSTITUTE(Lifting_Incidents[Type of Lifting Failure],CHAR(160)," "))=A21),--(TRIM(SUBSTITUTE(Lifting_Incidents[Region/District],CHAR(160)," "))=TRIM($B$2))))</f>
        <v>47</v>
      </c>
      <c r="C21" s="135">
        <f>IF(TRIM($B$2)="All",SUMPRODUCT(--(Lifting_Incidents[Date]&gt;=$B$1),--(Lifting_Incidents[Date]&lt;EDATE($B$1,1)),--(TRIM(SUBSTITUTE(Lifting_Incidents[Type of Lifting Failure],CHAR(160)," "))=A21)),SUMPRODUCT(--(Lifting_Incidents[Date]&gt;=$B$1),--(Lifting_Incidents[Date]&lt;EDATE($B$1,1)),--(TRIM(SUBSTITUTE(Lifting_Incidents[Type of Lifting Failure],CHAR(160)," "))=A21),--(TRIM(SUBSTITUTE(Lifting_Incidents[Region/District],CHAR(160)," "))=TRIM($B$2))))</f>
        <v>1</v>
      </c>
      <c r="D21" s="135">
        <f t="shared" si="0"/>
        <v>48</v>
      </c>
    </row>
    <row r="22" spans="1:4" ht="30" customHeight="1">
      <c r="A22" s="155" t="s">
        <v>1110</v>
      </c>
      <c r="B22" s="135">
        <f>IF(TRIM($B$2)="All",SUMPRODUCT(--(Lifting_Incidents[Date]&gt;=DATE(2025,1,1)),--(Lifting_Incidents[Date]&lt;$B$1),--(TRIM(SUBSTITUTE(Lifting_Incidents[Type of Lifting Failure],CHAR(160)," "))=A22)),SUMPRODUCT(--(Lifting_Incidents[Date]&gt;=DATE(2025,1,1)),--(Lifting_Incidents[Date]&lt;$B$1),--(TRIM(SUBSTITUTE(Lifting_Incidents[Type of Lifting Failure],CHAR(160)," "))=A22),--(TRIM(SUBSTITUTE(Lifting_Incidents[Region/District],CHAR(160)," "))=TRIM($B$2))))</f>
        <v>5</v>
      </c>
      <c r="C22" s="135">
        <f>IF(TRIM($B$2)="All",SUMPRODUCT(--(Lifting_Incidents[Date]&gt;=$B$1),--(Lifting_Incidents[Date]&lt;EDATE($B$1,1)),--(TRIM(SUBSTITUTE(Lifting_Incidents[Type of Lifting Failure],CHAR(160)," "))=A22)),SUMPRODUCT(--(Lifting_Incidents[Date]&gt;=$B$1),--(Lifting_Incidents[Date]&lt;EDATE($B$1,1)),--(TRIM(SUBSTITUTE(Lifting_Incidents[Type of Lifting Failure],CHAR(160)," "))=A22),--(TRIM(SUBSTITUTE(Lifting_Incidents[Region/District],CHAR(160)," "))=TRIM($B$2))))</f>
        <v>0</v>
      </c>
      <c r="D22" s="135">
        <f t="shared" si="0"/>
        <v>5</v>
      </c>
    </row>
    <row r="23" spans="1:4" ht="30" customHeight="1">
      <c r="A23" s="155" t="s">
        <v>500</v>
      </c>
      <c r="B23" s="135">
        <f>IF(TRIM($B$2)="All",SUMPRODUCT(--(Lifting_Incidents[Date]&gt;=DATE(2025,1,1)),--(Lifting_Incidents[Date]&lt;$B$1),--(TRIM(SUBSTITUTE(Lifting_Incidents[Type of Lifting Failure],CHAR(160)," "))=A23)),SUMPRODUCT(--(Lifting_Incidents[Date]&gt;=DATE(2025,1,1)),--(Lifting_Incidents[Date]&lt;$B$1),--(TRIM(SUBSTITUTE(Lifting_Incidents[Type of Lifting Failure],CHAR(160)," "))=A23),--(TRIM(SUBSTITUTE(Lifting_Incidents[Region/District],CHAR(160)," "))=TRIM($B$2))))</f>
        <v>13</v>
      </c>
      <c r="C23" s="135">
        <f>IF(TRIM($B$2)="All",SUMPRODUCT(--(Lifting_Incidents[Date]&gt;=$B$1),--(Lifting_Incidents[Date]&lt;EDATE($B$1,1)),--(TRIM(SUBSTITUTE(Lifting_Incidents[Type of Lifting Failure],CHAR(160)," "))=A23)),SUMPRODUCT(--(Lifting_Incidents[Date]&gt;=$B$1),--(Lifting_Incidents[Date]&lt;EDATE($B$1,1)),--(TRIM(SUBSTITUTE(Lifting_Incidents[Type of Lifting Failure],CHAR(160)," "))=A23),--(TRIM(SUBSTITUTE(Lifting_Incidents[Region/District],CHAR(160)," "))=TRIM($B$2))))</f>
        <v>0</v>
      </c>
      <c r="D23" s="135">
        <f t="shared" si="0"/>
        <v>13</v>
      </c>
    </row>
    <row r="24" spans="1:4" ht="30" customHeight="1">
      <c r="A24" s="155" t="s">
        <v>775</v>
      </c>
      <c r="B24" s="135">
        <f>IF(TRIM($B$2)="All",SUMPRODUCT(--(Lifting_Incidents[Date]&gt;=DATE(2025,1,1)),--(Lifting_Incidents[Date]&lt;$B$1),--(TRIM(SUBSTITUTE(Lifting_Incidents[Type of Lifting Failure],CHAR(160)," "))=A24)),SUMPRODUCT(--(Lifting_Incidents[Date]&gt;=DATE(2025,1,1)),--(Lifting_Incidents[Date]&lt;$B$1),--(TRIM(SUBSTITUTE(Lifting_Incidents[Type of Lifting Failure],CHAR(160)," "))=A24),--(TRIM(SUBSTITUTE(Lifting_Incidents[Region/District],CHAR(160)," "))=TRIM($B$2))))</f>
        <v>6</v>
      </c>
      <c r="C24" s="135">
        <f>IF(TRIM($B$2)="All",SUMPRODUCT(--(Lifting_Incidents[Date]&gt;=$B$1),--(Lifting_Incidents[Date]&lt;EDATE($B$1,1)),--(TRIM(SUBSTITUTE(Lifting_Incidents[Type of Lifting Failure],CHAR(160)," "))=A24)),SUMPRODUCT(--(Lifting_Incidents[Date]&gt;=$B$1),--(Lifting_Incidents[Date]&lt;EDATE($B$1,1)),--(TRIM(SUBSTITUTE(Lifting_Incidents[Type of Lifting Failure],CHAR(160)," "))=A24),--(TRIM(SUBSTITUTE(Lifting_Incidents[Region/District],CHAR(160)," "))=TRIM($B$2))))</f>
        <v>0</v>
      </c>
      <c r="D24" s="135">
        <f t="shared" si="0"/>
        <v>6</v>
      </c>
    </row>
    <row r="25" spans="1:4" ht="30" customHeight="1">
      <c r="A25" s="155" t="s">
        <v>1381</v>
      </c>
      <c r="B25" s="135">
        <f>IF(TRIM($B$2)="All",SUMPRODUCT(--(Lifting_Incidents[Date]&gt;=DATE(2025,1,1)),--(Lifting_Incidents[Date]&lt;$B$1),--(TRIM(SUBSTITUTE(Lifting_Incidents[Type of Lifting Failure],CHAR(160)," "))=A25)),SUMPRODUCT(--(Lifting_Incidents[Date]&gt;=DATE(2025,1,1)),--(Lifting_Incidents[Date]&lt;$B$1),--(TRIM(SUBSTITUTE(Lifting_Incidents[Type of Lifting Failure],CHAR(160)," "))=A25),--(TRIM(SUBSTITUTE(Lifting_Incidents[Region/District],CHAR(160)," "))=TRIM($B$2))))</f>
        <v>1</v>
      </c>
      <c r="C25" s="135">
        <f>IF(TRIM($B$2)="All",SUMPRODUCT(--(Lifting_Incidents[Date]&gt;=$B$1),--(Lifting_Incidents[Date]&lt;EDATE($B$1,1)),--(TRIM(SUBSTITUTE(Lifting_Incidents[Type of Lifting Failure],CHAR(160)," "))=A25)),SUMPRODUCT(--(Lifting_Incidents[Date]&gt;=$B$1),--(Lifting_Incidents[Date]&lt;EDATE($B$1,1)),--(TRIM(SUBSTITUTE(Lifting_Incidents[Type of Lifting Failure],CHAR(160)," "))=A25),--(TRIM(SUBSTITUTE(Lifting_Incidents[Region/District],CHAR(160)," "))=TRIM($B$2))))</f>
        <v>0</v>
      </c>
      <c r="D25" s="135">
        <f t="shared" si="0"/>
        <v>1</v>
      </c>
    </row>
    <row r="26" spans="1:4" ht="30" customHeight="1">
      <c r="A26" s="155" t="s">
        <v>1335</v>
      </c>
      <c r="B26" s="135">
        <f>IF(TRIM($B$2)="All",SUMPRODUCT(--(Lifting_Incidents[Date]&gt;=DATE(2025,1,1)),--(Lifting_Incidents[Date]&lt;$B$1),--(TRIM(SUBSTITUTE(Lifting_Incidents[Type of Lifting Failure],CHAR(160)," "))=A26)),SUMPRODUCT(--(Lifting_Incidents[Date]&gt;=DATE(2025,1,1)),--(Lifting_Incidents[Date]&lt;$B$1),--(TRIM(SUBSTITUTE(Lifting_Incidents[Type of Lifting Failure],CHAR(160)," "))=A26),--(TRIM(SUBSTITUTE(Lifting_Incidents[Region/District],CHAR(160)," "))=TRIM($B$2))))</f>
        <v>4</v>
      </c>
      <c r="C26" s="135">
        <f>IF(TRIM($B$2)="All",SUMPRODUCT(--(Lifting_Incidents[Date]&gt;=$B$1),--(Lifting_Incidents[Date]&lt;EDATE($B$1,1)),--(TRIM(SUBSTITUTE(Lifting_Incidents[Type of Lifting Failure],CHAR(160)," "))=A26)),SUMPRODUCT(--(Lifting_Incidents[Date]&gt;=$B$1),--(Lifting_Incidents[Date]&lt;EDATE($B$1,1)),--(TRIM(SUBSTITUTE(Lifting_Incidents[Type of Lifting Failure],CHAR(160)," "))=A26),--(TRIM(SUBSTITUTE(Lifting_Incidents[Region/District],CHAR(160)," "))=TRIM($B$2))))</f>
        <v>0</v>
      </c>
      <c r="D26" s="135">
        <f t="shared" si="0"/>
        <v>4</v>
      </c>
    </row>
    <row r="27" spans="1:4" ht="30" customHeight="1">
      <c r="A27" s="155" t="s">
        <v>451</v>
      </c>
      <c r="B27" s="135">
        <f>IF(TRIM($B$2)="All",SUMPRODUCT(--(Lifting_Incidents[Date]&gt;=DATE(2025,1,1)),--(Lifting_Incidents[Date]&lt;$B$1),--(TRIM(SUBSTITUTE(Lifting_Incidents[Type of Lifting Failure],CHAR(160)," "))=A27)),SUMPRODUCT(--(Lifting_Incidents[Date]&gt;=DATE(2025,1,1)),--(Lifting_Incidents[Date]&lt;$B$1),--(TRIM(SUBSTITUTE(Lifting_Incidents[Type of Lifting Failure],CHAR(160)," "))=A27),--(TRIM(SUBSTITUTE(Lifting_Incidents[Region/District],CHAR(160)," "))=TRIM($B$2))))</f>
        <v>52</v>
      </c>
      <c r="C27" s="135">
        <f>IF(TRIM($B$2)="All",SUMPRODUCT(--(Lifting_Incidents[Date]&gt;=$B$1),--(Lifting_Incidents[Date]&lt;EDATE($B$1,1)),--(TRIM(SUBSTITUTE(Lifting_Incidents[Type of Lifting Failure],CHAR(160)," "))=A27)),SUMPRODUCT(--(Lifting_Incidents[Date]&gt;=$B$1),--(Lifting_Incidents[Date]&lt;EDATE($B$1,1)),--(TRIM(SUBSTITUTE(Lifting_Incidents[Type of Lifting Failure],CHAR(160)," "))=A27),--(TRIM(SUBSTITUTE(Lifting_Incidents[Region/District],CHAR(160)," "))=TRIM($B$2))))</f>
        <v>0</v>
      </c>
      <c r="D27" s="135">
        <f t="shared" si="0"/>
        <v>52</v>
      </c>
    </row>
    <row r="28" spans="1:4" ht="30" customHeight="1">
      <c r="A28" s="155" t="s">
        <v>702</v>
      </c>
      <c r="B28" s="135">
        <f>IF(TRIM($B$2)="All",SUMPRODUCT(--(Lifting_Incidents[Date]&gt;=DATE(2025,1,1)),--(Lifting_Incidents[Date]&lt;$B$1),--(TRIM(SUBSTITUTE(Lifting_Incidents[Type of Lifting Failure],CHAR(160)," "))=A28)),SUMPRODUCT(--(Lifting_Incidents[Date]&gt;=DATE(2025,1,1)),--(Lifting_Incidents[Date]&lt;$B$1),--(TRIM(SUBSTITUTE(Lifting_Incidents[Type of Lifting Failure],CHAR(160)," "))=A28),--(TRIM(SUBSTITUTE(Lifting_Incidents[Region/District],CHAR(160)," "))=TRIM($B$2))))</f>
        <v>5</v>
      </c>
      <c r="C28" s="135">
        <f>IF(TRIM($B$2)="All",SUMPRODUCT(--(Lifting_Incidents[Date]&gt;=$B$1),--(Lifting_Incidents[Date]&lt;EDATE($B$1,1)),--(TRIM(SUBSTITUTE(Lifting_Incidents[Type of Lifting Failure],CHAR(160)," "))=A28)),SUMPRODUCT(--(Lifting_Incidents[Date]&gt;=$B$1),--(Lifting_Incidents[Date]&lt;EDATE($B$1,1)),--(TRIM(SUBSTITUTE(Lifting_Incidents[Type of Lifting Failure],CHAR(160)," "))=A28),--(TRIM(SUBSTITUTE(Lifting_Incidents[Region/District],CHAR(160)," "))=TRIM($B$2))))</f>
        <v>0</v>
      </c>
      <c r="D28" s="135">
        <f t="shared" si="0"/>
        <v>5</v>
      </c>
    </row>
    <row r="29" spans="1:4" ht="30" customHeight="1">
      <c r="A29" s="155" t="s">
        <v>896</v>
      </c>
      <c r="B29" s="135">
        <f>IF(TRIM($B$2)="All",SUMPRODUCT(--(Lifting_Incidents[Date]&gt;=DATE(2025,1,1)),--(Lifting_Incidents[Date]&lt;$B$1),--(TRIM(SUBSTITUTE(Lifting_Incidents[Type of Lifting Failure],CHAR(160)," "))=A29)),SUMPRODUCT(--(Lifting_Incidents[Date]&gt;=DATE(2025,1,1)),--(Lifting_Incidents[Date]&lt;$B$1),--(TRIM(SUBSTITUTE(Lifting_Incidents[Type of Lifting Failure],CHAR(160)," "))=A29),--(TRIM(SUBSTITUTE(Lifting_Incidents[Region/District],CHAR(160)," "))=TRIM($B$2))))</f>
        <v>5</v>
      </c>
      <c r="C29" s="135">
        <f>IF(TRIM($B$2)="All",SUMPRODUCT(--(Lifting_Incidents[Date]&gt;=$B$1),--(Lifting_Incidents[Date]&lt;EDATE($B$1,1)),--(TRIM(SUBSTITUTE(Lifting_Incidents[Type of Lifting Failure],CHAR(160)," "))=A29)),SUMPRODUCT(--(Lifting_Incidents[Date]&gt;=$B$1),--(Lifting_Incidents[Date]&lt;EDATE($B$1,1)),--(TRIM(SUBSTITUTE(Lifting_Incidents[Type of Lifting Failure],CHAR(160)," "))=A29),--(TRIM(SUBSTITUTE(Lifting_Incidents[Region/District],CHAR(160)," "))=TRIM($B$2))))</f>
        <v>0</v>
      </c>
      <c r="D29" s="135">
        <f t="shared" si="0"/>
        <v>5</v>
      </c>
    </row>
    <row r="30" spans="1:4" ht="30" customHeight="1">
      <c r="A30" s="155" t="s">
        <v>1645</v>
      </c>
      <c r="B30" s="135">
        <f>IF(TRIM($B$2)="All",SUMPRODUCT(--(Lifting_Incidents[Date]&gt;=DATE(2025,1,1)),--(Lifting_Incidents[Date]&lt;$B$1),--(TRIM(SUBSTITUTE(Lifting_Incidents[Type of Lifting Failure],CHAR(160)," "))=A30)),SUMPRODUCT(--(Lifting_Incidents[Date]&gt;=DATE(2025,1,1)),--(Lifting_Incidents[Date]&lt;$B$1),--(TRIM(SUBSTITUTE(Lifting_Incidents[Type of Lifting Failure],CHAR(160)," "))=A30),--(TRIM(SUBSTITUTE(Lifting_Incidents[Region/District],CHAR(160)," "))=TRIM($B$2))))</f>
        <v>3</v>
      </c>
      <c r="C30" s="135">
        <f>IF(TRIM($B$2)="All",SUMPRODUCT(--(Lifting_Incidents[Date]&gt;=$B$1),--(Lifting_Incidents[Date]&lt;EDATE($B$1,1)),--(TRIM(SUBSTITUTE(Lifting_Incidents[Type of Lifting Failure],CHAR(160)," "))=A30)),SUMPRODUCT(--(Lifting_Incidents[Date]&gt;=$B$1),--(Lifting_Incidents[Date]&lt;EDATE($B$1,1)),--(TRIM(SUBSTITUTE(Lifting_Incidents[Type of Lifting Failure],CHAR(160)," "))=A30),--(TRIM(SUBSTITUTE(Lifting_Incidents[Region/District],CHAR(160)," "))=TRIM($B$2))))</f>
        <v>0</v>
      </c>
      <c r="D30" s="135">
        <f t="shared" si="0"/>
        <v>3</v>
      </c>
    </row>
    <row r="31" spans="1:4" ht="30" customHeight="1">
      <c r="A31" s="155" t="s">
        <v>1646</v>
      </c>
      <c r="B31" s="135">
        <f>IF(TRIM($B$2)="All",SUMPRODUCT(--(Lifting_Incidents[Date]&gt;=DATE(2025,1,1)),--(Lifting_Incidents[Date]&lt;$B$1),--(TRIM(SUBSTITUTE(Lifting_Incidents[Type of Lifting Failure],CHAR(160)," "))=A31)),SUMPRODUCT(--(Lifting_Incidents[Date]&gt;=DATE(2025,1,1)),--(Lifting_Incidents[Date]&lt;$B$1),--(TRIM(SUBSTITUTE(Lifting_Incidents[Type of Lifting Failure],CHAR(160)," "))=A31),--(TRIM(SUBSTITUTE(Lifting_Incidents[Region/District],CHAR(160)," "))=TRIM($B$2))))</f>
        <v>2</v>
      </c>
      <c r="C31" s="135">
        <f>IF(TRIM($B$2)="All",SUMPRODUCT(--(Lifting_Incidents[Date]&gt;=$B$1),--(Lifting_Incidents[Date]&lt;EDATE($B$1,1)),--(TRIM(SUBSTITUTE(Lifting_Incidents[Type of Lifting Failure],CHAR(160)," "))=A31)),SUMPRODUCT(--(Lifting_Incidents[Date]&gt;=$B$1),--(Lifting_Incidents[Date]&lt;EDATE($B$1,1)),--(TRIM(SUBSTITUTE(Lifting_Incidents[Type of Lifting Failure],CHAR(160)," "))=A31),--(TRIM(SUBSTITUTE(Lifting_Incidents[Region/District],CHAR(160)," "))=TRIM($B$2))))</f>
        <v>0</v>
      </c>
      <c r="D31" s="135">
        <f t="shared" si="0"/>
        <v>2</v>
      </c>
    </row>
    <row r="32" spans="1:4" ht="30" customHeight="1">
      <c r="A32" s="155" t="s">
        <v>1325</v>
      </c>
      <c r="B32" s="135">
        <f>IF(TRIM($B$2)="All",SUMPRODUCT(--(Lifting_Incidents[Date]&gt;=DATE(2025,1,1)),--(Lifting_Incidents[Date]&lt;$B$1),--(TRIM(SUBSTITUTE(Lifting_Incidents[Type of Lifting Failure],CHAR(160)," "))=A32)),SUMPRODUCT(--(Lifting_Incidents[Date]&gt;=DATE(2025,1,1)),--(Lifting_Incidents[Date]&lt;$B$1),--(TRIM(SUBSTITUTE(Lifting_Incidents[Type of Lifting Failure],CHAR(160)," "))=A32),--(TRIM(SUBSTITUTE(Lifting_Incidents[Region/District],CHAR(160)," "))=TRIM($B$2))))</f>
        <v>2</v>
      </c>
      <c r="C32" s="135">
        <f>IF(TRIM($B$2)="All",SUMPRODUCT(--(Lifting_Incidents[Date]&gt;=$B$1),--(Lifting_Incidents[Date]&lt;EDATE($B$1,1)),--(TRIM(SUBSTITUTE(Lifting_Incidents[Type of Lifting Failure],CHAR(160)," "))=A32)),SUMPRODUCT(--(Lifting_Incidents[Date]&gt;=$B$1),--(Lifting_Incidents[Date]&lt;EDATE($B$1,1)),--(TRIM(SUBSTITUTE(Lifting_Incidents[Type of Lifting Failure],CHAR(160)," "))=A32),--(TRIM(SUBSTITUTE(Lifting_Incidents[Region/District],CHAR(160)," "))=TRIM($B$2))))</f>
        <v>0</v>
      </c>
      <c r="D32" s="135">
        <f t="shared" si="0"/>
        <v>2</v>
      </c>
    </row>
    <row r="33" spans="1:4" ht="30" customHeight="1">
      <c r="A33" s="155" t="s">
        <v>1113</v>
      </c>
      <c r="B33" s="135">
        <f>IF(TRIM($B$2)="All",SUMPRODUCT(--(Lifting_Incidents[Date]&gt;=DATE(2025,1,1)),--(Lifting_Incidents[Date]&lt;$B$1),--(TRIM(SUBSTITUTE(Lifting_Incidents[Type of Lifting Failure],CHAR(160)," "))=A33)),SUMPRODUCT(--(Lifting_Incidents[Date]&gt;=DATE(2025,1,1)),--(Lifting_Incidents[Date]&lt;$B$1),--(TRIM(SUBSTITUTE(Lifting_Incidents[Type of Lifting Failure],CHAR(160)," "))=A33),--(TRIM(SUBSTITUTE(Lifting_Incidents[Region/District],CHAR(160)," "))=TRIM($B$2))))</f>
        <v>4</v>
      </c>
      <c r="C33" s="135">
        <f>IF(TRIM($B$2)="All",SUMPRODUCT(--(Lifting_Incidents[Date]&gt;=$B$1),--(Lifting_Incidents[Date]&lt;EDATE($B$1,1)),--(TRIM(SUBSTITUTE(Lifting_Incidents[Type of Lifting Failure],CHAR(160)," "))=A33)),SUMPRODUCT(--(Lifting_Incidents[Date]&gt;=$B$1),--(Lifting_Incidents[Date]&lt;EDATE($B$1,1)),--(TRIM(SUBSTITUTE(Lifting_Incidents[Type of Lifting Failure],CHAR(160)," "))=A33),--(TRIM(SUBSTITUTE(Lifting_Incidents[Region/District],CHAR(160)," "))=TRIM($B$2))))</f>
        <v>0</v>
      </c>
      <c r="D33" s="135">
        <f t="shared" si="0"/>
        <v>4</v>
      </c>
    </row>
    <row r="34" spans="1:4" ht="30" customHeight="1">
      <c r="A34" s="155" t="s">
        <v>508</v>
      </c>
      <c r="B34" s="135">
        <f>IF(TRIM($B$2)="All",SUMPRODUCT(--(Lifting_Incidents[Date]&gt;=DATE(2025,1,1)),--(Lifting_Incidents[Date]&lt;$B$1),--(TRIM(SUBSTITUTE(Lifting_Incidents[Type of Lifting Failure],CHAR(160)," "))=A34)),SUMPRODUCT(--(Lifting_Incidents[Date]&gt;=DATE(2025,1,1)),--(Lifting_Incidents[Date]&lt;$B$1),--(TRIM(SUBSTITUTE(Lifting_Incidents[Type of Lifting Failure],CHAR(160)," "))=A34),--(TRIM(SUBSTITUTE(Lifting_Incidents[Region/District],CHAR(160)," "))=TRIM($B$2))))</f>
        <v>7</v>
      </c>
      <c r="C34" s="135">
        <f>IF(TRIM($B$2)="All",SUMPRODUCT(--(Lifting_Incidents[Date]&gt;=$B$1),--(Lifting_Incidents[Date]&lt;EDATE($B$1,1)),--(TRIM(SUBSTITUTE(Lifting_Incidents[Type of Lifting Failure],CHAR(160)," "))=A34)),SUMPRODUCT(--(Lifting_Incidents[Date]&gt;=$B$1),--(Lifting_Incidents[Date]&lt;EDATE($B$1,1)),--(TRIM(SUBSTITUTE(Lifting_Incidents[Type of Lifting Failure],CHAR(160)," "))=A34),--(TRIM(SUBSTITUTE(Lifting_Incidents[Region/District],CHAR(160)," "))=TRIM($B$2))))</f>
        <v>0</v>
      </c>
      <c r="D34" s="135">
        <f t="shared" si="0"/>
        <v>7</v>
      </c>
    </row>
    <row r="35" spans="1:4" ht="30" customHeight="1">
      <c r="A35" s="155" t="s">
        <v>1075</v>
      </c>
      <c r="B35" s="135">
        <f>IF(TRIM($B$2)="All",SUMPRODUCT(--(Lifting_Incidents[Date]&gt;=DATE(2025,1,1)),--(Lifting_Incidents[Date]&lt;$B$1),--(TRIM(SUBSTITUTE(Lifting_Incidents[Type of Lifting Failure],CHAR(160)," "))=A35)),SUMPRODUCT(--(Lifting_Incidents[Date]&gt;=DATE(2025,1,1)),--(Lifting_Incidents[Date]&lt;$B$1),--(TRIM(SUBSTITUTE(Lifting_Incidents[Type of Lifting Failure],CHAR(160)," "))=A35),--(TRIM(SUBSTITUTE(Lifting_Incidents[Region/District],CHAR(160)," "))=TRIM($B$2))))</f>
        <v>6</v>
      </c>
      <c r="C35" s="135">
        <f>IF(TRIM($B$2)="All",SUMPRODUCT(--(Lifting_Incidents[Date]&gt;=$B$1),--(Lifting_Incidents[Date]&lt;EDATE($B$1,1)),--(TRIM(SUBSTITUTE(Lifting_Incidents[Type of Lifting Failure],CHAR(160)," "))=A35)),SUMPRODUCT(--(Lifting_Incidents[Date]&gt;=$B$1),--(Lifting_Incidents[Date]&lt;EDATE($B$1,1)),--(TRIM(SUBSTITUTE(Lifting_Incidents[Type of Lifting Failure],CHAR(160)," "))=A35),--(TRIM(SUBSTITUTE(Lifting_Incidents[Region/District],CHAR(160)," "))=TRIM($B$2))))</f>
        <v>0</v>
      </c>
      <c r="D35" s="135">
        <f t="shared" si="0"/>
        <v>6</v>
      </c>
    </row>
    <row r="36" spans="1:4" ht="30" customHeight="1">
      <c r="A36" s="155" t="s">
        <v>543</v>
      </c>
      <c r="B36" s="135">
        <f>IF(TRIM($B$2)="All",SUMPRODUCT(--(Lifting_Incidents[Date]&gt;=DATE(2025,1,1)),--(Lifting_Incidents[Date]&lt;$B$1),--(TRIM(SUBSTITUTE(Lifting_Incidents[Type of Lifting Failure],CHAR(160)," "))=A36)),SUMPRODUCT(--(Lifting_Incidents[Date]&gt;=DATE(2025,1,1)),--(Lifting_Incidents[Date]&lt;$B$1),--(TRIM(SUBSTITUTE(Lifting_Incidents[Type of Lifting Failure],CHAR(160)," "))=A36),--(TRIM(SUBSTITUTE(Lifting_Incidents[Region/District],CHAR(160)," "))=TRIM($B$2))))</f>
        <v>8</v>
      </c>
      <c r="C36" s="135">
        <f>IF(TRIM($B$2)="All",SUMPRODUCT(--(Lifting_Incidents[Date]&gt;=$B$1),--(Lifting_Incidents[Date]&lt;EDATE($B$1,1)),--(TRIM(SUBSTITUTE(Lifting_Incidents[Type of Lifting Failure],CHAR(160)," "))=A36)),SUMPRODUCT(--(Lifting_Incidents[Date]&gt;=$B$1),--(Lifting_Incidents[Date]&lt;EDATE($B$1,1)),--(TRIM(SUBSTITUTE(Lifting_Incidents[Type of Lifting Failure],CHAR(160)," "))=A36),--(TRIM(SUBSTITUTE(Lifting_Incidents[Region/District],CHAR(160)," "))=TRIM($B$2))))</f>
        <v>0</v>
      </c>
      <c r="D36" s="135">
        <f t="shared" si="0"/>
        <v>8</v>
      </c>
    </row>
    <row r="37" spans="1:4" ht="30" customHeight="1">
      <c r="A37" s="155" t="s">
        <v>855</v>
      </c>
      <c r="B37" s="135">
        <f>IF(TRIM($B$2)="All",SUMPRODUCT(--(Lifting_Incidents[Date]&gt;=DATE(2025,1,1)),--(Lifting_Incidents[Date]&lt;$B$1),--(TRIM(SUBSTITUTE(Lifting_Incidents[Type of Lifting Failure],CHAR(160)," "))=A37)),SUMPRODUCT(--(Lifting_Incidents[Date]&gt;=DATE(2025,1,1)),--(Lifting_Incidents[Date]&lt;$B$1),--(TRIM(SUBSTITUTE(Lifting_Incidents[Type of Lifting Failure],CHAR(160)," "))=A37),--(TRIM(SUBSTITUTE(Lifting_Incidents[Region/District],CHAR(160)," "))=TRIM($B$2))))</f>
        <v>2</v>
      </c>
      <c r="C37" s="135">
        <f>IF(TRIM($B$2)="All",SUMPRODUCT(--(Lifting_Incidents[Date]&gt;=$B$1),--(Lifting_Incidents[Date]&lt;EDATE($B$1,1)),--(TRIM(SUBSTITUTE(Lifting_Incidents[Type of Lifting Failure],CHAR(160)," "))=A37)),SUMPRODUCT(--(Lifting_Incidents[Date]&gt;=$B$1),--(Lifting_Incidents[Date]&lt;EDATE($B$1,1)),--(TRIM(SUBSTITUTE(Lifting_Incidents[Type of Lifting Failure],CHAR(160)," "))=A37),--(TRIM(SUBSTITUTE(Lifting_Incidents[Region/District],CHAR(160)," "))=TRIM($B$2))))</f>
        <v>0</v>
      </c>
      <c r="D37" s="135">
        <f t="shared" si="0"/>
        <v>2</v>
      </c>
    </row>
    <row r="38" spans="1:4" ht="30" customHeight="1">
      <c r="A38" s="155" t="s">
        <v>153</v>
      </c>
      <c r="B38" s="135">
        <f>IF(TRIM($B$2)="All",SUMPRODUCT(--(Lifting_Incidents[Date]&gt;=DATE(2025,1,1)),--(Lifting_Incidents[Date]&lt;$B$1),--(TRIM(SUBSTITUTE(Lifting_Incidents[Type of Lifting Failure],CHAR(160)," "))=A38)),SUMPRODUCT(--(Lifting_Incidents[Date]&gt;=DATE(2025,1,1)),--(Lifting_Incidents[Date]&lt;$B$1),--(TRIM(SUBSTITUTE(Lifting_Incidents[Type of Lifting Failure],CHAR(160)," "))=A38),--(TRIM(SUBSTITUTE(Lifting_Incidents[Region/District],CHAR(160)," "))=TRIM($B$2))))</f>
        <v>24</v>
      </c>
      <c r="C38" s="135">
        <f>IF(TRIM($B$2)="All",SUMPRODUCT(--(Lifting_Incidents[Date]&gt;=$B$1),--(Lifting_Incidents[Date]&lt;EDATE($B$1,1)),--(TRIM(SUBSTITUTE(Lifting_Incidents[Type of Lifting Failure],CHAR(160)," "))=A38)),SUMPRODUCT(--(Lifting_Incidents[Date]&gt;=$B$1),--(Lifting_Incidents[Date]&lt;EDATE($B$1,1)),--(TRIM(SUBSTITUTE(Lifting_Incidents[Type of Lifting Failure],CHAR(160)," "))=A38),--(TRIM(SUBSTITUTE(Lifting_Incidents[Region/District],CHAR(160)," "))=TRIM($B$2))))</f>
        <v>0</v>
      </c>
      <c r="D38" s="135">
        <f t="shared" ref="D38:D64" si="1">SUM(B38:C38)</f>
        <v>24</v>
      </c>
    </row>
    <row r="39" spans="1:4" ht="30" customHeight="1">
      <c r="A39" s="155" t="s">
        <v>161</v>
      </c>
      <c r="B39" s="135">
        <f>IF(TRIM($B$2)="All",SUMPRODUCT(--(Lifting_Incidents[Date]&gt;=DATE(2025,1,1)),--(Lifting_Incidents[Date]&lt;$B$1),--(TRIM(SUBSTITUTE(Lifting_Incidents[Type of Lifting Failure],CHAR(160)," "))=A39)),SUMPRODUCT(--(Lifting_Incidents[Date]&gt;=DATE(2025,1,1)),--(Lifting_Incidents[Date]&lt;$B$1),--(TRIM(SUBSTITUTE(Lifting_Incidents[Type of Lifting Failure],CHAR(160)," "))=A39),--(TRIM(SUBSTITUTE(Lifting_Incidents[Region/District],CHAR(160)," "))=TRIM($B$2))))</f>
        <v>16</v>
      </c>
      <c r="C39" s="135">
        <f>IF(TRIM($B$2)="All",SUMPRODUCT(--(Lifting_Incidents[Date]&gt;=$B$1),--(Lifting_Incidents[Date]&lt;EDATE($B$1,1)),--(TRIM(SUBSTITUTE(Lifting_Incidents[Type of Lifting Failure],CHAR(160)," "))=A39)),SUMPRODUCT(--(Lifting_Incidents[Date]&gt;=$B$1),--(Lifting_Incidents[Date]&lt;EDATE($B$1,1)),--(TRIM(SUBSTITUTE(Lifting_Incidents[Type of Lifting Failure],CHAR(160)," "))=A39),--(TRIM(SUBSTITUTE(Lifting_Incidents[Region/District],CHAR(160)," "))=TRIM($B$2))))</f>
        <v>1</v>
      </c>
      <c r="D39" s="135">
        <f t="shared" si="1"/>
        <v>17</v>
      </c>
    </row>
    <row r="40" spans="1:4" ht="30" customHeight="1">
      <c r="A40" s="155" t="s">
        <v>497</v>
      </c>
      <c r="B40" s="135">
        <f>IF(TRIM($B$2)="All",SUMPRODUCT(--(Lifting_Incidents[Date]&gt;=DATE(2025,1,1)),--(Lifting_Incidents[Date]&lt;$B$1),--(TRIM(SUBSTITUTE(Lifting_Incidents[Type of Lifting Failure],CHAR(160)," "))=A40)),SUMPRODUCT(--(Lifting_Incidents[Date]&gt;=DATE(2025,1,1)),--(Lifting_Incidents[Date]&lt;$B$1),--(TRIM(SUBSTITUTE(Lifting_Incidents[Type of Lifting Failure],CHAR(160)," "))=A40),--(TRIM(SUBSTITUTE(Lifting_Incidents[Region/District],CHAR(160)," "))=TRIM($B$2))))</f>
        <v>5</v>
      </c>
      <c r="C40" s="135">
        <f>IF(TRIM($B$2)="All",SUMPRODUCT(--(Lifting_Incidents[Date]&gt;=$B$1),--(Lifting_Incidents[Date]&lt;EDATE($B$1,1)),--(TRIM(SUBSTITUTE(Lifting_Incidents[Type of Lifting Failure],CHAR(160)," "))=A40)),SUMPRODUCT(--(Lifting_Incidents[Date]&gt;=$B$1),--(Lifting_Incidents[Date]&lt;EDATE($B$1,1)),--(TRIM(SUBSTITUTE(Lifting_Incidents[Type of Lifting Failure],CHAR(160)," "))=A40),--(TRIM(SUBSTITUTE(Lifting_Incidents[Region/District],CHAR(160)," "))=TRIM($B$2))))</f>
        <v>0</v>
      </c>
      <c r="D40" s="135">
        <f t="shared" si="1"/>
        <v>5</v>
      </c>
    </row>
    <row r="41" spans="1:4" ht="30" customHeight="1">
      <c r="A41" s="155" t="s">
        <v>100</v>
      </c>
      <c r="B41" s="135">
        <f>IF(TRIM($B$2)="All",SUMPRODUCT(--(Lifting_Incidents[Date]&gt;=DATE(2025,1,1)),--(Lifting_Incidents[Date]&lt;$B$1),--(TRIM(SUBSTITUTE(Lifting_Incidents[Type of Lifting Failure],CHAR(160)," "))=A41)),SUMPRODUCT(--(Lifting_Incidents[Date]&gt;=DATE(2025,1,1)),--(Lifting_Incidents[Date]&lt;$B$1),--(TRIM(SUBSTITUTE(Lifting_Incidents[Type of Lifting Failure],CHAR(160)," "))=A41),--(TRIM(SUBSTITUTE(Lifting_Incidents[Region/District],CHAR(160)," "))=TRIM($B$2))))</f>
        <v>95</v>
      </c>
      <c r="C41" s="135">
        <f>IF(TRIM($B$2)="All",SUMPRODUCT(--(Lifting_Incidents[Date]&gt;=$B$1),--(Lifting_Incidents[Date]&lt;EDATE($B$1,1)),--(TRIM(SUBSTITUTE(Lifting_Incidents[Type of Lifting Failure],CHAR(160)," "))=A41)),SUMPRODUCT(--(Lifting_Incidents[Date]&gt;=$B$1),--(Lifting_Incidents[Date]&lt;EDATE($B$1,1)),--(TRIM(SUBSTITUTE(Lifting_Incidents[Type of Lifting Failure],CHAR(160)," "))=A41),--(TRIM(SUBSTITUTE(Lifting_Incidents[Region/District],CHAR(160)," "))=TRIM($B$2))))</f>
        <v>6</v>
      </c>
      <c r="D41" s="135">
        <f t="shared" si="1"/>
        <v>101</v>
      </c>
    </row>
    <row r="42" spans="1:4" ht="30" customHeight="1">
      <c r="A42" s="155" t="s">
        <v>472</v>
      </c>
      <c r="B42" s="135">
        <f>IF(TRIM($B$2)="All",SUMPRODUCT(--(Lifting_Incidents[Date]&gt;=DATE(2025,1,1)),--(Lifting_Incidents[Date]&lt;$B$1),--(TRIM(SUBSTITUTE(Lifting_Incidents[Type of Lifting Failure],CHAR(160)," "))=A42)),SUMPRODUCT(--(Lifting_Incidents[Date]&gt;=DATE(2025,1,1)),--(Lifting_Incidents[Date]&lt;$B$1),--(TRIM(SUBSTITUTE(Lifting_Incidents[Type of Lifting Failure],CHAR(160)," "))=A42),--(TRIM(SUBSTITUTE(Lifting_Incidents[Region/District],CHAR(160)," "))=TRIM($B$2))))</f>
        <v>13</v>
      </c>
      <c r="C42" s="135">
        <f>IF(TRIM($B$2)="All",SUMPRODUCT(--(Lifting_Incidents[Date]&gt;=$B$1),--(Lifting_Incidents[Date]&lt;EDATE($B$1,1)),--(TRIM(SUBSTITUTE(Lifting_Incidents[Type of Lifting Failure],CHAR(160)," "))=A42)),SUMPRODUCT(--(Lifting_Incidents[Date]&gt;=$B$1),--(Lifting_Incidents[Date]&lt;EDATE($B$1,1)),--(TRIM(SUBSTITUTE(Lifting_Incidents[Type of Lifting Failure],CHAR(160)," "))=A42),--(TRIM(SUBSTITUTE(Lifting_Incidents[Region/District],CHAR(160)," "))=TRIM($B$2))))</f>
        <v>3</v>
      </c>
      <c r="D42" s="135">
        <f t="shared" si="1"/>
        <v>16</v>
      </c>
    </row>
    <row r="43" spans="1:4" ht="30" customHeight="1">
      <c r="A43" s="155" t="s">
        <v>372</v>
      </c>
      <c r="B43" s="135">
        <f>IF(TRIM($B$2)="All",SUMPRODUCT(--(Lifting_Incidents[Date]&gt;=DATE(2025,1,1)),--(Lifting_Incidents[Date]&lt;$B$1),--(TRIM(SUBSTITUTE(Lifting_Incidents[Type of Lifting Failure],CHAR(160)," "))=A43)),SUMPRODUCT(--(Lifting_Incidents[Date]&gt;=DATE(2025,1,1)),--(Lifting_Incidents[Date]&lt;$B$1),--(TRIM(SUBSTITUTE(Lifting_Incidents[Type of Lifting Failure],CHAR(160)," "))=A43),--(TRIM(SUBSTITUTE(Lifting_Incidents[Region/District],CHAR(160)," "))=TRIM($B$2))))</f>
        <v>9</v>
      </c>
      <c r="C43" s="135">
        <f>IF(TRIM($B$2)="All",SUMPRODUCT(--(Lifting_Incidents[Date]&gt;=$B$1),--(Lifting_Incidents[Date]&lt;EDATE($B$1,1)),--(TRIM(SUBSTITUTE(Lifting_Incidents[Type of Lifting Failure],CHAR(160)," "))=A43)),SUMPRODUCT(--(Lifting_Incidents[Date]&gt;=$B$1),--(Lifting_Incidents[Date]&lt;EDATE($B$1,1)),--(TRIM(SUBSTITUTE(Lifting_Incidents[Type of Lifting Failure],CHAR(160)," "))=A43),--(TRIM(SUBSTITUTE(Lifting_Incidents[Region/District],CHAR(160)," "))=TRIM($B$2))))</f>
        <v>1</v>
      </c>
      <c r="D43" s="135">
        <f t="shared" si="1"/>
        <v>10</v>
      </c>
    </row>
    <row r="44" spans="1:4" ht="30" customHeight="1">
      <c r="A44" s="155" t="s">
        <v>1089</v>
      </c>
      <c r="B44" s="135">
        <f>IF(TRIM($B$2)="All",SUMPRODUCT(--(Lifting_Incidents[Date]&gt;=DATE(2025,1,1)),--(Lifting_Incidents[Date]&lt;$B$1),--(TRIM(SUBSTITUTE(Lifting_Incidents[Type of Lifting Failure],CHAR(160)," "))=A44)),SUMPRODUCT(--(Lifting_Incidents[Date]&gt;=DATE(2025,1,1)),--(Lifting_Incidents[Date]&lt;$B$1),--(TRIM(SUBSTITUTE(Lifting_Incidents[Type of Lifting Failure],CHAR(160)," "))=A44),--(TRIM(SUBSTITUTE(Lifting_Incidents[Region/District],CHAR(160)," "))=TRIM($B$2))))</f>
        <v>7</v>
      </c>
      <c r="C44" s="135">
        <f>IF(TRIM($B$2)="All",SUMPRODUCT(--(Lifting_Incidents[Date]&gt;=$B$1),--(Lifting_Incidents[Date]&lt;EDATE($B$1,1)),--(TRIM(SUBSTITUTE(Lifting_Incidents[Type of Lifting Failure],CHAR(160)," "))=A44)),SUMPRODUCT(--(Lifting_Incidents[Date]&gt;=$B$1),--(Lifting_Incidents[Date]&lt;EDATE($B$1,1)),--(TRIM(SUBSTITUTE(Lifting_Incidents[Type of Lifting Failure],CHAR(160)," "))=A44),--(TRIM(SUBSTITUTE(Lifting_Incidents[Region/District],CHAR(160)," "))=TRIM($B$2))))</f>
        <v>0</v>
      </c>
      <c r="D44" s="135">
        <f t="shared" si="1"/>
        <v>7</v>
      </c>
    </row>
    <row r="45" spans="1:4" ht="30" customHeight="1">
      <c r="A45" s="155" t="s">
        <v>492</v>
      </c>
      <c r="B45" s="135">
        <f>IF(TRIM($B$2)="All",SUMPRODUCT(--(Lifting_Incidents[Date]&gt;=DATE(2025,1,1)),--(Lifting_Incidents[Date]&lt;$B$1),--(TRIM(SUBSTITUTE(Lifting_Incidents[Type of Lifting Failure],CHAR(160)," "))=A45)),SUMPRODUCT(--(Lifting_Incidents[Date]&gt;=DATE(2025,1,1)),--(Lifting_Incidents[Date]&lt;$B$1),--(TRIM(SUBSTITUTE(Lifting_Incidents[Type of Lifting Failure],CHAR(160)," "))=A45),--(TRIM(SUBSTITUTE(Lifting_Incidents[Region/District],CHAR(160)," "))=TRIM($B$2))))</f>
        <v>3</v>
      </c>
      <c r="C45" s="135">
        <f>IF(TRIM($B$2)="All",SUMPRODUCT(--(Lifting_Incidents[Date]&gt;=$B$1),--(Lifting_Incidents[Date]&lt;EDATE($B$1,1)),--(TRIM(SUBSTITUTE(Lifting_Incidents[Type of Lifting Failure],CHAR(160)," "))=A45)),SUMPRODUCT(--(Lifting_Incidents[Date]&gt;=$B$1),--(Lifting_Incidents[Date]&lt;EDATE($B$1,1)),--(TRIM(SUBSTITUTE(Lifting_Incidents[Type of Lifting Failure],CHAR(160)," "))=A45),--(TRIM(SUBSTITUTE(Lifting_Incidents[Region/District],CHAR(160)," "))=TRIM($B$2))))</f>
        <v>1</v>
      </c>
      <c r="D45" s="135">
        <f t="shared" si="1"/>
        <v>4</v>
      </c>
    </row>
    <row r="46" spans="1:4" ht="30" customHeight="1">
      <c r="A46" s="155" t="s">
        <v>786</v>
      </c>
      <c r="B46" s="135">
        <f>IF(TRIM($B$2)="All",SUMPRODUCT(--(Lifting_Incidents[Date]&gt;=DATE(2025,1,1)),--(Lifting_Incidents[Date]&lt;$B$1),--(TRIM(SUBSTITUTE(Lifting_Incidents[Type of Lifting Failure],CHAR(160)," "))=A46)),SUMPRODUCT(--(Lifting_Incidents[Date]&gt;=DATE(2025,1,1)),--(Lifting_Incidents[Date]&lt;$B$1),--(TRIM(SUBSTITUTE(Lifting_Incidents[Type of Lifting Failure],CHAR(160)," "))=A46),--(TRIM(SUBSTITUTE(Lifting_Incidents[Region/District],CHAR(160)," "))=TRIM($B$2))))</f>
        <v>1</v>
      </c>
      <c r="C46" s="135">
        <f>IF(TRIM($B$2)="All",SUMPRODUCT(--(Lifting_Incidents[Date]&gt;=$B$1),--(Lifting_Incidents[Date]&lt;EDATE($B$1,1)),--(TRIM(SUBSTITUTE(Lifting_Incidents[Type of Lifting Failure],CHAR(160)," "))=A46)),SUMPRODUCT(--(Lifting_Incidents[Date]&gt;=$B$1),--(Lifting_Incidents[Date]&lt;EDATE($B$1,1)),--(TRIM(SUBSTITUTE(Lifting_Incidents[Type of Lifting Failure],CHAR(160)," "))=A46),--(TRIM(SUBSTITUTE(Lifting_Incidents[Region/District],CHAR(160)," "))=TRIM($B$2))))</f>
        <v>1</v>
      </c>
      <c r="D46" s="135">
        <f t="shared" si="1"/>
        <v>2</v>
      </c>
    </row>
    <row r="47" spans="1:4" ht="30" customHeight="1">
      <c r="A47" s="155" t="s">
        <v>779</v>
      </c>
      <c r="B47" s="135">
        <f>IF(TRIM($B$2)="All",SUMPRODUCT(--(Lifting_Incidents[Date]&gt;=DATE(2025,1,1)),--(Lifting_Incidents[Date]&lt;$B$1),--(TRIM(SUBSTITUTE(Lifting_Incidents[Type of Lifting Failure],CHAR(160)," "))=A47)),SUMPRODUCT(--(Lifting_Incidents[Date]&gt;=DATE(2025,1,1)),--(Lifting_Incidents[Date]&lt;$B$1),--(TRIM(SUBSTITUTE(Lifting_Incidents[Type of Lifting Failure],CHAR(160)," "))=A47),--(TRIM(SUBSTITUTE(Lifting_Incidents[Region/District],CHAR(160)," "))=TRIM($B$2))))</f>
        <v>2</v>
      </c>
      <c r="C47" s="135">
        <f>IF(TRIM($B$2)="All",SUMPRODUCT(--(Lifting_Incidents[Date]&gt;=$B$1),--(Lifting_Incidents[Date]&lt;EDATE($B$1,1)),--(TRIM(SUBSTITUTE(Lifting_Incidents[Type of Lifting Failure],CHAR(160)," "))=A47)),SUMPRODUCT(--(Lifting_Incidents[Date]&gt;=$B$1),--(Lifting_Incidents[Date]&lt;EDATE($B$1,1)),--(TRIM(SUBSTITUTE(Lifting_Incidents[Type of Lifting Failure],CHAR(160)," "))=A47),--(TRIM(SUBSTITUTE(Lifting_Incidents[Region/District],CHAR(160)," "))=TRIM($B$2))))</f>
        <v>0</v>
      </c>
      <c r="D47" s="135">
        <f t="shared" si="1"/>
        <v>2</v>
      </c>
    </row>
    <row r="48" spans="1:4" ht="30" customHeight="1">
      <c r="A48" s="155" t="s">
        <v>707</v>
      </c>
      <c r="B48" s="135">
        <f>IF(TRIM($B$2)="All",SUMPRODUCT(--(Lifting_Incidents[Date]&gt;=DATE(2025,1,1)),--(Lifting_Incidents[Date]&lt;$B$1),--(TRIM(SUBSTITUTE(Lifting_Incidents[Type of Lifting Failure],CHAR(160)," "))=A48)),SUMPRODUCT(--(Lifting_Incidents[Date]&gt;=DATE(2025,1,1)),--(Lifting_Incidents[Date]&lt;$B$1),--(TRIM(SUBSTITUTE(Lifting_Incidents[Type of Lifting Failure],CHAR(160)," "))=A48),--(TRIM(SUBSTITUTE(Lifting_Incidents[Region/District],CHAR(160)," "))=TRIM($B$2))))</f>
        <v>10</v>
      </c>
      <c r="C48" s="135">
        <f>IF(TRIM($B$2)="All",SUMPRODUCT(--(Lifting_Incidents[Date]&gt;=$B$1),--(Lifting_Incidents[Date]&lt;EDATE($B$1,1)),--(TRIM(SUBSTITUTE(Lifting_Incidents[Type of Lifting Failure],CHAR(160)," "))=A48)),SUMPRODUCT(--(Lifting_Incidents[Date]&gt;=$B$1),--(Lifting_Incidents[Date]&lt;EDATE($B$1,1)),--(TRIM(SUBSTITUTE(Lifting_Incidents[Type of Lifting Failure],CHAR(160)," "))=A48),--(TRIM(SUBSTITUTE(Lifting_Incidents[Region/District],CHAR(160)," "))=TRIM($B$2))))</f>
        <v>2</v>
      </c>
      <c r="D48" s="135">
        <f t="shared" si="1"/>
        <v>12</v>
      </c>
    </row>
    <row r="49" spans="1:4" ht="30" customHeight="1">
      <c r="A49" s="155" t="s">
        <v>147</v>
      </c>
      <c r="B49" s="135">
        <f>IF(TRIM($B$2)="All",SUMPRODUCT(--(Lifting_Incidents[Date]&gt;=DATE(2025,1,1)),--(Lifting_Incidents[Date]&lt;$B$1),--(TRIM(SUBSTITUTE(Lifting_Incidents[Type of Lifting Failure],CHAR(160)," "))=A49)),SUMPRODUCT(--(Lifting_Incidents[Date]&gt;=DATE(2025,1,1)),--(Lifting_Incidents[Date]&lt;$B$1),--(TRIM(SUBSTITUTE(Lifting_Incidents[Type of Lifting Failure],CHAR(160)," "))=A49),--(TRIM(SUBSTITUTE(Lifting_Incidents[Region/District],CHAR(160)," "))=TRIM($B$2))))</f>
        <v>8</v>
      </c>
      <c r="C49" s="135">
        <f>IF(TRIM($B$2)="All",SUMPRODUCT(--(Lifting_Incidents[Date]&gt;=$B$1),--(Lifting_Incidents[Date]&lt;EDATE($B$1,1)),--(TRIM(SUBSTITUTE(Lifting_Incidents[Type of Lifting Failure],CHAR(160)," "))=A49)),SUMPRODUCT(--(Lifting_Incidents[Date]&gt;=$B$1),--(Lifting_Incidents[Date]&lt;EDATE($B$1,1)),--(TRIM(SUBSTITUTE(Lifting_Incidents[Type of Lifting Failure],CHAR(160)," "))=A49),--(TRIM(SUBSTITUTE(Lifting_Incidents[Region/District],CHAR(160)," "))=TRIM($B$2))))</f>
        <v>0</v>
      </c>
      <c r="D49" s="135">
        <f t="shared" si="1"/>
        <v>8</v>
      </c>
    </row>
    <row r="50" spans="1:4" ht="30" customHeight="1">
      <c r="A50" s="155" t="s">
        <v>354</v>
      </c>
      <c r="B50" s="135">
        <f>IF(TRIM($B$2)="All",SUMPRODUCT(--(Lifting_Incidents[Date]&gt;=DATE(2025,1,1)),--(Lifting_Incidents[Date]&lt;$B$1),--(TRIM(SUBSTITUTE(Lifting_Incidents[Type of Lifting Failure],CHAR(160)," "))=A50)),SUMPRODUCT(--(Lifting_Incidents[Date]&gt;=DATE(2025,1,1)),--(Lifting_Incidents[Date]&lt;$B$1),--(TRIM(SUBSTITUTE(Lifting_Incidents[Type of Lifting Failure],CHAR(160)," "))=A50),--(TRIM(SUBSTITUTE(Lifting_Incidents[Region/District],CHAR(160)," "))=TRIM($B$2))))</f>
        <v>3</v>
      </c>
      <c r="C50" s="135">
        <f>IF(TRIM($B$2)="All",SUMPRODUCT(--(Lifting_Incidents[Date]&gt;=$B$1),--(Lifting_Incidents[Date]&lt;EDATE($B$1,1)),--(TRIM(SUBSTITUTE(Lifting_Incidents[Type of Lifting Failure],CHAR(160)," "))=A50)),SUMPRODUCT(--(Lifting_Incidents[Date]&gt;=$B$1),--(Lifting_Incidents[Date]&lt;EDATE($B$1,1)),--(TRIM(SUBSTITUTE(Lifting_Incidents[Type of Lifting Failure],CHAR(160)," "))=A50),--(TRIM(SUBSTITUTE(Lifting_Incidents[Region/District],CHAR(160)," "))=TRIM($B$2))))</f>
        <v>0</v>
      </c>
      <c r="D50" s="135">
        <f t="shared" si="1"/>
        <v>3</v>
      </c>
    </row>
    <row r="51" spans="1:4" ht="30" customHeight="1">
      <c r="A51" s="155" t="s">
        <v>1647</v>
      </c>
      <c r="B51" s="135">
        <f>IF(TRIM($B$2)="All",SUMPRODUCT(--(Lifting_Incidents[Date]&gt;=DATE(2025,1,1)),--(Lifting_Incidents[Date]&lt;$B$1),--(TRIM(SUBSTITUTE(Lifting_Incidents[Type of Lifting Failure],CHAR(160)," "))=A51)),SUMPRODUCT(--(Lifting_Incidents[Date]&gt;=DATE(2025,1,1)),--(Lifting_Incidents[Date]&lt;$B$1),--(TRIM(SUBSTITUTE(Lifting_Incidents[Type of Lifting Failure],CHAR(160)," "))=A51),--(TRIM(SUBSTITUTE(Lifting_Incidents[Region/District],CHAR(160)," "))=TRIM($B$2))))</f>
        <v>2</v>
      </c>
      <c r="C51" s="135">
        <f>IF(TRIM($B$2)="All",SUMPRODUCT(--(Lifting_Incidents[Date]&gt;=$B$1),--(Lifting_Incidents[Date]&lt;EDATE($B$1,1)),--(TRIM(SUBSTITUTE(Lifting_Incidents[Type of Lifting Failure],CHAR(160)," "))=A51)),SUMPRODUCT(--(Lifting_Incidents[Date]&gt;=$B$1),--(Lifting_Incidents[Date]&lt;EDATE($B$1,1)),--(TRIM(SUBSTITUTE(Lifting_Incidents[Type of Lifting Failure],CHAR(160)," "))=A51),--(TRIM(SUBSTITUTE(Lifting_Incidents[Region/District],CHAR(160)," "))=TRIM($B$2))))</f>
        <v>0</v>
      </c>
      <c r="D51" s="135">
        <f t="shared" si="1"/>
        <v>2</v>
      </c>
    </row>
    <row r="52" spans="1:4" ht="30" customHeight="1">
      <c r="A52" s="155" t="s">
        <v>83</v>
      </c>
      <c r="B52" s="135">
        <f>IF(TRIM($B$2)="All",SUMPRODUCT(--(Lifting_Incidents[Date]&gt;=DATE(2025,1,1)),--(Lifting_Incidents[Date]&lt;$B$1),--(TRIM(SUBSTITUTE(Lifting_Incidents[Type of Lifting Failure],CHAR(160)," "))=A52)),SUMPRODUCT(--(Lifting_Incidents[Date]&gt;=DATE(2025,1,1)),--(Lifting_Incidents[Date]&lt;$B$1),--(TRIM(SUBSTITUTE(Lifting_Incidents[Type of Lifting Failure],CHAR(160)," "))=A52),--(TRIM(SUBSTITUTE(Lifting_Incidents[Region/District],CHAR(160)," "))=TRIM($B$2))))</f>
        <v>11</v>
      </c>
      <c r="C52" s="135">
        <f>IF(TRIM($B$2)="All",SUMPRODUCT(--(Lifting_Incidents[Date]&gt;=$B$1),--(Lifting_Incidents[Date]&lt;EDATE($B$1,1)),--(TRIM(SUBSTITUTE(Lifting_Incidents[Type of Lifting Failure],CHAR(160)," "))=A52)),SUMPRODUCT(--(Lifting_Incidents[Date]&gt;=$B$1),--(Lifting_Incidents[Date]&lt;EDATE($B$1,1)),--(TRIM(SUBSTITUTE(Lifting_Incidents[Type of Lifting Failure],CHAR(160)," "))=A52),--(TRIM(SUBSTITUTE(Lifting_Incidents[Region/District],CHAR(160)," "))=TRIM($B$2))))</f>
        <v>0</v>
      </c>
      <c r="D52" s="135">
        <f t="shared" si="1"/>
        <v>11</v>
      </c>
    </row>
    <row r="53" spans="1:4" ht="30" customHeight="1">
      <c r="A53" s="155" t="s">
        <v>992</v>
      </c>
      <c r="B53" s="135">
        <f>IF(TRIM($B$2)="All",SUMPRODUCT(--(Lifting_Incidents[Date]&gt;=DATE(2025,1,1)),--(Lifting_Incidents[Date]&lt;$B$1),--(TRIM(SUBSTITUTE(Lifting_Incidents[Type of Lifting Failure],CHAR(160)," "))=A53)),SUMPRODUCT(--(Lifting_Incidents[Date]&gt;=DATE(2025,1,1)),--(Lifting_Incidents[Date]&lt;$B$1),--(TRIM(SUBSTITUTE(Lifting_Incidents[Type of Lifting Failure],CHAR(160)," "))=A53),--(TRIM(SUBSTITUTE(Lifting_Incidents[Region/District],CHAR(160)," "))=TRIM($B$2))))</f>
        <v>8</v>
      </c>
      <c r="C53" s="135">
        <f>IF(TRIM($B$2)="All",SUMPRODUCT(--(Lifting_Incidents[Date]&gt;=$B$1),--(Lifting_Incidents[Date]&lt;EDATE($B$1,1)),--(TRIM(SUBSTITUTE(Lifting_Incidents[Type of Lifting Failure],CHAR(160)," "))=A53)),SUMPRODUCT(--(Lifting_Incidents[Date]&gt;=$B$1),--(Lifting_Incidents[Date]&lt;EDATE($B$1,1)),--(TRIM(SUBSTITUTE(Lifting_Incidents[Type of Lifting Failure],CHAR(160)," "))=A53),--(TRIM(SUBSTITUTE(Lifting_Incidents[Region/District],CHAR(160)," "))=TRIM($B$2))))</f>
        <v>1</v>
      </c>
      <c r="D53" s="135">
        <f t="shared" si="1"/>
        <v>9</v>
      </c>
    </row>
    <row r="54" spans="1:4" ht="30" customHeight="1">
      <c r="A54" s="155" t="s">
        <v>877</v>
      </c>
      <c r="B54" s="135">
        <f>IF(TRIM($B$2)="All",SUMPRODUCT(--(Lifting_Incidents[Date]&gt;=DATE(2025,1,1)),--(Lifting_Incidents[Date]&lt;$B$1),--(TRIM(SUBSTITUTE(Lifting_Incidents[Type of Lifting Failure],CHAR(160)," "))=A54)),SUMPRODUCT(--(Lifting_Incidents[Date]&gt;=DATE(2025,1,1)),--(Lifting_Incidents[Date]&lt;$B$1),--(TRIM(SUBSTITUTE(Lifting_Incidents[Type of Lifting Failure],CHAR(160)," "))=A54),--(TRIM(SUBSTITUTE(Lifting_Incidents[Region/District],CHAR(160)," "))=TRIM($B$2))))</f>
        <v>10</v>
      </c>
      <c r="C54" s="135">
        <f>IF(TRIM($B$2)="All",SUMPRODUCT(--(Lifting_Incidents[Date]&gt;=$B$1),--(Lifting_Incidents[Date]&lt;EDATE($B$1,1)),--(TRIM(SUBSTITUTE(Lifting_Incidents[Type of Lifting Failure],CHAR(160)," "))=A54)),SUMPRODUCT(--(Lifting_Incidents[Date]&gt;=$B$1),--(Lifting_Incidents[Date]&lt;EDATE($B$1,1)),--(TRIM(SUBSTITUTE(Lifting_Incidents[Type of Lifting Failure],CHAR(160)," "))=A54),--(TRIM(SUBSTITUTE(Lifting_Incidents[Region/District],CHAR(160)," "))=TRIM($B$2))))</f>
        <v>0</v>
      </c>
      <c r="D54" s="135">
        <f t="shared" si="1"/>
        <v>10</v>
      </c>
    </row>
    <row r="55" spans="1:4" ht="30" customHeight="1">
      <c r="A55" s="155" t="s">
        <v>133</v>
      </c>
      <c r="B55" s="135">
        <f>IF(TRIM($B$2)="All",SUMPRODUCT(--(Lifting_Incidents[Date]&gt;=DATE(2025,1,1)),--(Lifting_Incidents[Date]&lt;$B$1),--(TRIM(SUBSTITUTE(Lifting_Incidents[Type of Lifting Failure],CHAR(160)," "))=A55)),SUMPRODUCT(--(Lifting_Incidents[Date]&gt;=DATE(2025,1,1)),--(Lifting_Incidents[Date]&lt;$B$1),--(TRIM(SUBSTITUTE(Lifting_Incidents[Type of Lifting Failure],CHAR(160)," "))=A55),--(TRIM(SUBSTITUTE(Lifting_Incidents[Region/District],CHAR(160)," "))=TRIM($B$2))))</f>
        <v>37</v>
      </c>
      <c r="C55" s="135">
        <f>IF(TRIM($B$2)="All",SUMPRODUCT(--(Lifting_Incidents[Date]&gt;=$B$1),--(Lifting_Incidents[Date]&lt;EDATE($B$1,1)),--(TRIM(SUBSTITUTE(Lifting_Incidents[Type of Lifting Failure],CHAR(160)," "))=A55)),SUMPRODUCT(--(Lifting_Incidents[Date]&gt;=$B$1),--(Lifting_Incidents[Date]&lt;EDATE($B$1,1)),--(TRIM(SUBSTITUTE(Lifting_Incidents[Type of Lifting Failure],CHAR(160)," "))=A55),--(TRIM(SUBSTITUTE(Lifting_Incidents[Region/District],CHAR(160)," "))=TRIM($B$2))))</f>
        <v>0</v>
      </c>
      <c r="D55" s="135">
        <f t="shared" si="1"/>
        <v>37</v>
      </c>
    </row>
    <row r="56" spans="1:4" ht="30" customHeight="1">
      <c r="A56" s="155" t="s">
        <v>1648</v>
      </c>
      <c r="B56" s="135">
        <f>IF(TRIM($B$2)="All",SUMPRODUCT(--(Lifting_Incidents[Date]&gt;=DATE(2025,1,1)),--(Lifting_Incidents[Date]&lt;$B$1),--(TRIM(SUBSTITUTE(Lifting_Incidents[Type of Lifting Failure],CHAR(160)," "))=A56)),SUMPRODUCT(--(Lifting_Incidents[Date]&gt;=DATE(2025,1,1)),--(Lifting_Incidents[Date]&lt;$B$1),--(TRIM(SUBSTITUTE(Lifting_Incidents[Type of Lifting Failure],CHAR(160)," "))=A56),--(TRIM(SUBSTITUTE(Lifting_Incidents[Region/District],CHAR(160)," "))=TRIM($B$2))))</f>
        <v>6</v>
      </c>
      <c r="C56" s="135">
        <f>IF(TRIM($B$2)="All",SUMPRODUCT(--(Lifting_Incidents[Date]&gt;=$B$1),--(Lifting_Incidents[Date]&lt;EDATE($B$1,1)),--(TRIM(SUBSTITUTE(Lifting_Incidents[Type of Lifting Failure],CHAR(160)," "))=A56)),SUMPRODUCT(--(Lifting_Incidents[Date]&gt;=$B$1),--(Lifting_Incidents[Date]&lt;EDATE($B$1,1)),--(TRIM(SUBSTITUTE(Lifting_Incidents[Type of Lifting Failure],CHAR(160)," "))=A56),--(TRIM(SUBSTITUTE(Lifting_Incidents[Region/District],CHAR(160)," "))=TRIM($B$2))))</f>
        <v>0</v>
      </c>
      <c r="D56" s="135">
        <f t="shared" si="1"/>
        <v>6</v>
      </c>
    </row>
    <row r="57" spans="1:4" ht="30" customHeight="1">
      <c r="A57" s="155" t="s">
        <v>1095</v>
      </c>
      <c r="B57" s="135">
        <f>IF(TRIM($B$2)="All",SUMPRODUCT(--(Lifting_Incidents[Date]&gt;=DATE(2025,1,1)),--(Lifting_Incidents[Date]&lt;$B$1),--(TRIM(SUBSTITUTE(Lifting_Incidents[Type of Lifting Failure],CHAR(160)," "))=A57)),SUMPRODUCT(--(Lifting_Incidents[Date]&gt;=DATE(2025,1,1)),--(Lifting_Incidents[Date]&lt;$B$1),--(TRIM(SUBSTITUTE(Lifting_Incidents[Type of Lifting Failure],CHAR(160)," "))=A57),--(TRIM(SUBSTITUTE(Lifting_Incidents[Region/District],CHAR(160)," "))=TRIM($B$2))))</f>
        <v>5</v>
      </c>
      <c r="C57" s="135">
        <f>IF(TRIM($B$2)="All",SUMPRODUCT(--(Lifting_Incidents[Date]&gt;=$B$1),--(Lifting_Incidents[Date]&lt;EDATE($B$1,1)),--(TRIM(SUBSTITUTE(Lifting_Incidents[Type of Lifting Failure],CHAR(160)," "))=A57)),SUMPRODUCT(--(Lifting_Incidents[Date]&gt;=$B$1),--(Lifting_Incidents[Date]&lt;EDATE($B$1,1)),--(TRIM(SUBSTITUTE(Lifting_Incidents[Type of Lifting Failure],CHAR(160)," "))=A57),--(TRIM(SUBSTITUTE(Lifting_Incidents[Region/District],CHAR(160)," "))=TRIM($B$2))))</f>
        <v>0</v>
      </c>
      <c r="D57" s="135">
        <f t="shared" si="1"/>
        <v>5</v>
      </c>
    </row>
    <row r="58" spans="1:4" ht="30" customHeight="1">
      <c r="A58" s="155" t="s">
        <v>1102</v>
      </c>
      <c r="B58" s="135">
        <f>IF(TRIM($B$2)="All",SUMPRODUCT(--(Lifting_Incidents[Date]&gt;=DATE(2025,1,1)),--(Lifting_Incidents[Date]&lt;$B$1),--(TRIM(SUBSTITUTE(Lifting_Incidents[Type of Lifting Failure],CHAR(160)," "))=A58)),SUMPRODUCT(--(Lifting_Incidents[Date]&gt;=DATE(2025,1,1)),--(Lifting_Incidents[Date]&lt;$B$1),--(TRIM(SUBSTITUTE(Lifting_Incidents[Type of Lifting Failure],CHAR(160)," "))=A58),--(TRIM(SUBSTITUTE(Lifting_Incidents[Region/District],CHAR(160)," "))=TRIM($B$2))))</f>
        <v>5</v>
      </c>
      <c r="C58" s="135">
        <f>IF(TRIM($B$2)="All",SUMPRODUCT(--(Lifting_Incidents[Date]&gt;=$B$1),--(Lifting_Incidents[Date]&lt;EDATE($B$1,1)),--(TRIM(SUBSTITUTE(Lifting_Incidents[Type of Lifting Failure],CHAR(160)," "))=A58)),SUMPRODUCT(--(Lifting_Incidents[Date]&gt;=$B$1),--(Lifting_Incidents[Date]&lt;EDATE($B$1,1)),--(TRIM(SUBSTITUTE(Lifting_Incidents[Type of Lifting Failure],CHAR(160)," "))=A58),--(TRIM(SUBSTITUTE(Lifting_Incidents[Region/District],CHAR(160)," "))=TRIM($B$2))))</f>
        <v>0</v>
      </c>
      <c r="D58" s="135">
        <f t="shared" si="1"/>
        <v>5</v>
      </c>
    </row>
    <row r="59" spans="1:4" ht="30" customHeight="1">
      <c r="A59" s="155" t="s">
        <v>1649</v>
      </c>
      <c r="B59" s="135">
        <f>IF(TRIM($B$2)="All",SUMPRODUCT(--(Lifting_Incidents[Date]&gt;=DATE(2025,1,1)),--(Lifting_Incidents[Date]&lt;$B$1),--(TRIM(SUBSTITUTE(Lifting_Incidents[Type of Lifting Failure],CHAR(160)," "))=A59)),SUMPRODUCT(--(Lifting_Incidents[Date]&gt;=DATE(2025,1,1)),--(Lifting_Incidents[Date]&lt;$B$1),--(TRIM(SUBSTITUTE(Lifting_Incidents[Type of Lifting Failure],CHAR(160)," "))=A59),--(TRIM(SUBSTITUTE(Lifting_Incidents[Region/District],CHAR(160)," "))=TRIM($B$2))))</f>
        <v>2</v>
      </c>
      <c r="C59" s="135">
        <f>IF(TRIM($B$2)="All",SUMPRODUCT(--(Lifting_Incidents[Date]&gt;=$B$1),--(Lifting_Incidents[Date]&lt;EDATE($B$1,1)),--(TRIM(SUBSTITUTE(Lifting_Incidents[Type of Lifting Failure],CHAR(160)," "))=A59)),SUMPRODUCT(--(Lifting_Incidents[Date]&gt;=$B$1),--(Lifting_Incidents[Date]&lt;EDATE($B$1,1)),--(TRIM(SUBSTITUTE(Lifting_Incidents[Type of Lifting Failure],CHAR(160)," "))=A59),--(TRIM(SUBSTITUTE(Lifting_Incidents[Region/District],CHAR(160)," "))=TRIM($B$2))))</f>
        <v>0</v>
      </c>
      <c r="D59" s="135">
        <f t="shared" si="1"/>
        <v>2</v>
      </c>
    </row>
    <row r="60" spans="1:4" ht="30" customHeight="1">
      <c r="A60" s="155" t="s">
        <v>618</v>
      </c>
      <c r="B60" s="135">
        <f>IF(TRIM($B$2)="All",SUMPRODUCT(--(Lifting_Incidents[Date]&gt;=DATE(2025,1,1)),--(Lifting_Incidents[Date]&lt;$B$1),--(TRIM(SUBSTITUTE(Lifting_Incidents[Type of Lifting Failure],CHAR(160)," "))=A60)),SUMPRODUCT(--(Lifting_Incidents[Date]&gt;=DATE(2025,1,1)),--(Lifting_Incidents[Date]&lt;$B$1),--(TRIM(SUBSTITUTE(Lifting_Incidents[Type of Lifting Failure],CHAR(160)," "))=A60),--(TRIM(SUBSTITUTE(Lifting_Incidents[Region/District],CHAR(160)," "))=TRIM($B$2))))</f>
        <v>10</v>
      </c>
      <c r="C60" s="135">
        <f>IF(TRIM($B$2)="All",SUMPRODUCT(--(Lifting_Incidents[Date]&gt;=$B$1),--(Lifting_Incidents[Date]&lt;EDATE($B$1,1)),--(TRIM(SUBSTITUTE(Lifting_Incidents[Type of Lifting Failure],CHAR(160)," "))=A60)),SUMPRODUCT(--(Lifting_Incidents[Date]&gt;=$B$1),--(Lifting_Incidents[Date]&lt;EDATE($B$1,1)),--(TRIM(SUBSTITUTE(Lifting_Incidents[Type of Lifting Failure],CHAR(160)," "))=A60),--(TRIM(SUBSTITUTE(Lifting_Incidents[Region/District],CHAR(160)," "))=TRIM($B$2))))</f>
        <v>0</v>
      </c>
      <c r="D60" s="135">
        <f t="shared" si="1"/>
        <v>10</v>
      </c>
    </row>
    <row r="61" spans="1:4" ht="30" customHeight="1">
      <c r="A61" s="155" t="s">
        <v>81</v>
      </c>
      <c r="B61" s="135">
        <f>IF(TRIM($B$2)="All",SUMPRODUCT(--(Lifting_Incidents[Date]&gt;=DATE(2025,1,1)),--(Lifting_Incidents[Date]&lt;$B$1),--(TRIM(SUBSTITUTE(Lifting_Incidents[Type of Lifting Failure],CHAR(160)," "))=A61)),SUMPRODUCT(--(Lifting_Incidents[Date]&gt;=DATE(2025,1,1)),--(Lifting_Incidents[Date]&lt;$B$1),--(TRIM(SUBSTITUTE(Lifting_Incidents[Type of Lifting Failure],CHAR(160)," "))=A61),--(TRIM(SUBSTITUTE(Lifting_Incidents[Region/District],CHAR(160)," "))=TRIM($B$2))))</f>
        <v>35</v>
      </c>
      <c r="C61" s="135">
        <f>IF(TRIM($B$2)="All",SUMPRODUCT(--(Lifting_Incidents[Date]&gt;=$B$1),--(Lifting_Incidents[Date]&lt;EDATE($B$1,1)),--(TRIM(SUBSTITUTE(Lifting_Incidents[Type of Lifting Failure],CHAR(160)," "))=A61)),SUMPRODUCT(--(Lifting_Incidents[Date]&gt;=$B$1),--(Lifting_Incidents[Date]&lt;EDATE($B$1,1)),--(TRIM(SUBSTITUTE(Lifting_Incidents[Type of Lifting Failure],CHAR(160)," "))=A61),--(TRIM(SUBSTITUTE(Lifting_Incidents[Region/District],CHAR(160)," "))=TRIM($B$2))))</f>
        <v>2</v>
      </c>
      <c r="D61" s="135">
        <f t="shared" si="1"/>
        <v>37</v>
      </c>
    </row>
    <row r="62" spans="1:4" ht="30" customHeight="1">
      <c r="A62" s="155" t="s">
        <v>1002</v>
      </c>
      <c r="B62" s="135">
        <f>IF(TRIM($B$2)="All",SUMPRODUCT(--(Lifting_Incidents[Date]&gt;=DATE(2025,1,1)),--(Lifting_Incidents[Date]&lt;$B$1),--(TRIM(SUBSTITUTE(Lifting_Incidents[Type of Lifting Failure],CHAR(160)," "))=A62)),SUMPRODUCT(--(Lifting_Incidents[Date]&gt;=DATE(2025,1,1)),--(Lifting_Incidents[Date]&lt;$B$1),--(TRIM(SUBSTITUTE(Lifting_Incidents[Type of Lifting Failure],CHAR(160)," "))=A62),--(TRIM(SUBSTITUTE(Lifting_Incidents[Region/District],CHAR(160)," "))=TRIM($B$2))))</f>
        <v>2</v>
      </c>
      <c r="C62" s="135">
        <f>IF(TRIM($B$2)="All",SUMPRODUCT(--(Lifting_Incidents[Date]&gt;=$B$1),--(Lifting_Incidents[Date]&lt;EDATE($B$1,1)),--(TRIM(SUBSTITUTE(Lifting_Incidents[Type of Lifting Failure],CHAR(160)," "))=A62)),SUMPRODUCT(--(Lifting_Incidents[Date]&gt;=$B$1),--(Lifting_Incidents[Date]&lt;EDATE($B$1,1)),--(TRIM(SUBSTITUTE(Lifting_Incidents[Type of Lifting Failure],CHAR(160)," "))=A62),--(TRIM(SUBSTITUTE(Lifting_Incidents[Region/District],CHAR(160)," "))=TRIM($B$2))))</f>
        <v>0</v>
      </c>
      <c r="D62" s="135">
        <f t="shared" si="1"/>
        <v>2</v>
      </c>
    </row>
    <row r="63" spans="1:4" ht="30" customHeight="1">
      <c r="A63" s="155" t="s">
        <v>1605</v>
      </c>
      <c r="B63" s="135">
        <f>IF(TRIM($B$2)="All",SUMPRODUCT(--(Lifting_Incidents[Date]&gt;=DATE(2025,1,1)),--(Lifting_Incidents[Date]&lt;$B$1),--(TRIM(SUBSTITUTE(Lifting_Incidents[Type of Lifting Failure],CHAR(160)," "))=A63)),SUMPRODUCT(--(Lifting_Incidents[Date]&gt;=DATE(2025,1,1)),--(Lifting_Incidents[Date]&lt;$B$1),--(TRIM(SUBSTITUTE(Lifting_Incidents[Type of Lifting Failure],CHAR(160)," "))=A63),--(TRIM(SUBSTITUTE(Lifting_Incidents[Region/District],CHAR(160)," "))=TRIM($B$2))))</f>
        <v>0</v>
      </c>
      <c r="C63" s="135">
        <f>IF(TRIM($B$2)="All",SUMPRODUCT(--(Lifting_Incidents[Date]&gt;=$B$1),--(Lifting_Incidents[Date]&lt;EDATE($B$1,1)),--(TRIM(SUBSTITUTE(Lifting_Incidents[Type of Lifting Failure],CHAR(160)," "))=A63)),SUMPRODUCT(--(Lifting_Incidents[Date]&gt;=$B$1),--(Lifting_Incidents[Date]&lt;EDATE($B$1,1)),--(TRIM(SUBSTITUTE(Lifting_Incidents[Type of Lifting Failure],CHAR(160)," "))=A63),--(TRIM(SUBSTITUTE(Lifting_Incidents[Region/District],CHAR(160)," "))=TRIM($B$2))))</f>
        <v>1</v>
      </c>
      <c r="D63" s="135">
        <f t="shared" si="1"/>
        <v>1</v>
      </c>
    </row>
    <row r="64" spans="1:4" ht="30" customHeight="1">
      <c r="A64" s="155" t="s">
        <v>1650</v>
      </c>
      <c r="B64" s="135">
        <f>IF(TRIM($B$2)="All",SUMPRODUCT(--(Lifting_Incidents[Date]&gt;=DATE(2025,1,1)),--(Lifting_Incidents[Date]&lt;$B$1),--(TRIM(SUBSTITUTE(Lifting_Incidents[Type of Lifting Failure],CHAR(160)," "))=A64)),SUMPRODUCT(--(Lifting_Incidents[Date]&gt;=DATE(2025,1,1)),--(Lifting_Incidents[Date]&lt;$B$1),--(TRIM(SUBSTITUTE(Lifting_Incidents[Type of Lifting Failure],CHAR(160)," "))=A64),--(TRIM(SUBSTITUTE(Lifting_Incidents[Region/District],CHAR(160)," "))=TRIM($B$2))))</f>
        <v>0</v>
      </c>
      <c r="C64" s="135">
        <f>IF(TRIM($B$2)="All",SUMPRODUCT(--(Lifting_Incidents[Date]&gt;=$B$1),--(Lifting_Incidents[Date]&lt;EDATE($B$1,1)),--(TRIM(SUBSTITUTE(Lifting_Incidents[Type of Lifting Failure],CHAR(160)," "))=A64)),SUMPRODUCT(--(Lifting_Incidents[Date]&gt;=$B$1),--(Lifting_Incidents[Date]&lt;EDATE($B$1,1)),--(TRIM(SUBSTITUTE(Lifting_Incidents[Type of Lifting Failure],CHAR(160)," "))=A64),--(TRIM(SUBSTITUTE(Lifting_Incidents[Region/District],CHAR(160)," "))=TRIM($B$2))))</f>
        <v>1</v>
      </c>
      <c r="D64" s="135">
        <f t="shared" si="1"/>
        <v>1</v>
      </c>
    </row>
    <row r="65" spans="1:4" ht="24.6">
      <c r="A65" s="152" t="s">
        <v>1651</v>
      </c>
      <c r="B65" s="144">
        <f>SUM(B6:B64)</f>
        <v>670</v>
      </c>
      <c r="C65" s="144">
        <f>SUM(C6:C64)</f>
        <v>29</v>
      </c>
      <c r="D65" s="144">
        <f>SUM(D6:D64)</f>
        <v>699</v>
      </c>
    </row>
    <row r="66" spans="1:4" ht="24.6">
      <c r="A66" s="153"/>
      <c r="B66" s="136"/>
      <c r="C66" s="136"/>
      <c r="D66" s="136"/>
    </row>
    <row r="67" spans="1:4" ht="22.8">
      <c r="A67" s="152" t="s">
        <v>1652</v>
      </c>
      <c r="B67" s="148"/>
      <c r="C67" s="148"/>
      <c r="D67" s="148"/>
    </row>
    <row r="68" spans="1:4" ht="24.6">
      <c r="A68" s="152" t="s">
        <v>1642</v>
      </c>
      <c r="B68" s="149" t="str">
        <f>TEXT(DATE(2025,1,1),"mmmm yyyy")&amp;" - "&amp;TEXT(EDATE($B$1,-1),"mmmm yyyy")</f>
        <v>January 2025 - August 2026</v>
      </c>
      <c r="C68" s="149" t="str">
        <f>TEXT($B$1,"mmmm yyyy")</f>
        <v>September 2026</v>
      </c>
      <c r="D68" s="149" t="s">
        <v>19</v>
      </c>
    </row>
    <row r="69" spans="1:4" ht="30" customHeight="1">
      <c r="A69" s="137" t="s">
        <v>93</v>
      </c>
      <c r="B69" s="154">
        <f>IF(TRIM($B$2)="All",SUMPRODUCT(--(Lifting_Incidents[Date]&gt;=DATE(2025,1,1)),--(Lifting_Incidents[Date]&lt;$B$1),--(TRIM(SUBSTITUTE(Lifting_Incidents[Item Lifted Category],CHAR(160)," "))=A69)),SUMPRODUCT(--(Lifting_Incidents[Date]&gt;=DATE(2025,1,1)),--(Lifting_Incidents[Date]&lt;$B$1),--(TRIM(SUBSTITUTE(Lifting_Incidents[Item Lifted Category],CHAR(160)," "))=A69),--(TRIM(SUBSTITUTE(Lifting_Incidents[Region/District],CHAR(160)," "))=TRIM($B$2))))</f>
        <v>65</v>
      </c>
      <c r="C69" s="154">
        <f>IF(TRIM($B$2)="All",SUMPRODUCT(--(Lifting_Incidents[Date]&gt;=$B$1),--(Lifting_Incidents[Date]&lt;EDATE($B$1,1)),--(TRIM(SUBSTITUTE(Lifting_Incidents[Item Lifted Category],CHAR(160)," "))=A69)),SUMPRODUCT(--(Lifting_Incidents[Date]&gt;=$B$1),--(Lifting_Incidents[Date]&lt;EDATE($B$1,1)),--(TRIM(SUBSTITUTE(Lifting_Incidents[Item Lifted Category],CHAR(160)," "))=A69),--(TRIM(SUBSTITUTE(Lifting_Incidents[Region/District],CHAR(160)," "))=TRIM($B$2))))</f>
        <v>1</v>
      </c>
      <c r="D69" s="154">
        <f t="shared" ref="D69:D91" si="2">SUM(B69:C69)</f>
        <v>66</v>
      </c>
    </row>
    <row r="70" spans="1:4" ht="30" customHeight="1">
      <c r="A70" s="137" t="s">
        <v>102</v>
      </c>
      <c r="B70" s="154">
        <f>IF(TRIM($B$2)="All",SUMPRODUCT(--(Lifting_Incidents[Date]&gt;=DATE(2025,1,1)),--(Lifting_Incidents[Date]&lt;$B$1),--(TRIM(SUBSTITUTE(Lifting_Incidents[Item Lifted Category],CHAR(160)," "))=A70)),SUMPRODUCT(--(Lifting_Incidents[Date]&gt;=DATE(2025,1,1)),--(Lifting_Incidents[Date]&lt;$B$1),--(TRIM(SUBSTITUTE(Lifting_Incidents[Item Lifted Category],CHAR(160)," "))=A70),--(TRIM(SUBSTITUTE(Lifting_Incidents[Region/District],CHAR(160)," "))=TRIM($B$2))))</f>
        <v>50</v>
      </c>
      <c r="C70" s="154">
        <f>IF(TRIM($B$2)="All",SUMPRODUCT(--(Lifting_Incidents[Date]&gt;=$B$1),--(Lifting_Incidents[Date]&lt;EDATE($B$1,1)),--(TRIM(SUBSTITUTE(Lifting_Incidents[Item Lifted Category],CHAR(160)," "))=A70)),SUMPRODUCT(--(Lifting_Incidents[Date]&gt;=$B$1),--(Lifting_Incidents[Date]&lt;EDATE($B$1,1)),--(TRIM(SUBSTITUTE(Lifting_Incidents[Item Lifted Category],CHAR(160)," "))=A70),--(TRIM(SUBSTITUTE(Lifting_Incidents[Region/District],CHAR(160)," "))=TRIM($B$2))))</f>
        <v>6</v>
      </c>
      <c r="D70" s="154">
        <f t="shared" si="2"/>
        <v>56</v>
      </c>
    </row>
    <row r="71" spans="1:4" ht="30" customHeight="1">
      <c r="A71" s="137" t="s">
        <v>135</v>
      </c>
      <c r="B71" s="154">
        <f>IF(TRIM($B$2)="All",SUMPRODUCT(--(Lifting_Incidents[Date]&gt;=DATE(2025,1,1)),--(Lifting_Incidents[Date]&lt;$B$1),--(TRIM(SUBSTITUTE(Lifting_Incidents[Item Lifted Category],CHAR(160)," "))=A71)),SUMPRODUCT(--(Lifting_Incidents[Date]&gt;=DATE(2025,1,1)),--(Lifting_Incidents[Date]&lt;$B$1),--(TRIM(SUBSTITUTE(Lifting_Incidents[Item Lifted Category],CHAR(160)," "))=A71),--(TRIM(SUBSTITUTE(Lifting_Incidents[Region/District],CHAR(160)," "))=TRIM($B$2))))</f>
        <v>78</v>
      </c>
      <c r="C71" s="154">
        <f>IF(TRIM($B$2)="All",SUMPRODUCT(--(Lifting_Incidents[Date]&gt;=$B$1),--(Lifting_Incidents[Date]&lt;EDATE($B$1,1)),--(TRIM(SUBSTITUTE(Lifting_Incidents[Item Lifted Category],CHAR(160)," "))=A71)),SUMPRODUCT(--(Lifting_Incidents[Date]&gt;=$B$1),--(Lifting_Incidents[Date]&lt;EDATE($B$1,1)),--(TRIM(SUBSTITUTE(Lifting_Incidents[Item Lifted Category],CHAR(160)," "))=A71),--(TRIM(SUBSTITUTE(Lifting_Incidents[Region/District],CHAR(160)," "))=TRIM($B$2))))</f>
        <v>0</v>
      </c>
      <c r="D71" s="154">
        <f t="shared" si="2"/>
        <v>78</v>
      </c>
    </row>
    <row r="72" spans="1:4" ht="30" customHeight="1">
      <c r="A72" s="137" t="s">
        <v>175</v>
      </c>
      <c r="B72" s="154">
        <f>IF(TRIM($B$2)="All",SUMPRODUCT(--(Lifting_Incidents[Date]&gt;=DATE(2025,1,1)),--(Lifting_Incidents[Date]&lt;$B$1),--(TRIM(SUBSTITUTE(Lifting_Incidents[Item Lifted Category],CHAR(160)," "))=A72)),SUMPRODUCT(--(Lifting_Incidents[Date]&gt;=DATE(2025,1,1)),--(Lifting_Incidents[Date]&lt;$B$1),--(TRIM(SUBSTITUTE(Lifting_Incidents[Item Lifted Category],CHAR(160)," "))=A72),--(TRIM(SUBSTITUTE(Lifting_Incidents[Region/District],CHAR(160)," "))=TRIM($B$2))))</f>
        <v>9</v>
      </c>
      <c r="C72" s="154">
        <f>IF(TRIM($B$2)="All",SUMPRODUCT(--(Lifting_Incidents[Date]&gt;=$B$1),--(Lifting_Incidents[Date]&lt;EDATE($B$1,1)),--(TRIM(SUBSTITUTE(Lifting_Incidents[Item Lifted Category],CHAR(160)," "))=A72)),SUMPRODUCT(--(Lifting_Incidents[Date]&gt;=$B$1),--(Lifting_Incidents[Date]&lt;EDATE($B$1,1)),--(TRIM(SUBSTITUTE(Lifting_Incidents[Item Lifted Category],CHAR(160)," "))=A72),--(TRIM(SUBSTITUTE(Lifting_Incidents[Region/District],CHAR(160)," "))=TRIM($B$2))))</f>
        <v>0</v>
      </c>
      <c r="D72" s="154">
        <f t="shared" si="2"/>
        <v>9</v>
      </c>
    </row>
    <row r="73" spans="1:4" ht="30" customHeight="1">
      <c r="A73" s="137" t="s">
        <v>114</v>
      </c>
      <c r="B73" s="154">
        <f>IF(TRIM($B$2)="All",SUMPRODUCT(--(Lifting_Incidents[Date]&gt;=DATE(2025,1,1)),--(Lifting_Incidents[Date]&lt;$B$1),--(TRIM(SUBSTITUTE(Lifting_Incidents[Item Lifted Category],CHAR(160)," "))=A73)),SUMPRODUCT(--(Lifting_Incidents[Date]&gt;=DATE(2025,1,1)),--(Lifting_Incidents[Date]&lt;$B$1),--(TRIM(SUBSTITUTE(Lifting_Incidents[Item Lifted Category],CHAR(160)," "))=A73),--(TRIM(SUBSTITUTE(Lifting_Incidents[Region/District],CHAR(160)," "))=TRIM($B$2))))</f>
        <v>15</v>
      </c>
      <c r="C73" s="154">
        <f>IF(TRIM($B$2)="All",SUMPRODUCT(--(Lifting_Incidents[Date]&gt;=$B$1),--(Lifting_Incidents[Date]&lt;EDATE($B$1,1)),--(TRIM(SUBSTITUTE(Lifting_Incidents[Item Lifted Category],CHAR(160)," "))=A73)),SUMPRODUCT(--(Lifting_Incidents[Date]&gt;=$B$1),--(Lifting_Incidents[Date]&lt;EDATE($B$1,1)),--(TRIM(SUBSTITUTE(Lifting_Incidents[Item Lifted Category],CHAR(160)," "))=A73),--(TRIM(SUBSTITUTE(Lifting_Incidents[Region/District],CHAR(160)," "))=TRIM($B$2))))</f>
        <v>2</v>
      </c>
      <c r="D73" s="154">
        <f t="shared" si="2"/>
        <v>17</v>
      </c>
    </row>
    <row r="74" spans="1:4" ht="30" customHeight="1">
      <c r="A74" s="137" t="s">
        <v>126</v>
      </c>
      <c r="B74" s="154">
        <f>IF(TRIM($B$2)="All",SUMPRODUCT(--(Lifting_Incidents[Date]&gt;=DATE(2025,1,1)),--(Lifting_Incidents[Date]&lt;$B$1),--(TRIM(SUBSTITUTE(Lifting_Incidents[Item Lifted Category],CHAR(160)," "))=A74)),SUMPRODUCT(--(Lifting_Incidents[Date]&gt;=DATE(2025,1,1)),--(Lifting_Incidents[Date]&lt;$B$1),--(TRIM(SUBSTITUTE(Lifting_Incidents[Item Lifted Category],CHAR(160)," "))=A74),--(TRIM(SUBSTITUTE(Lifting_Incidents[Region/District],CHAR(160)," "))=TRIM($B$2))))</f>
        <v>53</v>
      </c>
      <c r="C74" s="154">
        <f>IF(TRIM($B$2)="All",SUMPRODUCT(--(Lifting_Incidents[Date]&gt;=$B$1),--(Lifting_Incidents[Date]&lt;EDATE($B$1,1)),--(TRIM(SUBSTITUTE(Lifting_Incidents[Item Lifted Category],CHAR(160)," "))=A74)),SUMPRODUCT(--(Lifting_Incidents[Date]&gt;=$B$1),--(Lifting_Incidents[Date]&lt;EDATE($B$1,1)),--(TRIM(SUBSTITUTE(Lifting_Incidents[Item Lifted Category],CHAR(160)," "))=A74),--(TRIM(SUBSTITUTE(Lifting_Incidents[Region/District],CHAR(160)," "))=TRIM($B$2))))</f>
        <v>1</v>
      </c>
      <c r="D74" s="154">
        <f t="shared" si="2"/>
        <v>54</v>
      </c>
    </row>
    <row r="75" spans="1:4" ht="30" customHeight="1">
      <c r="A75" s="137" t="s">
        <v>83</v>
      </c>
      <c r="B75" s="154">
        <f>IF(TRIM($B$2)="All",SUMPRODUCT(--(Lifting_Incidents[Date]&gt;=DATE(2025,1,1)),--(Lifting_Incidents[Date]&lt;$B$1),--(TRIM(SUBSTITUTE(Lifting_Incidents[Item Lifted Category],CHAR(160)," "))=A75)),SUMPRODUCT(--(Lifting_Incidents[Date]&gt;=DATE(2025,1,1)),--(Lifting_Incidents[Date]&lt;$B$1),--(TRIM(SUBSTITUTE(Lifting_Incidents[Item Lifted Category],CHAR(160)," "))=A75),--(TRIM(SUBSTITUTE(Lifting_Incidents[Region/District],CHAR(160)," "))=TRIM($B$2))))</f>
        <v>59</v>
      </c>
      <c r="C75" s="154">
        <f>IF(TRIM($B$2)="All",SUMPRODUCT(--(Lifting_Incidents[Date]&gt;=$B$1),--(Lifting_Incidents[Date]&lt;EDATE($B$1,1)),--(TRIM(SUBSTITUTE(Lifting_Incidents[Item Lifted Category],CHAR(160)," "))=A75)),SUMPRODUCT(--(Lifting_Incidents[Date]&gt;=$B$1),--(Lifting_Incidents[Date]&lt;EDATE($B$1,1)),--(TRIM(SUBSTITUTE(Lifting_Incidents[Item Lifted Category],CHAR(160)," "))=A75),--(TRIM(SUBSTITUTE(Lifting_Incidents[Region/District],CHAR(160)," "))=TRIM($B$2))))</f>
        <v>0</v>
      </c>
      <c r="D75" s="154">
        <f t="shared" si="2"/>
        <v>59</v>
      </c>
    </row>
    <row r="76" spans="1:4" ht="30" customHeight="1">
      <c r="A76" s="137" t="s">
        <v>117</v>
      </c>
      <c r="B76" s="154">
        <f>IF(TRIM($B$2)="All",SUMPRODUCT(--(Lifting_Incidents[Date]&gt;=DATE(2025,1,1)),--(Lifting_Incidents[Date]&lt;$B$1),--(TRIM(SUBSTITUTE(Lifting_Incidents[Item Lifted Category],CHAR(160)," "))=A76)),SUMPRODUCT(--(Lifting_Incidents[Date]&gt;=DATE(2025,1,1)),--(Lifting_Incidents[Date]&lt;$B$1),--(TRIM(SUBSTITUTE(Lifting_Incidents[Item Lifted Category],CHAR(160)," "))=A76),--(TRIM(SUBSTITUTE(Lifting_Incidents[Region/District],CHAR(160)," "))=TRIM($B$2))))</f>
        <v>47</v>
      </c>
      <c r="C76" s="154">
        <f>IF(TRIM($B$2)="All",SUMPRODUCT(--(Lifting_Incidents[Date]&gt;=$B$1),--(Lifting_Incidents[Date]&lt;EDATE($B$1,1)),--(TRIM(SUBSTITUTE(Lifting_Incidents[Item Lifted Category],CHAR(160)," "))=A76)),SUMPRODUCT(--(Lifting_Incidents[Date]&gt;=$B$1),--(Lifting_Incidents[Date]&lt;EDATE($B$1,1)),--(TRIM(SUBSTITUTE(Lifting_Incidents[Item Lifted Category],CHAR(160)," "))=A76),--(TRIM(SUBSTITUTE(Lifting_Incidents[Region/District],CHAR(160)," "))=TRIM($B$2))))</f>
        <v>0</v>
      </c>
      <c r="D76" s="154">
        <f t="shared" si="2"/>
        <v>47</v>
      </c>
    </row>
    <row r="77" spans="1:4" ht="30" customHeight="1">
      <c r="A77" s="137" t="s">
        <v>689</v>
      </c>
      <c r="B77" s="154">
        <f>IF(TRIM($B$2)="All",SUMPRODUCT(--(Lifting_Incidents[Date]&gt;=DATE(2025,1,1)),--(Lifting_Incidents[Date]&lt;$B$1),--(TRIM(SUBSTITUTE(Lifting_Incidents[Item Lifted Category],CHAR(160)," "))=A77)),SUMPRODUCT(--(Lifting_Incidents[Date]&gt;=DATE(2025,1,1)),--(Lifting_Incidents[Date]&lt;$B$1),--(TRIM(SUBSTITUTE(Lifting_Incidents[Item Lifted Category],CHAR(160)," "))=A77),--(TRIM(SUBSTITUTE(Lifting_Incidents[Region/District],CHAR(160)," "))=TRIM($B$2))))</f>
        <v>10</v>
      </c>
      <c r="C77" s="154">
        <f>IF(TRIM($B$2)="All",SUMPRODUCT(--(Lifting_Incidents[Date]&gt;=$B$1),--(Lifting_Incidents[Date]&lt;EDATE($B$1,1)),--(TRIM(SUBSTITUTE(Lifting_Incidents[Item Lifted Category],CHAR(160)," "))=A77)),SUMPRODUCT(--(Lifting_Incidents[Date]&gt;=$B$1),--(Lifting_Incidents[Date]&lt;EDATE($B$1,1)),--(TRIM(SUBSTITUTE(Lifting_Incidents[Item Lifted Category],CHAR(160)," "))=A77),--(TRIM(SUBSTITUTE(Lifting_Incidents[Region/District],CHAR(160)," "))=TRIM($B$2))))</f>
        <v>3</v>
      </c>
      <c r="D77" s="154">
        <f t="shared" si="2"/>
        <v>13</v>
      </c>
    </row>
    <row r="78" spans="1:4" ht="30" customHeight="1">
      <c r="A78" s="137" t="s">
        <v>1611</v>
      </c>
      <c r="B78" s="154">
        <f>IF(TRIM($B$2)="All",SUMPRODUCT(--(Lifting_Incidents[Date]&gt;=DATE(2025,1,1)),--(Lifting_Incidents[Date]&lt;$B$1),--(TRIM(SUBSTITUTE(Lifting_Incidents[Item Lifted Category],CHAR(160)," "))=A78)),SUMPRODUCT(--(Lifting_Incidents[Date]&gt;=DATE(2025,1,1)),--(Lifting_Incidents[Date]&lt;$B$1),--(TRIM(SUBSTITUTE(Lifting_Incidents[Item Lifted Category],CHAR(160)," "))=A78),--(TRIM(SUBSTITUTE(Lifting_Incidents[Region/District],CHAR(160)," "))=TRIM($B$2))))</f>
        <v>20</v>
      </c>
      <c r="C78" s="154">
        <f>IF(TRIM($B$2)="All",SUMPRODUCT(--(Lifting_Incidents[Date]&gt;=$B$1),--(Lifting_Incidents[Date]&lt;EDATE($B$1,1)),--(TRIM(SUBSTITUTE(Lifting_Incidents[Item Lifted Category],CHAR(160)," "))=A78)),SUMPRODUCT(--(Lifting_Incidents[Date]&gt;=$B$1),--(Lifting_Incidents[Date]&lt;EDATE($B$1,1)),--(TRIM(SUBSTITUTE(Lifting_Incidents[Item Lifted Category],CHAR(160)," "))=A78),--(TRIM(SUBSTITUTE(Lifting_Incidents[Region/District],CHAR(160)," "))=TRIM($B$2))))</f>
        <v>2</v>
      </c>
      <c r="D78" s="154">
        <f t="shared" si="2"/>
        <v>22</v>
      </c>
    </row>
    <row r="79" spans="1:4" ht="30" customHeight="1">
      <c r="A79" s="137" t="s">
        <v>453</v>
      </c>
      <c r="B79" s="154">
        <f>IF(TRIM($B$2)="All",SUMPRODUCT(--(Lifting_Incidents[Date]&gt;=DATE(2025,1,1)),--(Lifting_Incidents[Date]&lt;$B$1),--(TRIM(SUBSTITUTE(Lifting_Incidents[Item Lifted Category],CHAR(160)," "))=A79)),SUMPRODUCT(--(Lifting_Incidents[Date]&gt;=DATE(2025,1,1)),--(Lifting_Incidents[Date]&lt;$B$1),--(TRIM(SUBSTITUTE(Lifting_Incidents[Item Lifted Category],CHAR(160)," "))=A79),--(TRIM(SUBSTITUTE(Lifting_Incidents[Region/District],CHAR(160)," "))=TRIM($B$2))))</f>
        <v>40</v>
      </c>
      <c r="C79" s="154">
        <f>IF(TRIM($B$2)="All",SUMPRODUCT(--(Lifting_Incidents[Date]&gt;=$B$1),--(Lifting_Incidents[Date]&lt;EDATE($B$1,1)),--(TRIM(SUBSTITUTE(Lifting_Incidents[Item Lifted Category],CHAR(160)," "))=A79)),SUMPRODUCT(--(Lifting_Incidents[Date]&gt;=$B$1),--(Lifting_Incidents[Date]&lt;EDATE($B$1,1)),--(TRIM(SUBSTITUTE(Lifting_Incidents[Item Lifted Category],CHAR(160)," "))=A79),--(TRIM(SUBSTITUTE(Lifting_Incidents[Region/District],CHAR(160)," "))=TRIM($B$2))))</f>
        <v>0</v>
      </c>
      <c r="D79" s="154">
        <f t="shared" si="2"/>
        <v>40</v>
      </c>
    </row>
    <row r="80" spans="1:4" ht="30" customHeight="1">
      <c r="A80" s="137" t="s">
        <v>670</v>
      </c>
      <c r="B80" s="154">
        <f>IF(TRIM($B$2)="All",SUMPRODUCT(--(Lifting_Incidents[Date]&gt;=DATE(2025,1,1)),--(Lifting_Incidents[Date]&lt;$B$1),--(TRIM(SUBSTITUTE(Lifting_Incidents[Item Lifted Category],CHAR(160)," "))=A80)),SUMPRODUCT(--(Lifting_Incidents[Date]&gt;=DATE(2025,1,1)),--(Lifting_Incidents[Date]&lt;$B$1),--(TRIM(SUBSTITUTE(Lifting_Incidents[Item Lifted Category],CHAR(160)," "))=A80),--(TRIM(SUBSTITUTE(Lifting_Incidents[Region/District],CHAR(160)," "))=TRIM($B$2))))</f>
        <v>38</v>
      </c>
      <c r="C80" s="154">
        <f>IF(TRIM($B$2)="All",SUMPRODUCT(--(Lifting_Incidents[Date]&gt;=$B$1),--(Lifting_Incidents[Date]&lt;EDATE($B$1,1)),--(TRIM(SUBSTITUTE(Lifting_Incidents[Item Lifted Category],CHAR(160)," "))=A80)),SUMPRODUCT(--(Lifting_Incidents[Date]&gt;=$B$1),--(Lifting_Incidents[Date]&lt;EDATE($B$1,1)),--(TRIM(SUBSTITUTE(Lifting_Incidents[Item Lifted Category],CHAR(160)," "))=A80),--(TRIM(SUBSTITUTE(Lifting_Incidents[Region/District],CHAR(160)," "))=TRIM($B$2))))</f>
        <v>3</v>
      </c>
      <c r="D80" s="154">
        <f t="shared" si="2"/>
        <v>41</v>
      </c>
    </row>
    <row r="81" spans="1:4" ht="30" customHeight="1">
      <c r="A81" s="137" t="s">
        <v>251</v>
      </c>
      <c r="B81" s="154">
        <f>IF(TRIM($B$2)="All",SUMPRODUCT(--(Lifting_Incidents[Date]&gt;=DATE(2025,1,1)),--(Lifting_Incidents[Date]&lt;$B$1),--(TRIM(SUBSTITUTE(Lifting_Incidents[Item Lifted Category],CHAR(160)," "))=A81)),SUMPRODUCT(--(Lifting_Incidents[Date]&gt;=DATE(2025,1,1)),--(Lifting_Incidents[Date]&lt;$B$1),--(TRIM(SUBSTITUTE(Lifting_Incidents[Item Lifted Category],CHAR(160)," "))=A81),--(TRIM(SUBSTITUTE(Lifting_Incidents[Region/District],CHAR(160)," "))=TRIM($B$2))))</f>
        <v>11</v>
      </c>
      <c r="C81" s="154">
        <f>IF(TRIM($B$2)="All",SUMPRODUCT(--(Lifting_Incidents[Date]&gt;=$B$1),--(Lifting_Incidents[Date]&lt;EDATE($B$1,1)),--(TRIM(SUBSTITUTE(Lifting_Incidents[Item Lifted Category],CHAR(160)," "))=A81)),SUMPRODUCT(--(Lifting_Incidents[Date]&gt;=$B$1),--(Lifting_Incidents[Date]&lt;EDATE($B$1,1)),--(TRIM(SUBSTITUTE(Lifting_Incidents[Item Lifted Category],CHAR(160)," "))=A81),--(TRIM(SUBSTITUTE(Lifting_Incidents[Region/District],CHAR(160)," "))=TRIM($B$2))))</f>
        <v>0</v>
      </c>
      <c r="D81" s="154">
        <f t="shared" si="2"/>
        <v>11</v>
      </c>
    </row>
    <row r="82" spans="1:4" ht="30" customHeight="1">
      <c r="A82" s="137" t="s">
        <v>517</v>
      </c>
      <c r="B82" s="154">
        <f>IF(TRIM($B$2)="All",SUMPRODUCT(--(Lifting_Incidents[Date]&gt;=DATE(2025,1,1)),--(Lifting_Incidents[Date]&lt;$B$1),--(TRIM(SUBSTITUTE(Lifting_Incidents[Item Lifted Category],CHAR(160)," "))=A82)),SUMPRODUCT(--(Lifting_Incidents[Date]&gt;=DATE(2025,1,1)),--(Lifting_Incidents[Date]&lt;$B$1),--(TRIM(SUBSTITUTE(Lifting_Incidents[Item Lifted Category],CHAR(160)," "))=A82),--(TRIM(SUBSTITUTE(Lifting_Incidents[Region/District],CHAR(160)," "))=TRIM($B$2))))</f>
        <v>47</v>
      </c>
      <c r="C82" s="154">
        <f>IF(TRIM($B$2)="All",SUMPRODUCT(--(Lifting_Incidents[Date]&gt;=$B$1),--(Lifting_Incidents[Date]&lt;EDATE($B$1,1)),--(TRIM(SUBSTITUTE(Lifting_Incidents[Item Lifted Category],CHAR(160)," "))=A82)),SUMPRODUCT(--(Lifting_Incidents[Date]&gt;=$B$1),--(Lifting_Incidents[Date]&lt;EDATE($B$1,1)),--(TRIM(SUBSTITUTE(Lifting_Incidents[Item Lifted Category],CHAR(160)," "))=A82),--(TRIM(SUBSTITUTE(Lifting_Incidents[Region/District],CHAR(160)," "))=TRIM($B$2))))</f>
        <v>3</v>
      </c>
      <c r="D82" s="154">
        <f t="shared" si="2"/>
        <v>50</v>
      </c>
    </row>
    <row r="83" spans="1:4" ht="30" customHeight="1">
      <c r="A83" s="137" t="s">
        <v>405</v>
      </c>
      <c r="B83" s="154">
        <f>IF(TRIM($B$2)="All",SUMPRODUCT(--(Lifting_Incidents[Date]&gt;=DATE(2025,1,1)),--(Lifting_Incidents[Date]&lt;$B$1),--(TRIM(SUBSTITUTE(Lifting_Incidents[Item Lifted Category],CHAR(160)," "))=A83)),SUMPRODUCT(--(Lifting_Incidents[Date]&gt;=DATE(2025,1,1)),--(Lifting_Incidents[Date]&lt;$B$1),--(TRIM(SUBSTITUTE(Lifting_Incidents[Item Lifted Category],CHAR(160)," "))=A83),--(TRIM(SUBSTITUTE(Lifting_Incidents[Region/District],CHAR(160)," "))=TRIM($B$2))))</f>
        <v>46</v>
      </c>
      <c r="C83" s="154">
        <f>IF(TRIM($B$2)="All",SUMPRODUCT(--(Lifting_Incidents[Date]&gt;=$B$1),--(Lifting_Incidents[Date]&lt;EDATE($B$1,1)),--(TRIM(SUBSTITUTE(Lifting_Incidents[Item Lifted Category],CHAR(160)," "))=A83)),SUMPRODUCT(--(Lifting_Incidents[Date]&gt;=$B$1),--(Lifting_Incidents[Date]&lt;EDATE($B$1,1)),--(TRIM(SUBSTITUTE(Lifting_Incidents[Item Lifted Category],CHAR(160)," "))=A83),--(TRIM(SUBSTITUTE(Lifting_Incidents[Region/District],CHAR(160)," "))=TRIM($B$2))))</f>
        <v>2</v>
      </c>
      <c r="D83" s="154">
        <f t="shared" si="2"/>
        <v>48</v>
      </c>
    </row>
    <row r="84" spans="1:4" ht="30" customHeight="1">
      <c r="A84" s="137" t="s">
        <v>684</v>
      </c>
      <c r="B84" s="154">
        <f>IF(TRIM($B$2)="All",SUMPRODUCT(--(Lifting_Incidents[Date]&gt;=DATE(2025,1,1)),--(Lifting_Incidents[Date]&lt;$B$1),--(TRIM(SUBSTITUTE(Lifting_Incidents[Item Lifted Category],CHAR(160)," "))=A84)),SUMPRODUCT(--(Lifting_Incidents[Date]&gt;=DATE(2025,1,1)),--(Lifting_Incidents[Date]&lt;$B$1),--(TRIM(SUBSTITUTE(Lifting_Incidents[Item Lifted Category],CHAR(160)," "))=A84),--(TRIM(SUBSTITUTE(Lifting_Incidents[Region/District],CHAR(160)," "))=TRIM($B$2))))</f>
        <v>18</v>
      </c>
      <c r="C84" s="154">
        <f>IF(TRIM($B$2)="All",SUMPRODUCT(--(Lifting_Incidents[Date]&gt;=$B$1),--(Lifting_Incidents[Date]&lt;EDATE($B$1,1)),--(TRIM(SUBSTITUTE(Lifting_Incidents[Item Lifted Category],CHAR(160)," "))=A84)),SUMPRODUCT(--(Lifting_Incidents[Date]&gt;=$B$1),--(Lifting_Incidents[Date]&lt;EDATE($B$1,1)),--(TRIM(SUBSTITUTE(Lifting_Incidents[Item Lifted Category],CHAR(160)," "))=A84),--(TRIM(SUBSTITUTE(Lifting_Incidents[Region/District],CHAR(160)," "))=TRIM($B$2))))</f>
        <v>0</v>
      </c>
      <c r="D84" s="154">
        <f t="shared" si="2"/>
        <v>18</v>
      </c>
    </row>
    <row r="85" spans="1:4" ht="30" customHeight="1">
      <c r="A85" s="137" t="s">
        <v>409</v>
      </c>
      <c r="B85" s="154">
        <f>IF(TRIM($B$2)="All",SUMPRODUCT(--(Lifting_Incidents[Date]&gt;=DATE(2025,1,1)),--(Lifting_Incidents[Date]&lt;$B$1),--(TRIM(SUBSTITUTE(Lifting_Incidents[Item Lifted Category],CHAR(160)," "))=A85)),SUMPRODUCT(--(Lifting_Incidents[Date]&gt;=DATE(2025,1,1)),--(Lifting_Incidents[Date]&lt;$B$1),--(TRIM(SUBSTITUTE(Lifting_Incidents[Item Lifted Category],CHAR(160)," "))=A85),--(TRIM(SUBSTITUTE(Lifting_Incidents[Region/District],CHAR(160)," "))=TRIM($B$2))))</f>
        <v>15</v>
      </c>
      <c r="C85" s="154">
        <f>IF(TRIM($B$2)="All",SUMPRODUCT(--(Lifting_Incidents[Date]&gt;=$B$1),--(Lifting_Incidents[Date]&lt;EDATE($B$1,1)),--(TRIM(SUBSTITUTE(Lifting_Incidents[Item Lifted Category],CHAR(160)," "))=A85)),SUMPRODUCT(--(Lifting_Incidents[Date]&gt;=$B$1),--(Lifting_Incidents[Date]&lt;EDATE($B$1,1)),--(TRIM(SUBSTITUTE(Lifting_Incidents[Item Lifted Category],CHAR(160)," "))=A85),--(TRIM(SUBSTITUTE(Lifting_Incidents[Region/District],CHAR(160)," "))=TRIM($B$2))))</f>
        <v>4</v>
      </c>
      <c r="D85" s="154">
        <f t="shared" si="2"/>
        <v>19</v>
      </c>
    </row>
    <row r="86" spans="1:4" ht="30" customHeight="1">
      <c r="A86" s="137" t="s">
        <v>1278</v>
      </c>
      <c r="B86" s="154">
        <f>IF(TRIM($B$2)="All",SUMPRODUCT(--(Lifting_Incidents[Date]&gt;=DATE(2025,1,1)),--(Lifting_Incidents[Date]&lt;$B$1),--(TRIM(SUBSTITUTE(Lifting_Incidents[Item Lifted Category],CHAR(160)," "))=A86)),SUMPRODUCT(--(Lifting_Incidents[Date]&gt;=DATE(2025,1,1)),--(Lifting_Incidents[Date]&lt;$B$1),--(TRIM(SUBSTITUTE(Lifting_Incidents[Item Lifted Category],CHAR(160)," "))=A86),--(TRIM(SUBSTITUTE(Lifting_Incidents[Region/District],CHAR(160)," "))=TRIM($B$2))))</f>
        <v>6</v>
      </c>
      <c r="C86" s="154">
        <f>IF(TRIM($B$2)="All",SUMPRODUCT(--(Lifting_Incidents[Date]&gt;=$B$1),--(Lifting_Incidents[Date]&lt;EDATE($B$1,1)),--(TRIM(SUBSTITUTE(Lifting_Incidents[Item Lifted Category],CHAR(160)," "))=A86)),SUMPRODUCT(--(Lifting_Incidents[Date]&gt;=$B$1),--(Lifting_Incidents[Date]&lt;EDATE($B$1,1)),--(TRIM(SUBSTITUTE(Lifting_Incidents[Item Lifted Category],CHAR(160)," "))=A86),--(TRIM(SUBSTITUTE(Lifting_Incidents[Region/District],CHAR(160)," "))=TRIM($B$2))))</f>
        <v>2</v>
      </c>
      <c r="D86" s="154">
        <f t="shared" si="2"/>
        <v>8</v>
      </c>
    </row>
    <row r="87" spans="1:4" ht="30" customHeight="1">
      <c r="A87" s="137" t="s">
        <v>591</v>
      </c>
      <c r="B87" s="154">
        <f>IF(TRIM($B$2)="All",SUMPRODUCT(--(Lifting_Incidents[Date]&gt;=DATE(2025,1,1)),--(Lifting_Incidents[Date]&lt;$B$1),--(TRIM(SUBSTITUTE(Lifting_Incidents[Item Lifted Category],CHAR(160)," "))=A87)),SUMPRODUCT(--(Lifting_Incidents[Date]&gt;=DATE(2025,1,1)),--(Lifting_Incidents[Date]&lt;$B$1),--(TRIM(SUBSTITUTE(Lifting_Incidents[Item Lifted Category],CHAR(160)," "))=A87),--(TRIM(SUBSTITUTE(Lifting_Incidents[Region/District],CHAR(160)," "))=TRIM($B$2))))</f>
        <v>17</v>
      </c>
      <c r="C87" s="154">
        <f>IF(TRIM($B$2)="All",SUMPRODUCT(--(Lifting_Incidents[Date]&gt;=$B$1),--(Lifting_Incidents[Date]&lt;EDATE($B$1,1)),--(TRIM(SUBSTITUTE(Lifting_Incidents[Item Lifted Category],CHAR(160)," "))=A87)),SUMPRODUCT(--(Lifting_Incidents[Date]&gt;=$B$1),--(Lifting_Incidents[Date]&lt;EDATE($B$1,1)),--(TRIM(SUBSTITUTE(Lifting_Incidents[Item Lifted Category],CHAR(160)," "))=A87),--(TRIM(SUBSTITUTE(Lifting_Incidents[Region/District],CHAR(160)," "))=TRIM($B$2))))</f>
        <v>0</v>
      </c>
      <c r="D87" s="154">
        <f t="shared" si="2"/>
        <v>17</v>
      </c>
    </row>
    <row r="88" spans="1:4" ht="30" customHeight="1">
      <c r="A88" s="137" t="s">
        <v>799</v>
      </c>
      <c r="B88" s="154">
        <f>IF(TRIM($B$2)="All",SUMPRODUCT(--(Lifting_Incidents[Date]&gt;=DATE(2025,1,1)),--(Lifting_Incidents[Date]&lt;$B$1),--(TRIM(SUBSTITUTE(Lifting_Incidents[Item Lifted Category],CHAR(160)," "))=A88)),SUMPRODUCT(--(Lifting_Incidents[Date]&gt;=DATE(2025,1,1)),--(Lifting_Incidents[Date]&lt;$B$1),--(TRIM(SUBSTITUTE(Lifting_Incidents[Item Lifted Category],CHAR(160)," "))=A88),--(TRIM(SUBSTITUTE(Lifting_Incidents[Region/District],CHAR(160)," "))=TRIM($B$2))))</f>
        <v>15</v>
      </c>
      <c r="C88" s="154">
        <f>IF(TRIM($B$2)="All",SUMPRODUCT(--(Lifting_Incidents[Date]&gt;=$B$1),--(Lifting_Incidents[Date]&lt;EDATE($B$1,1)),--(TRIM(SUBSTITUTE(Lifting_Incidents[Item Lifted Category],CHAR(160)," "))=A88)),SUMPRODUCT(--(Lifting_Incidents[Date]&gt;=$B$1),--(Lifting_Incidents[Date]&lt;EDATE($B$1,1)),--(TRIM(SUBSTITUTE(Lifting_Incidents[Item Lifted Category],CHAR(160)," "))=A88),--(TRIM(SUBSTITUTE(Lifting_Incidents[Region/District],CHAR(160)," "))=TRIM($B$2))))</f>
        <v>0</v>
      </c>
      <c r="D88" s="154">
        <f t="shared" si="2"/>
        <v>15</v>
      </c>
    </row>
    <row r="89" spans="1:4" ht="30" customHeight="1">
      <c r="A89" s="137" t="s">
        <v>527</v>
      </c>
      <c r="B89" s="154">
        <f>IF(TRIM($B$2)="All",SUMPRODUCT(--(Lifting_Incidents[Date]&gt;=DATE(2025,1,1)),--(Lifting_Incidents[Date]&lt;$B$1),--(TRIM(SUBSTITUTE(Lifting_Incidents[Item Lifted Category],CHAR(160)," "))=A89)),SUMPRODUCT(--(Lifting_Incidents[Date]&gt;=DATE(2025,1,1)),--(Lifting_Incidents[Date]&lt;$B$1),--(TRIM(SUBSTITUTE(Lifting_Incidents[Item Lifted Category],CHAR(160)," "))=A89),--(TRIM(SUBSTITUTE(Lifting_Incidents[Region/District],CHAR(160)," "))=TRIM($B$2))))</f>
        <v>7</v>
      </c>
      <c r="C89" s="154">
        <f>IF(TRIM($B$2)="All",SUMPRODUCT(--(Lifting_Incidents[Date]&gt;=$B$1),--(Lifting_Incidents[Date]&lt;EDATE($B$1,1)),--(TRIM(SUBSTITUTE(Lifting_Incidents[Item Lifted Category],CHAR(160)," "))=A89)),SUMPRODUCT(--(Lifting_Incidents[Date]&gt;=$B$1),--(Lifting_Incidents[Date]&lt;EDATE($B$1,1)),--(TRIM(SUBSTITUTE(Lifting_Incidents[Item Lifted Category],CHAR(160)," "))=A89),--(TRIM(SUBSTITUTE(Lifting_Incidents[Region/District],CHAR(160)," "))=TRIM($B$2))))</f>
        <v>0</v>
      </c>
      <c r="D89" s="154">
        <f t="shared" si="2"/>
        <v>7</v>
      </c>
    </row>
    <row r="90" spans="1:4" ht="30" customHeight="1">
      <c r="A90" s="137" t="s">
        <v>1552</v>
      </c>
      <c r="B90" s="154">
        <f>IF(TRIM($B$2)="All",SUMPRODUCT(--(Lifting_Incidents[Date]&gt;=DATE(2025,1,1)),--(Lifting_Incidents[Date]&lt;$B$1),--(TRIM(SUBSTITUTE(Lifting_Incidents[Item Lifted Category],CHAR(160)," "))=A90)),SUMPRODUCT(--(Lifting_Incidents[Date]&gt;=DATE(2025,1,1)),--(Lifting_Incidents[Date]&lt;$B$1),--(TRIM(SUBSTITUTE(Lifting_Incidents[Item Lifted Category],CHAR(160)," "))=A90),--(TRIM(SUBSTITUTE(Lifting_Incidents[Region/District],CHAR(160)," "))=TRIM($B$2))))</f>
        <v>1</v>
      </c>
      <c r="C90" s="154">
        <f>IF(TRIM($B$2)="All",SUMPRODUCT(--(Lifting_Incidents[Date]&gt;=$B$1),--(Lifting_Incidents[Date]&lt;EDATE($B$1,1)),--(TRIM(SUBSTITUTE(Lifting_Incidents[Item Lifted Category],CHAR(160)," "))=A90)),SUMPRODUCT(--(Lifting_Incidents[Date]&gt;=$B$1),--(Lifting_Incidents[Date]&lt;EDATE($B$1,1)),--(TRIM(SUBSTITUTE(Lifting_Incidents[Item Lifted Category],CHAR(160)," "))=A90),--(TRIM(SUBSTITUTE(Lifting_Incidents[Region/District],CHAR(160)," "))=TRIM($B$2))))</f>
        <v>0</v>
      </c>
      <c r="D90" s="154">
        <f t="shared" si="2"/>
        <v>1</v>
      </c>
    </row>
    <row r="91" spans="1:4" ht="30" customHeight="1">
      <c r="A91" s="137" t="s">
        <v>1105</v>
      </c>
      <c r="B91" s="154">
        <f>IF(TRIM($B$2)="All",SUMPRODUCT(--(Lifting_Incidents[Date]&gt;=DATE(2025,1,1)),--(Lifting_Incidents[Date]&lt;$B$1),--(TRIM(SUBSTITUTE(Lifting_Incidents[Item Lifted Category],CHAR(160)," "))=A91)),SUMPRODUCT(--(Lifting_Incidents[Date]&gt;=DATE(2025,1,1)),--(Lifting_Incidents[Date]&lt;$B$1),--(TRIM(SUBSTITUTE(Lifting_Incidents[Item Lifted Category],CHAR(160)," "))=A91),--(TRIM(SUBSTITUTE(Lifting_Incidents[Region/District],CHAR(160)," "))=TRIM($B$2))))</f>
        <v>3</v>
      </c>
      <c r="C91" s="154">
        <f>IF(TRIM($B$2)="All",SUMPRODUCT(--(Lifting_Incidents[Date]&gt;=$B$1),--(Lifting_Incidents[Date]&lt;EDATE($B$1,1)),--(TRIM(SUBSTITUTE(Lifting_Incidents[Item Lifted Category],CHAR(160)," "))=A91)),SUMPRODUCT(--(Lifting_Incidents[Date]&gt;=$B$1),--(Lifting_Incidents[Date]&lt;EDATE($B$1,1)),--(TRIM(SUBSTITUTE(Lifting_Incidents[Item Lifted Category],CHAR(160)," "))=A91),--(TRIM(SUBSTITUTE(Lifting_Incidents[Region/District],CHAR(160)," "))=TRIM($B$2))))</f>
        <v>0</v>
      </c>
      <c r="D91" s="154">
        <f t="shared" si="2"/>
        <v>3</v>
      </c>
    </row>
    <row r="92" spans="1:4" ht="24.6">
      <c r="A92" s="96" t="s">
        <v>1651</v>
      </c>
      <c r="B92" s="143">
        <f>SUM(B69:B91)</f>
        <v>670</v>
      </c>
      <c r="C92" s="143">
        <f>SUM(C69:C91)</f>
        <v>29</v>
      </c>
      <c r="D92" s="143">
        <f>SUM(D69:D91)</f>
        <v>699</v>
      </c>
    </row>
    <row r="94" spans="1:4" ht="22.8">
      <c r="A94" s="145" t="s">
        <v>1653</v>
      </c>
      <c r="B94" s="147"/>
      <c r="C94" s="147"/>
      <c r="D94" s="147"/>
    </row>
    <row r="95" spans="1:4" ht="22.8">
      <c r="A95" s="145" t="s">
        <v>1642</v>
      </c>
      <c r="B95" s="145" t="str">
        <f>TEXT(DATE(2025,1,1),"mmmm yyyy")&amp;" - "&amp;TEXT(EDATE($B$1,-1),"mmmm yyyy")</f>
        <v>January 2025 - August 2026</v>
      </c>
      <c r="C95" s="145" t="str">
        <f>TEXT($B$1,"mmmm yyyy")</f>
        <v>September 2026</v>
      </c>
      <c r="D95" s="145" t="s">
        <v>19</v>
      </c>
    </row>
    <row r="96" spans="1:4" ht="30" customHeight="1">
      <c r="A96" s="139" t="s">
        <v>98</v>
      </c>
      <c r="B96" s="140">
        <f>IF(TRIM($B$2)="All",SUMPRODUCT(--(Lifting_Incidents[Date]&gt;=DATE(2025,1,1)),--(Lifting_Incidents[Date]&lt;$B$1),--(TRIM(SUBSTITUTE(Lifting_Incidents[Operation Type],CHAR(160)," "))=A96)),SUMPRODUCT(--(Lifting_Incidents[Date]&gt;=DATE(2025,1,1)),--(Lifting_Incidents[Date]&lt;$B$1),--(TRIM(SUBSTITUTE(Lifting_Incidents[Operation Type],CHAR(160)," "))=A96),--(TRIM(SUBSTITUTE(Lifting_Incidents[Region/District],CHAR(160)," "))=TRIM($B$2))))</f>
        <v>319</v>
      </c>
      <c r="C96" s="140">
        <f>IF(TRIM($B$2)="All",SUMPRODUCT(--(Lifting_Incidents[Date]&gt;=$B$1),--(Lifting_Incidents[Date]&lt;EDATE($B$1,1)),--(TRIM(SUBSTITUTE(Lifting_Incidents[Operation Type],CHAR(160)," "))=A96)),SUMPRODUCT(--(Lifting_Incidents[Date]&gt;=$B$1),--(Lifting_Incidents[Date]&lt;EDATE($B$1,1)),--(TRIM(SUBSTITUTE(Lifting_Incidents[Operation Type],CHAR(160)," "))=A96),--(TRIM(SUBSTITUTE(Lifting_Incidents[Region/District],CHAR(160)," "))=TRIM($B$2))))</f>
        <v>18</v>
      </c>
      <c r="D96" s="140">
        <f t="shared" ref="D96:D101" si="3">SUM(B96:C96)</f>
        <v>337</v>
      </c>
    </row>
    <row r="97" spans="1:4" ht="30" customHeight="1">
      <c r="A97" s="139" t="s">
        <v>79</v>
      </c>
      <c r="B97" s="140">
        <f>IF(TRIM($B$2)="All",SUMPRODUCT(--(Lifting_Incidents[Date]&gt;=DATE(2025,1,1)),--(Lifting_Incidents[Date]&lt;$B$1),--(TRIM(SUBSTITUTE(Lifting_Incidents[Operation Type],CHAR(160)," "))=A97)),SUMPRODUCT(--(Lifting_Incidents[Date]&gt;=DATE(2025,1,1)),--(Lifting_Incidents[Date]&lt;$B$1),--(TRIM(SUBSTITUTE(Lifting_Incidents[Operation Type],CHAR(160)," "))=A97),--(TRIM(SUBSTITUTE(Lifting_Incidents[Region/District],CHAR(160)," "))=TRIM($B$2))))</f>
        <v>183</v>
      </c>
      <c r="C97" s="140">
        <f>IF(TRIM($B$2)="All",SUMPRODUCT(--(Lifting_Incidents[Date]&gt;=$B$1),--(Lifting_Incidents[Date]&lt;EDATE($B$1,1)),--(TRIM(SUBSTITUTE(Lifting_Incidents[Operation Type],CHAR(160)," "))=A97)),SUMPRODUCT(--(Lifting_Incidents[Date]&gt;=$B$1),--(Lifting_Incidents[Date]&lt;EDATE($B$1,1)),--(TRIM(SUBSTITUTE(Lifting_Incidents[Operation Type],CHAR(160)," "))=A97),--(TRIM(SUBSTITUTE(Lifting_Incidents[Region/District],CHAR(160)," "))=TRIM($B$2))))</f>
        <v>6</v>
      </c>
      <c r="D97" s="140">
        <f t="shared" si="3"/>
        <v>189</v>
      </c>
    </row>
    <row r="98" spans="1:4" ht="30" customHeight="1">
      <c r="A98" s="139" t="s">
        <v>136</v>
      </c>
      <c r="B98" s="140">
        <f>IF(TRIM($B$2)="All",SUMPRODUCT(--(Lifting_Incidents[Date]&gt;=DATE(2025,1,1)),--(Lifting_Incidents[Date]&lt;$B$1),--(TRIM(SUBSTITUTE(Lifting_Incidents[Operation Type],CHAR(160)," "))=A98)),SUMPRODUCT(--(Lifting_Incidents[Date]&gt;=DATE(2025,1,1)),--(Lifting_Incidents[Date]&lt;$B$1),--(TRIM(SUBSTITUTE(Lifting_Incidents[Operation Type],CHAR(160)," "))=A98),--(TRIM(SUBSTITUTE(Lifting_Incidents[Region/District],CHAR(160)," "))=TRIM($B$2))))</f>
        <v>33</v>
      </c>
      <c r="C98" s="140">
        <f>IF(TRIM($B$2)="All",SUMPRODUCT(--(Lifting_Incidents[Date]&gt;=$B$1),--(Lifting_Incidents[Date]&lt;EDATE($B$1,1)),--(TRIM(SUBSTITUTE(Lifting_Incidents[Operation Type],CHAR(160)," "))=A98)),SUMPRODUCT(--(Lifting_Incidents[Date]&gt;=$B$1),--(Lifting_Incidents[Date]&lt;EDATE($B$1,1)),--(TRIM(SUBSTITUTE(Lifting_Incidents[Operation Type],CHAR(160)," "))=A98),--(TRIM(SUBSTITUTE(Lifting_Incidents[Region/District],CHAR(160)," "))=TRIM($B$2))))</f>
        <v>0</v>
      </c>
      <c r="D98" s="140">
        <f t="shared" si="3"/>
        <v>33</v>
      </c>
    </row>
    <row r="99" spans="1:4" ht="30" customHeight="1">
      <c r="A99" s="139" t="s">
        <v>240</v>
      </c>
      <c r="B99" s="140">
        <f>IF(TRIM($B$2)="All",SUMPRODUCT(--(Lifting_Incidents[Date]&gt;=DATE(2025,1,1)),--(Lifting_Incidents[Date]&lt;$B$1),--(TRIM(SUBSTITUTE(Lifting_Incidents[Operation Type],CHAR(160)," "))=A99)),SUMPRODUCT(--(Lifting_Incidents[Date]&gt;=DATE(2025,1,1)),--(Lifting_Incidents[Date]&lt;$B$1),--(TRIM(SUBSTITUTE(Lifting_Incidents[Operation Type],CHAR(160)," "))=A99),--(TRIM(SUBSTITUTE(Lifting_Incidents[Region/District],CHAR(160)," "))=TRIM($B$2))))</f>
        <v>22</v>
      </c>
      <c r="C99" s="140">
        <f>IF(TRIM($B$2)="All",SUMPRODUCT(--(Lifting_Incidents[Date]&gt;=$B$1),--(Lifting_Incidents[Date]&lt;EDATE($B$1,1)),--(TRIM(SUBSTITUTE(Lifting_Incidents[Operation Type],CHAR(160)," "))=A99)),SUMPRODUCT(--(Lifting_Incidents[Date]&gt;=$B$1),--(Lifting_Incidents[Date]&lt;EDATE($B$1,1)),--(TRIM(SUBSTITUTE(Lifting_Incidents[Operation Type],CHAR(160)," "))=A99),--(TRIM(SUBSTITUTE(Lifting_Incidents[Region/District],CHAR(160)," "))=TRIM($B$2))))</f>
        <v>1</v>
      </c>
      <c r="D99" s="140">
        <f t="shared" si="3"/>
        <v>23</v>
      </c>
    </row>
    <row r="100" spans="1:4" ht="30" customHeight="1">
      <c r="A100" s="139" t="s">
        <v>89</v>
      </c>
      <c r="B100" s="140">
        <f>IF(TRIM($B$2)="All",SUMPRODUCT(--(Lifting_Incidents[Date]&gt;=DATE(2025,1,1)),--(Lifting_Incidents[Date]&lt;$B$1),--(TRIM(SUBSTITUTE(Lifting_Incidents[Operation Type],CHAR(160)," "))=A100)),SUMPRODUCT(--(Lifting_Incidents[Date]&gt;=DATE(2025,1,1)),--(Lifting_Incidents[Date]&lt;$B$1),--(TRIM(SUBSTITUTE(Lifting_Incidents[Operation Type],CHAR(160)," "))=A100),--(TRIM(SUBSTITUTE(Lifting_Incidents[Region/District],CHAR(160)," "))=TRIM($B$2))))</f>
        <v>68</v>
      </c>
      <c r="C100" s="140">
        <f>IF(TRIM($B$2)="All",SUMPRODUCT(--(Lifting_Incidents[Date]&gt;=$B$1),--(Lifting_Incidents[Date]&lt;EDATE($B$1,1)),--(TRIM(SUBSTITUTE(Lifting_Incidents[Operation Type],CHAR(160)," "))=A100)),SUMPRODUCT(--(Lifting_Incidents[Date]&gt;=$B$1),--(Lifting_Incidents[Date]&lt;EDATE($B$1,1)),--(TRIM(SUBSTITUTE(Lifting_Incidents[Operation Type],CHAR(160)," "))=A100),--(TRIM(SUBSTITUTE(Lifting_Incidents[Region/District],CHAR(160)," "))=TRIM($B$2))))</f>
        <v>0</v>
      </c>
      <c r="D100" s="140">
        <f t="shared" si="3"/>
        <v>68</v>
      </c>
    </row>
    <row r="101" spans="1:4" ht="30" customHeight="1" thickBot="1">
      <c r="A101" s="139" t="s">
        <v>83</v>
      </c>
      <c r="B101" s="140">
        <f>IF(TRIM($B$2)="All",SUMPRODUCT(--(Lifting_Incidents[Date]&gt;=DATE(2025,1,1)),--(Lifting_Incidents[Date]&lt;$B$1),--(TRIM(SUBSTITUTE(Lifting_Incidents[Operation Type],CHAR(160)," "))=A101)),SUMPRODUCT(--(Lifting_Incidents[Date]&gt;=DATE(2025,1,1)),--(Lifting_Incidents[Date]&lt;$B$1),--(TRIM(SUBSTITUTE(Lifting_Incidents[Operation Type],CHAR(160)," "))=A101),--(TRIM(SUBSTITUTE(Lifting_Incidents[Region/District],CHAR(160)," "))=TRIM($B$2))))</f>
        <v>45</v>
      </c>
      <c r="C101" s="140">
        <f>IF(TRIM($B$2)="All",SUMPRODUCT(--(Lifting_Incidents[Date]&gt;=$B$1),--(Lifting_Incidents[Date]&lt;EDATE($B$1,1)),--(TRIM(SUBSTITUTE(Lifting_Incidents[Operation Type],CHAR(160)," "))=A101)),SUMPRODUCT(--(Lifting_Incidents[Date]&gt;=$B$1),--(Lifting_Incidents[Date]&lt;EDATE($B$1,1)),--(TRIM(SUBSTITUTE(Lifting_Incidents[Operation Type],CHAR(160)," "))=A101),--(TRIM(SUBSTITUTE(Lifting_Incidents[Region/District],CHAR(160)," "))=TRIM($B$2))))</f>
        <v>4</v>
      </c>
      <c r="D101" s="140">
        <f t="shared" si="3"/>
        <v>49</v>
      </c>
    </row>
    <row r="102" spans="1:4" ht="32.4" thickTop="1" thickBot="1">
      <c r="A102" s="96" t="s">
        <v>1651</v>
      </c>
      <c r="B102" s="142">
        <f>SUM(B96:B101)</f>
        <v>670</v>
      </c>
      <c r="C102" s="142">
        <f>SUM(C96:C101)</f>
        <v>29</v>
      </c>
      <c r="D102" s="142">
        <f>SUM(D96:D101)</f>
        <v>699</v>
      </c>
    </row>
    <row r="103" spans="1:4" ht="32.4" thickTop="1" thickBot="1">
      <c r="B103" s="141"/>
      <c r="C103" s="141"/>
      <c r="D103" s="141"/>
    </row>
    <row r="104" spans="1:4" ht="23.4" thickTop="1">
      <c r="A104" s="152" t="s">
        <v>1654</v>
      </c>
      <c r="B104" s="178"/>
      <c r="C104" s="178"/>
      <c r="D104" s="178"/>
    </row>
    <row r="105" spans="1:4" ht="22.8">
      <c r="A105" s="152" t="s">
        <v>1642</v>
      </c>
      <c r="B105" s="152" t="str">
        <f>TEXT(DATE(2025,1,1),"mmmm yyyy")&amp;" - "&amp;TEXT(EDATE($B$1,-1),"mmmm yyyy")</f>
        <v>January 2025 - August 2026</v>
      </c>
      <c r="C105" s="152" t="str">
        <f>TEXT($B$1,"mmmm yyyy")</f>
        <v>September 2026</v>
      </c>
      <c r="D105" s="152" t="s">
        <v>19</v>
      </c>
    </row>
    <row r="106" spans="1:4" ht="30" customHeight="1">
      <c r="A106" s="150" t="s">
        <v>1497</v>
      </c>
      <c r="B106" s="151">
        <f>IF(TRIM($B$2)="All",SUMPRODUCT(--(Lifting_Incidents[Date]&gt;=DATE(2025,1,1)),--(Lifting_Incidents[Date]&lt;$B$1),--(TRIM(SUBSTITUTE(Lifting_Incidents[[Other Operation Type ]],CHAR(160)," "))=A106)),SUMPRODUCT(--(Lifting_Incidents[Date]&gt;=DATE(2025,1,1)),--(Lifting_Incidents[Date]&lt;$B$1),--(TRIM(SUBSTITUTE(Lifting_Incidents[[Other Operation Type ]],CHAR(160)," "))=A106),--(TRIM(SUBSTITUTE(Lifting_Incidents[Region/District],CHAR(160)," "))=TRIM($B$2))))</f>
        <v>57</v>
      </c>
      <c r="C106" s="151">
        <f>IF(TRIM($B$2)="All",SUMPRODUCT(--(Lifting_Incidents[Date]&gt;=$B$1),--(Lifting_Incidents[Date]&lt;EDATE($B$1,1)),--(TRIM(SUBSTITUTE(Lifting_Incidents[[Other Operation Type ]],CHAR(160)," "))=A106)),SUMPRODUCT(--(Lifting_Incidents[Date]&gt;=$B$1),--(Lifting_Incidents[Date]&lt;EDATE($B$1,1)),--(TRIM(SUBSTITUTE(Lifting_Incidents[[Other Operation Type ]],CHAR(160)," "))=A106),--(TRIM(SUBSTITUTE(Lifting_Incidents[Region/District],CHAR(160)," "))=TRIM($B$2))))</f>
        <v>2</v>
      </c>
      <c r="D106" s="151">
        <f t="shared" ref="D106:D122" si="4">SUM(B106:C106)</f>
        <v>59</v>
      </c>
    </row>
    <row r="107" spans="1:4" ht="30" customHeight="1">
      <c r="A107" s="150" t="s">
        <v>1500</v>
      </c>
      <c r="B107" s="151">
        <f>IF(TRIM($B$2)="All",SUMPRODUCT(--(Lifting_Incidents[Date]&gt;=DATE(2025,1,1)),--(Lifting_Incidents[Date]&lt;$B$1),--(TRIM(SUBSTITUTE(Lifting_Incidents[[Other Operation Type ]],CHAR(160)," "))=A107)),SUMPRODUCT(--(Lifting_Incidents[Date]&gt;=DATE(2025,1,1)),--(Lifting_Incidents[Date]&lt;$B$1),--(TRIM(SUBSTITUTE(Lifting_Incidents[[Other Operation Type ]],CHAR(160)," "))=A107),--(TRIM(SUBSTITUTE(Lifting_Incidents[Region/District],CHAR(160)," "))=TRIM($B$2))))</f>
        <v>15</v>
      </c>
      <c r="C107" s="151">
        <f>IF(TRIM($B$2)="All",SUMPRODUCT(--(Lifting_Incidents[Date]&gt;=$B$1),--(Lifting_Incidents[Date]&lt;EDATE($B$1,1)),--(TRIM(SUBSTITUTE(Lifting_Incidents[[Other Operation Type ]],CHAR(160)," "))=A107)),SUMPRODUCT(--(Lifting_Incidents[Date]&gt;=$B$1),--(Lifting_Incidents[Date]&lt;EDATE($B$1,1)),--(TRIM(SUBSTITUTE(Lifting_Incidents[[Other Operation Type ]],CHAR(160)," "))=A107),--(TRIM(SUBSTITUTE(Lifting_Incidents[Region/District],CHAR(160)," "))=TRIM($B$2))))</f>
        <v>0</v>
      </c>
      <c r="D107" s="151">
        <f t="shared" si="4"/>
        <v>15</v>
      </c>
    </row>
    <row r="108" spans="1:4" ht="30" customHeight="1">
      <c r="A108" s="150" t="s">
        <v>1501</v>
      </c>
      <c r="B108" s="151">
        <f>IF(TRIM($B$2)="All",SUMPRODUCT(--(Lifting_Incidents[Date]&gt;=DATE(2025,1,1)),--(Lifting_Incidents[Date]&lt;$B$1),--(TRIM(SUBSTITUTE(Lifting_Incidents[[Other Operation Type ]],CHAR(160)," "))=A108)),SUMPRODUCT(--(Lifting_Incidents[Date]&gt;=DATE(2025,1,1)),--(Lifting_Incidents[Date]&lt;$B$1),--(TRIM(SUBSTITUTE(Lifting_Incidents[[Other Operation Type ]],CHAR(160)," "))=A108),--(TRIM(SUBSTITUTE(Lifting_Incidents[Region/District],CHAR(160)," "))=TRIM($B$2))))</f>
        <v>1</v>
      </c>
      <c r="C108" s="151">
        <f>IF(TRIM($B$2)="All",SUMPRODUCT(--(Lifting_Incidents[Date]&gt;=$B$1),--(Lifting_Incidents[Date]&lt;EDATE($B$1,1)),--(TRIM(SUBSTITUTE(Lifting_Incidents[[Other Operation Type ]],CHAR(160)," "))=A108)),SUMPRODUCT(--(Lifting_Incidents[Date]&gt;=$B$1),--(Lifting_Incidents[Date]&lt;EDATE($B$1,1)),--(TRIM(SUBSTITUTE(Lifting_Incidents[[Other Operation Type ]],CHAR(160)," "))=A108),--(TRIM(SUBSTITUTE(Lifting_Incidents[Region/District],CHAR(160)," "))=TRIM($B$2))))</f>
        <v>0</v>
      </c>
      <c r="D108" s="151">
        <f t="shared" si="4"/>
        <v>1</v>
      </c>
    </row>
    <row r="109" spans="1:4" ht="30" customHeight="1">
      <c r="A109" s="150" t="s">
        <v>1502</v>
      </c>
      <c r="B109" s="151">
        <f>IF(TRIM($B$2)="All",SUMPRODUCT(--(Lifting_Incidents[Date]&gt;=DATE(2025,1,1)),--(Lifting_Incidents[Date]&lt;$B$1),--(TRIM(SUBSTITUTE(Lifting_Incidents[[Other Operation Type ]],CHAR(160)," "))=A109)),SUMPRODUCT(--(Lifting_Incidents[Date]&gt;=DATE(2025,1,1)),--(Lifting_Incidents[Date]&lt;$B$1),--(TRIM(SUBSTITUTE(Lifting_Incidents[[Other Operation Type ]],CHAR(160)," "))=A109),--(TRIM(SUBSTITUTE(Lifting_Incidents[Region/District],CHAR(160)," "))=TRIM($B$2))))</f>
        <v>2</v>
      </c>
      <c r="C109" s="151">
        <f>IF(TRIM($B$2)="All",SUMPRODUCT(--(Lifting_Incidents[Date]&gt;=$B$1),--(Lifting_Incidents[Date]&lt;EDATE($B$1,1)),--(TRIM(SUBSTITUTE(Lifting_Incidents[[Other Operation Type ]],CHAR(160)," "))=A109)),SUMPRODUCT(--(Lifting_Incidents[Date]&gt;=$B$1),--(Lifting_Incidents[Date]&lt;EDATE($B$1,1)),--(TRIM(SUBSTITUTE(Lifting_Incidents[[Other Operation Type ]],CHAR(160)," "))=A109),--(TRIM(SUBSTITUTE(Lifting_Incidents[Region/District],CHAR(160)," "))=TRIM($B$2))))</f>
        <v>0</v>
      </c>
      <c r="D109" s="151">
        <f t="shared" si="4"/>
        <v>2</v>
      </c>
    </row>
    <row r="110" spans="1:4" ht="30" customHeight="1">
      <c r="A110" s="150" t="s">
        <v>1503</v>
      </c>
      <c r="B110" s="151">
        <f>IF(TRIM($B$2)="All",SUMPRODUCT(--(Lifting_Incidents[Date]&gt;=DATE(2025,1,1)),--(Lifting_Incidents[Date]&lt;$B$1),--(TRIM(SUBSTITUTE(Lifting_Incidents[[Other Operation Type ]],CHAR(160)," "))=A110)),SUMPRODUCT(--(Lifting_Incidents[Date]&gt;=DATE(2025,1,1)),--(Lifting_Incidents[Date]&lt;$B$1),--(TRIM(SUBSTITUTE(Lifting_Incidents[[Other Operation Type ]],CHAR(160)," "))=A110),--(TRIM(SUBSTITUTE(Lifting_Incidents[Region/District],CHAR(160)," "))=TRIM($B$2))))</f>
        <v>10</v>
      </c>
      <c r="C110" s="151">
        <f>IF(TRIM($B$2)="All",SUMPRODUCT(--(Lifting_Incidents[Date]&gt;=$B$1),--(Lifting_Incidents[Date]&lt;EDATE($B$1,1)),--(TRIM(SUBSTITUTE(Lifting_Incidents[[Other Operation Type ]],CHAR(160)," "))=A110)),SUMPRODUCT(--(Lifting_Incidents[Date]&gt;=$B$1),--(Lifting_Incidents[Date]&lt;EDATE($B$1,1)),--(TRIM(SUBSTITUTE(Lifting_Incidents[[Other Operation Type ]],CHAR(160)," "))=A110),--(TRIM(SUBSTITUTE(Lifting_Incidents[Region/District],CHAR(160)," "))=TRIM($B$2))))</f>
        <v>0</v>
      </c>
      <c r="D110" s="151">
        <f t="shared" si="4"/>
        <v>10</v>
      </c>
    </row>
    <row r="111" spans="1:4" ht="30" customHeight="1">
      <c r="A111" s="150" t="s">
        <v>1504</v>
      </c>
      <c r="B111" s="151">
        <f>IF(TRIM($B$2)="All",SUMPRODUCT(--(Lifting_Incidents[Date]&gt;=DATE(2025,1,1)),--(Lifting_Incidents[Date]&lt;$B$1),--(TRIM(SUBSTITUTE(Lifting_Incidents[[Other Operation Type ]],CHAR(160)," "))=A111)),SUMPRODUCT(--(Lifting_Incidents[Date]&gt;=DATE(2025,1,1)),--(Lifting_Incidents[Date]&lt;$B$1),--(TRIM(SUBSTITUTE(Lifting_Incidents[[Other Operation Type ]],CHAR(160)," "))=A111),--(TRIM(SUBSTITUTE(Lifting_Incidents[Region/District],CHAR(160)," "))=TRIM($B$2))))</f>
        <v>3</v>
      </c>
      <c r="C111" s="151">
        <f>IF(TRIM($B$2)="All",SUMPRODUCT(--(Lifting_Incidents[Date]&gt;=$B$1),--(Lifting_Incidents[Date]&lt;EDATE($B$1,1)),--(TRIM(SUBSTITUTE(Lifting_Incidents[[Other Operation Type ]],CHAR(160)," "))=A111)),SUMPRODUCT(--(Lifting_Incidents[Date]&gt;=$B$1),--(Lifting_Incidents[Date]&lt;EDATE($B$1,1)),--(TRIM(SUBSTITUTE(Lifting_Incidents[[Other Operation Type ]],CHAR(160)," "))=A111),--(TRIM(SUBSTITUTE(Lifting_Incidents[Region/District],CHAR(160)," "))=TRIM($B$2))))</f>
        <v>0</v>
      </c>
      <c r="D111" s="151">
        <f t="shared" si="4"/>
        <v>3</v>
      </c>
    </row>
    <row r="112" spans="1:4" ht="30" customHeight="1">
      <c r="A112" s="150" t="s">
        <v>1512</v>
      </c>
      <c r="B112" s="151">
        <f>IF(TRIM($B$2)="All",SUMPRODUCT(--(Lifting_Incidents[Date]&gt;=DATE(2025,1,1)),--(Lifting_Incidents[Date]&lt;$B$1),--(TRIM(SUBSTITUTE(Lifting_Incidents[[Other Operation Type ]],CHAR(160)," "))=A112)),SUMPRODUCT(--(Lifting_Incidents[Date]&gt;=DATE(2025,1,1)),--(Lifting_Incidents[Date]&lt;$B$1),--(TRIM(SUBSTITUTE(Lifting_Incidents[[Other Operation Type ]],CHAR(160)," "))=A112),--(TRIM(SUBSTITUTE(Lifting_Incidents[Region/District],CHAR(160)," "))=TRIM($B$2))))</f>
        <v>47</v>
      </c>
      <c r="C112" s="151">
        <f>IF(TRIM($B$2)="All",SUMPRODUCT(--(Lifting_Incidents[Date]&gt;=$B$1),--(Lifting_Incidents[Date]&lt;EDATE($B$1,1)),--(TRIM(SUBSTITUTE(Lifting_Incidents[[Other Operation Type ]],CHAR(160)," "))=A112)),SUMPRODUCT(--(Lifting_Incidents[Date]&gt;=$B$1),--(Lifting_Incidents[Date]&lt;EDATE($B$1,1)),--(TRIM(SUBSTITUTE(Lifting_Incidents[[Other Operation Type ]],CHAR(160)," "))=A112),--(TRIM(SUBSTITUTE(Lifting_Incidents[Region/District],CHAR(160)," "))=TRIM($B$2))))</f>
        <v>4</v>
      </c>
      <c r="D112" s="151">
        <f t="shared" si="4"/>
        <v>51</v>
      </c>
    </row>
    <row r="113" spans="1:4" ht="30" customHeight="1">
      <c r="A113" s="150" t="s">
        <v>1499</v>
      </c>
      <c r="B113" s="151">
        <f>IF(TRIM($B$2)="All",SUMPRODUCT(--(Lifting_Incidents[Date]&gt;=DATE(2025,1,1)),--(Lifting_Incidents[Date]&lt;$B$1),--(TRIM(SUBSTITUTE(Lifting_Incidents[[Other Operation Type ]],CHAR(160)," "))=A113)),SUMPRODUCT(--(Lifting_Incidents[Date]&gt;=DATE(2025,1,1)),--(Lifting_Incidents[Date]&lt;$B$1),--(TRIM(SUBSTITUTE(Lifting_Incidents[[Other Operation Type ]],CHAR(160)," "))=A113),--(TRIM(SUBSTITUTE(Lifting_Incidents[Region/District],CHAR(160)," "))=TRIM($B$2))))</f>
        <v>7</v>
      </c>
      <c r="C113" s="151">
        <f>IF(TRIM($B$2)="All",SUMPRODUCT(--(Lifting_Incidents[Date]&gt;=$B$1),--(Lifting_Incidents[Date]&lt;EDATE($B$1,1)),--(TRIM(SUBSTITUTE(Lifting_Incidents[[Other Operation Type ]],CHAR(160)," "))=A113)),SUMPRODUCT(--(Lifting_Incidents[Date]&gt;=$B$1),--(Lifting_Incidents[Date]&lt;EDATE($B$1,1)),--(TRIM(SUBSTITUTE(Lifting_Incidents[[Other Operation Type ]],CHAR(160)," "))=A113),--(TRIM(SUBSTITUTE(Lifting_Incidents[Region/District],CHAR(160)," "))=TRIM($B$2))))</f>
        <v>0</v>
      </c>
      <c r="D113" s="151">
        <f t="shared" si="4"/>
        <v>7</v>
      </c>
    </row>
    <row r="114" spans="1:4" ht="30" customHeight="1">
      <c r="A114" s="150" t="s">
        <v>1655</v>
      </c>
      <c r="B114" s="151">
        <f>IF(TRIM($B$2)="All",SUMPRODUCT(--(Lifting_Incidents[Date]&gt;=DATE(2025,1,1)),--(Lifting_Incidents[Date]&lt;$B$1),--(TRIM(SUBSTITUTE(Lifting_Incidents[[Other Operation Type ]],CHAR(160)," "))=A114)),SUMPRODUCT(--(Lifting_Incidents[Date]&gt;=DATE(2025,1,1)),--(Lifting_Incidents[Date]&lt;$B$1),--(TRIM(SUBSTITUTE(Lifting_Incidents[[Other Operation Type ]],CHAR(160)," "))=A114),--(TRIM(SUBSTITUTE(Lifting_Incidents[Region/District],CHAR(160)," "))=TRIM($B$2))))</f>
        <v>2</v>
      </c>
      <c r="C114" s="151">
        <f>IF(TRIM($B$2)="All",SUMPRODUCT(--(Lifting_Incidents[Date]&gt;=$B$1),--(Lifting_Incidents[Date]&lt;EDATE($B$1,1)),--(TRIM(SUBSTITUTE(Lifting_Incidents[[Other Operation Type ]],CHAR(160)," "))=A114)),SUMPRODUCT(--(Lifting_Incidents[Date]&gt;=$B$1),--(Lifting_Incidents[Date]&lt;EDATE($B$1,1)),--(TRIM(SUBSTITUTE(Lifting_Incidents[[Other Operation Type ]],CHAR(160)," "))=A114),--(TRIM(SUBSTITUTE(Lifting_Incidents[Region/District],CHAR(160)," "))=TRIM($B$2))))</f>
        <v>0</v>
      </c>
      <c r="D114" s="151">
        <f t="shared" si="4"/>
        <v>2</v>
      </c>
    </row>
    <row r="115" spans="1:4" ht="30" customHeight="1">
      <c r="A115" s="150" t="s">
        <v>1511</v>
      </c>
      <c r="B115" s="151">
        <f>IF(TRIM($B$2)="All",SUMPRODUCT(--(Lifting_Incidents[Date]&gt;=DATE(2025,1,1)),--(Lifting_Incidents[Date]&lt;$B$1),--(TRIM(SUBSTITUTE(Lifting_Incidents[[Other Operation Type ]],CHAR(160)," "))=A115)),SUMPRODUCT(--(Lifting_Incidents[Date]&gt;=DATE(2025,1,1)),--(Lifting_Incidents[Date]&lt;$B$1),--(TRIM(SUBSTITUTE(Lifting_Incidents[[Other Operation Type ]],CHAR(160)," "))=A115),--(TRIM(SUBSTITUTE(Lifting_Incidents[Region/District],CHAR(160)," "))=TRIM($B$2))))</f>
        <v>7</v>
      </c>
      <c r="C115" s="151">
        <f>IF(TRIM($B$2)="All",SUMPRODUCT(--(Lifting_Incidents[Date]&gt;=$B$1),--(Lifting_Incidents[Date]&lt;EDATE($B$1,1)),--(TRIM(SUBSTITUTE(Lifting_Incidents[[Other Operation Type ]],CHAR(160)," "))=A115)),SUMPRODUCT(--(Lifting_Incidents[Date]&gt;=$B$1),--(Lifting_Incidents[Date]&lt;EDATE($B$1,1)),--(TRIM(SUBSTITUTE(Lifting_Incidents[[Other Operation Type ]],CHAR(160)," "))=A115),--(TRIM(SUBSTITUTE(Lifting_Incidents[Region/District],CHAR(160)," "))=TRIM($B$2))))</f>
        <v>2</v>
      </c>
      <c r="D115" s="151">
        <f t="shared" si="4"/>
        <v>9</v>
      </c>
    </row>
    <row r="116" spans="1:4" ht="30" customHeight="1">
      <c r="A116" s="150" t="s">
        <v>1510</v>
      </c>
      <c r="B116" s="151">
        <f>IF(TRIM($B$2)="All",SUMPRODUCT(--(Lifting_Incidents[Date]&gt;=DATE(2025,1,1)),--(Lifting_Incidents[Date]&lt;$B$1),--(TRIM(SUBSTITUTE(Lifting_Incidents[[Other Operation Type ]],CHAR(160)," "))=A116)),SUMPRODUCT(--(Lifting_Incidents[Date]&gt;=DATE(2025,1,1)),--(Lifting_Incidents[Date]&lt;$B$1),--(TRIM(SUBSTITUTE(Lifting_Incidents[[Other Operation Type ]],CHAR(160)," "))=A116),--(TRIM(SUBSTITUTE(Lifting_Incidents[Region/District],CHAR(160)," "))=TRIM($B$2))))</f>
        <v>2</v>
      </c>
      <c r="C116" s="151">
        <f>IF(TRIM($B$2)="All",SUMPRODUCT(--(Lifting_Incidents[Date]&gt;=$B$1),--(Lifting_Incidents[Date]&lt;EDATE($B$1,1)),--(TRIM(SUBSTITUTE(Lifting_Incidents[[Other Operation Type ]],CHAR(160)," "))=A116)),SUMPRODUCT(--(Lifting_Incidents[Date]&gt;=$B$1),--(Lifting_Incidents[Date]&lt;EDATE($B$1,1)),--(TRIM(SUBSTITUTE(Lifting_Incidents[[Other Operation Type ]],CHAR(160)," "))=A116),--(TRIM(SUBSTITUTE(Lifting_Incidents[Region/District],CHAR(160)," "))=TRIM($B$2))))</f>
        <v>0</v>
      </c>
      <c r="D116" s="151">
        <f t="shared" si="4"/>
        <v>2</v>
      </c>
    </row>
    <row r="117" spans="1:4" ht="30" customHeight="1">
      <c r="A117" s="150" t="s">
        <v>1506</v>
      </c>
      <c r="B117" s="151">
        <f>IF(TRIM($B$2)="All",SUMPRODUCT(--(Lifting_Incidents[Date]&gt;=DATE(2025,1,1)),--(Lifting_Incidents[Date]&lt;$B$1),--(TRIM(SUBSTITUTE(Lifting_Incidents[[Other Operation Type ]],CHAR(160)," "))=A117)),SUMPRODUCT(--(Lifting_Incidents[Date]&gt;=DATE(2025,1,1)),--(Lifting_Incidents[Date]&lt;$B$1),--(TRIM(SUBSTITUTE(Lifting_Incidents[[Other Operation Type ]],CHAR(160)," "))=A117),--(TRIM(SUBSTITUTE(Lifting_Incidents[Region/District],CHAR(160)," "))=TRIM($B$2))))</f>
        <v>13</v>
      </c>
      <c r="C117" s="151">
        <f>IF(TRIM($B$2)="All",SUMPRODUCT(--(Lifting_Incidents[Date]&gt;=$B$1),--(Lifting_Incidents[Date]&lt;EDATE($B$1,1)),--(TRIM(SUBSTITUTE(Lifting_Incidents[[Other Operation Type ]],CHAR(160)," "))=A117)),SUMPRODUCT(--(Lifting_Incidents[Date]&gt;=$B$1),--(Lifting_Incidents[Date]&lt;EDATE($B$1,1)),--(TRIM(SUBSTITUTE(Lifting_Incidents[[Other Operation Type ]],CHAR(160)," "))=A117),--(TRIM(SUBSTITUTE(Lifting_Incidents[Region/District],CHAR(160)," "))=TRIM($B$2))))</f>
        <v>1</v>
      </c>
      <c r="D117" s="151">
        <f t="shared" si="4"/>
        <v>14</v>
      </c>
    </row>
    <row r="118" spans="1:4" ht="30" customHeight="1">
      <c r="A118" s="150" t="s">
        <v>1507</v>
      </c>
      <c r="B118" s="151">
        <f>IF(TRIM($B$2)="All",SUMPRODUCT(--(Lifting_Incidents[Date]&gt;=DATE(2025,1,1)),--(Lifting_Incidents[Date]&lt;$B$1),--(TRIM(SUBSTITUTE(Lifting_Incidents[[Other Operation Type ]],CHAR(160)," "))=A118)),SUMPRODUCT(--(Lifting_Incidents[Date]&gt;=DATE(2025,1,1)),--(Lifting_Incidents[Date]&lt;$B$1),--(TRIM(SUBSTITUTE(Lifting_Incidents[[Other Operation Type ]],CHAR(160)," "))=A118),--(TRIM(SUBSTITUTE(Lifting_Incidents[Region/District],CHAR(160)," "))=TRIM($B$2))))</f>
        <v>19</v>
      </c>
      <c r="C118" s="151">
        <f>IF(TRIM($B$2)="All",SUMPRODUCT(--(Lifting_Incidents[Date]&gt;=$B$1),--(Lifting_Incidents[Date]&lt;EDATE($B$1,1)),--(TRIM(SUBSTITUTE(Lifting_Incidents[[Other Operation Type ]],CHAR(160)," "))=A118)),SUMPRODUCT(--(Lifting_Incidents[Date]&gt;=$B$1),--(Lifting_Incidents[Date]&lt;EDATE($B$1,1)),--(TRIM(SUBSTITUTE(Lifting_Incidents[[Other Operation Type ]],CHAR(160)," "))=A118),--(TRIM(SUBSTITUTE(Lifting_Incidents[Region/District],CHAR(160)," "))=TRIM($B$2))))</f>
        <v>0</v>
      </c>
      <c r="D118" s="151">
        <f t="shared" si="4"/>
        <v>19</v>
      </c>
    </row>
    <row r="119" spans="1:4" ht="30" customHeight="1">
      <c r="A119" s="150" t="s">
        <v>1656</v>
      </c>
      <c r="B119" s="151">
        <f>IF(TRIM($B$2)="All",SUMPRODUCT(--(Lifting_Incidents[Date]&gt;=DATE(2025,1,1)),--(Lifting_Incidents[Date]&lt;$B$1),--(TRIM(SUBSTITUTE(Lifting_Incidents[[Other Operation Type ]],CHAR(160)," "))=A119)),SUMPRODUCT(--(Lifting_Incidents[Date]&gt;=DATE(2025,1,1)),--(Lifting_Incidents[Date]&lt;$B$1),--(TRIM(SUBSTITUTE(Lifting_Incidents[[Other Operation Type ]],CHAR(160)," "))=A119),--(TRIM(SUBSTITUTE(Lifting_Incidents[Region/District],CHAR(160)," "))=TRIM($B$2))))</f>
        <v>1</v>
      </c>
      <c r="C119" s="151">
        <f>IF(TRIM($B$2)="All",SUMPRODUCT(--(Lifting_Incidents[Date]&gt;=$B$1),--(Lifting_Incidents[Date]&lt;EDATE($B$1,1)),--(TRIM(SUBSTITUTE(Lifting_Incidents[[Other Operation Type ]],CHAR(160)," "))=A119)),SUMPRODUCT(--(Lifting_Incidents[Date]&gt;=$B$1),--(Lifting_Incidents[Date]&lt;EDATE($B$1,1)),--(TRIM(SUBSTITUTE(Lifting_Incidents[[Other Operation Type ]],CHAR(160)," "))=A119),--(TRIM(SUBSTITUTE(Lifting_Incidents[Region/District],CHAR(160)," "))=TRIM($B$2))))</f>
        <v>1</v>
      </c>
      <c r="D119" s="151">
        <f t="shared" si="4"/>
        <v>2</v>
      </c>
    </row>
    <row r="120" spans="1:4" ht="30" customHeight="1">
      <c r="A120" s="150" t="s">
        <v>86</v>
      </c>
      <c r="B120" s="151">
        <f>IF(TRIM($B$2)="All",SUMPRODUCT(--(Lifting_Incidents[Date]&gt;=DATE(2025,1,1)),--(Lifting_Incidents[Date]&lt;$B$1),--(TRIM(SUBSTITUTE(Lifting_Incidents[[Other Operation Type ]],CHAR(160)," "))=A120)),SUMPRODUCT(--(Lifting_Incidents[Date]&gt;=DATE(2025,1,1)),--(Lifting_Incidents[Date]&lt;$B$1),--(TRIM(SUBSTITUTE(Lifting_Incidents[[Other Operation Type ]],CHAR(160)," "))=A120),--(TRIM(SUBSTITUTE(Lifting_Incidents[Region/District],CHAR(160)," "))=TRIM($B$2))))</f>
        <v>481</v>
      </c>
      <c r="C120" s="151">
        <f>IF(TRIM($B$2)="All",SUMPRODUCT(--(Lifting_Incidents[Date]&gt;=$B$1),--(Lifting_Incidents[Date]&lt;EDATE($B$1,1)),--(TRIM(SUBSTITUTE(Lifting_Incidents[[Other Operation Type ]],CHAR(160)," "))=A120)),SUMPRODUCT(--(Lifting_Incidents[Date]&gt;=$B$1),--(Lifting_Incidents[Date]&lt;EDATE($B$1,1)),--(TRIM(SUBSTITUTE(Lifting_Incidents[[Other Operation Type ]],CHAR(160)," "))=A120),--(TRIM(SUBSTITUTE(Lifting_Incidents[Region/District],CHAR(160)," "))=TRIM($B$2))))</f>
        <v>19</v>
      </c>
      <c r="D120" s="151">
        <f t="shared" si="4"/>
        <v>500</v>
      </c>
    </row>
    <row r="121" spans="1:4" ht="30" customHeight="1">
      <c r="A121" s="150" t="s">
        <v>1657</v>
      </c>
      <c r="B121" s="151">
        <f>IF(TRIM($B$2)="All",SUMPRODUCT(--(Lifting_Incidents[Date]&gt;=DATE(2025,1,1)),--(Lifting_Incidents[Date]&lt;$B$1),--(TRIM(SUBSTITUTE(Lifting_Incidents[[Other Operation Type ]],CHAR(160)," "))=A121)),SUMPRODUCT(--(Lifting_Incidents[Date]&gt;=DATE(2025,1,1)),--(Lifting_Incidents[Date]&lt;$B$1),--(TRIM(SUBSTITUTE(Lifting_Incidents[[Other Operation Type ]],CHAR(160)," "))=A121),--(TRIM(SUBSTITUTE(Lifting_Incidents[Region/District],CHAR(160)," "))=TRIM($B$2))))</f>
        <v>1</v>
      </c>
      <c r="C121" s="151">
        <f>IF(TRIM($B$2)="All",SUMPRODUCT(--(Lifting_Incidents[Date]&gt;=$B$1),--(Lifting_Incidents[Date]&lt;EDATE($B$1,1)),--(TRIM(SUBSTITUTE(Lifting_Incidents[[Other Operation Type ]],CHAR(160)," "))=A121)),SUMPRODUCT(--(Lifting_Incidents[Date]&gt;=$B$1),--(Lifting_Incidents[Date]&lt;EDATE($B$1,1)),--(TRIM(SUBSTITUTE(Lifting_Incidents[[Other Operation Type ]],CHAR(160)," "))=A121),--(TRIM(SUBSTITUTE(Lifting_Incidents[Region/District],CHAR(160)," "))=TRIM($B$2))))</f>
        <v>0</v>
      </c>
      <c r="D121" s="151">
        <f t="shared" si="4"/>
        <v>1</v>
      </c>
    </row>
    <row r="122" spans="1:4" ht="30" customHeight="1">
      <c r="A122" s="150" t="s">
        <v>303</v>
      </c>
      <c r="B122" s="151">
        <f>IF(TRIM($B$2)="All",SUMPRODUCT(--(Lifting_Incidents[Date]&gt;=DATE(2025,1,1)),--(Lifting_Incidents[Date]&lt;$B$1),--(TRIM(SUBSTITUTE(Lifting_Incidents[[Other Operation Type ]],CHAR(160)," "))=A122)),SUMPRODUCT(--(Lifting_Incidents[Date]&gt;=DATE(2025,1,1)),--(Lifting_Incidents[Date]&lt;$B$1),--(TRIM(SUBSTITUTE(Lifting_Incidents[[Other Operation Type ]],CHAR(160)," "))=A122),--(TRIM(SUBSTITUTE(Lifting_Incidents[Region/District],CHAR(160)," "))=TRIM($B$2))))</f>
        <v>2</v>
      </c>
      <c r="C122" s="151">
        <f>IF(TRIM($B$2)="All",SUMPRODUCT(--(Lifting_Incidents[Date]&gt;=$B$1),--(Lifting_Incidents[Date]&lt;EDATE($B$1,1)),--(TRIM(SUBSTITUTE(Lifting_Incidents[[Other Operation Type ]],CHAR(160)," "))=A122)),SUMPRODUCT(--(Lifting_Incidents[Date]&gt;=$B$1),--(Lifting_Incidents[Date]&lt;EDATE($B$1,1)),--(TRIM(SUBSTITUTE(Lifting_Incidents[[Other Operation Type ]],CHAR(160)," "))=A122),--(TRIM(SUBSTITUTE(Lifting_Incidents[Region/District],CHAR(160)," "))=TRIM($B$2))))</f>
        <v>0</v>
      </c>
      <c r="D122" s="151">
        <f t="shared" si="4"/>
        <v>2</v>
      </c>
    </row>
    <row r="123" spans="1:4" ht="24.6">
      <c r="A123" s="145" t="s">
        <v>1651</v>
      </c>
      <c r="B123" s="144">
        <f>SUM(B106:B122)</f>
        <v>670</v>
      </c>
      <c r="C123" s="144">
        <f>SUM(C106:C122)</f>
        <v>29</v>
      </c>
      <c r="D123" s="144">
        <f>SUM(D106:D122)</f>
        <v>699</v>
      </c>
    </row>
    <row r="125" spans="1:4" ht="22.8">
      <c r="A125" s="145" t="s">
        <v>1658</v>
      </c>
      <c r="B125" s="147"/>
      <c r="C125" s="147"/>
      <c r="D125" s="147"/>
    </row>
    <row r="126" spans="1:4" ht="22.8">
      <c r="A126" s="145" t="s">
        <v>1642</v>
      </c>
      <c r="B126" s="145" t="str">
        <f>TEXT(DATE(2025,1,1),"mmmm yyyy")&amp;" - "&amp;TEXT(EDATE($B$1,-1),"mmmm yyyy")</f>
        <v>January 2025 - August 2026</v>
      </c>
      <c r="C126" s="145" t="str">
        <f>TEXT($B$1,"mmmm yyyy")</f>
        <v>September 2026</v>
      </c>
      <c r="D126" s="145" t="s">
        <v>19</v>
      </c>
    </row>
    <row r="127" spans="1:4" ht="30" customHeight="1">
      <c r="A127" s="177" t="s">
        <v>84</v>
      </c>
      <c r="B127" s="166">
        <f>IF(TRIM($B$2)="All",SUMPRODUCT(--(Lifting_Incidents[Date]&gt;=DATE(2025,1,1)),--(Lifting_Incidents[Date]&lt;$B$1),--(TRIM(SUBSTITUTE(Lifting_Incidents[Dropped Object? (Y/N)],CHAR(160)," "))=A127)),SUMPRODUCT(--(Lifting_Incidents[Date]&gt;=DATE(2025,1,1)),--(Lifting_Incidents[Date]&lt;$B$1),--(TRIM(SUBSTITUTE(Lifting_Incidents[Dropped Object? (Y/N)],CHAR(160)," "))=A127),--(TRIM(SUBSTITUTE(Lifting_Incidents[Region/District],CHAR(160)," "))=TRIM($B$2))))</f>
        <v>185</v>
      </c>
      <c r="C127" s="166">
        <f>IF(TRIM($B$2)="All",SUMPRODUCT(--(Lifting_Incidents[Date]&gt;=$B$1),--(Lifting_Incidents[Date]&lt;EDATE($B$1,1)),--(TRIM(SUBSTITUTE(Lifting_Incidents[Dropped Object? (Y/N)],CHAR(160)," "))=A127)),SUMPRODUCT(--(Lifting_Incidents[Date]&gt;=$B$1),--(Lifting_Incidents[Date]&lt;EDATE($B$1,1)),--(TRIM(SUBSTITUTE(Lifting_Incidents[Dropped Object? (Y/N)],CHAR(160)," "))=A127),--(TRIM(SUBSTITUTE(Lifting_Incidents[Region/District],CHAR(160)," "))=TRIM($B$2))))</f>
        <v>7</v>
      </c>
      <c r="D127" s="166">
        <f>SUM(B127:C127)</f>
        <v>192</v>
      </c>
    </row>
    <row r="128" spans="1:4" ht="30" customHeight="1">
      <c r="A128" s="177" t="s">
        <v>85</v>
      </c>
      <c r="B128" s="166">
        <f>IF(TRIM($B$2)="All",SUMPRODUCT(--(Lifting_Incidents[Date]&gt;=DATE(2025,1,1)),--(Lifting_Incidents[Date]&lt;$B$1),--(TRIM(SUBSTITUTE(Lifting_Incidents[Dropped Object? (Y/N)],CHAR(160)," "))=A128)),SUMPRODUCT(--(Lifting_Incidents[Date]&gt;=DATE(2025,1,1)),--(Lifting_Incidents[Date]&lt;$B$1),--(TRIM(SUBSTITUTE(Lifting_Incidents[Dropped Object? (Y/N)],CHAR(160)," "))=A128),--(TRIM(SUBSTITUTE(Lifting_Incidents[Region/District],CHAR(160)," "))=TRIM($B$2))))</f>
        <v>485</v>
      </c>
      <c r="C128" s="166">
        <f>IF(TRIM($B$2)="All",SUMPRODUCT(--(Lifting_Incidents[Date]&gt;=$B$1),--(Lifting_Incidents[Date]&lt;EDATE($B$1,1)),--(TRIM(SUBSTITUTE(Lifting_Incidents[Dropped Object? (Y/N)],CHAR(160)," "))=A128)),SUMPRODUCT(--(Lifting_Incidents[Date]&gt;=$B$1),--(Lifting_Incidents[Date]&lt;EDATE($B$1,1)),--(TRIM(SUBSTITUTE(Lifting_Incidents[Dropped Object? (Y/N)],CHAR(160)," "))=A128),--(TRIM(SUBSTITUTE(Lifting_Incidents[Region/District],CHAR(160)," "))=TRIM($B$2))))</f>
        <v>22</v>
      </c>
      <c r="D128" s="166">
        <f>SUM(B128:C128)</f>
        <v>507</v>
      </c>
    </row>
    <row r="129" spans="1:4" ht="24.6">
      <c r="A129" s="145" t="s">
        <v>1651</v>
      </c>
      <c r="B129" s="144">
        <f>SUM(B127:B128)</f>
        <v>670</v>
      </c>
      <c r="C129" s="144">
        <f>SUM(C127:C128)</f>
        <v>29</v>
      </c>
      <c r="D129" s="144">
        <f>SUM(D127:D128)</f>
        <v>699</v>
      </c>
    </row>
    <row r="131" spans="1:4" ht="22.8">
      <c r="A131" s="145" t="s">
        <v>1485</v>
      </c>
      <c r="B131" s="147"/>
      <c r="C131" s="147"/>
      <c r="D131" s="147"/>
    </row>
    <row r="132" spans="1:4" ht="22.8">
      <c r="A132" s="145" t="s">
        <v>1642</v>
      </c>
      <c r="B132" s="145" t="str">
        <f>TEXT(DATE(2025,1,1),"mmmm yyyy")&amp;" - "&amp;TEXT(EDATE($B$1,-1),"mmmm yyyy")</f>
        <v>January 2025 - August 2026</v>
      </c>
      <c r="C132" s="145" t="str">
        <f>TEXT($B$1,"mmmm yyyy")</f>
        <v>September 2026</v>
      </c>
      <c r="D132" s="145" t="s">
        <v>19</v>
      </c>
    </row>
    <row r="133" spans="1:4" ht="30" customHeight="1">
      <c r="A133" s="176" t="s">
        <v>84</v>
      </c>
      <c r="B133" s="167">
        <f>IF(TRIM($B$2)="All",SUMPRODUCT(--(Lifting_Incidents[Date]&gt;=DATE(2025,1,1)),--(Lifting_Incidents[Date]&lt;$B$1),--(TRIM(SUBSTITUTE(Lifting_Incidents[Injury? (Y/N)],CHAR(160)," "))=A133)),SUMPRODUCT(--(Lifting_Incidents[Date]&gt;=DATE(2025,1,1)),--(Lifting_Incidents[Date]&lt;$B$1),--(TRIM(SUBSTITUTE(Lifting_Incidents[Injury? (Y/N)],CHAR(160)," "))=A133),--(TRIM(SUBSTITUTE(Lifting_Incidents[Region/District],CHAR(160)," "))=TRIM($B$2))))</f>
        <v>53</v>
      </c>
      <c r="C133" s="167">
        <f>IF(TRIM($B$2)="All",SUMPRODUCT(--(Lifting_Incidents[Date]&gt;=$B$1),--(Lifting_Incidents[Date]&lt;EDATE($B$1,1)),--(TRIM(SUBSTITUTE(Lifting_Incidents[Injury? (Y/N)],CHAR(160)," "))=A133)),SUMPRODUCT(--(Lifting_Incidents[Date]&gt;=$B$1),--(Lifting_Incidents[Date]&lt;EDATE($B$1,1)),--(TRIM(SUBSTITUTE(Lifting_Incidents[Injury? (Y/N)],CHAR(160)," "))=A133),--(TRIM(SUBSTITUTE(Lifting_Incidents[Region/District],CHAR(160)," "))=TRIM($B$2))))</f>
        <v>5</v>
      </c>
      <c r="D133" s="167">
        <f>SUM(B133:C133)</f>
        <v>58</v>
      </c>
    </row>
    <row r="134" spans="1:4" ht="30" customHeight="1">
      <c r="A134" s="176" t="s">
        <v>85</v>
      </c>
      <c r="B134" s="167">
        <f>IF(TRIM($B$2)="All",SUMPRODUCT(--(Lifting_Incidents[Date]&gt;=DATE(2025,1,1)),--(Lifting_Incidents[Date]&lt;$B$1),--(TRIM(SUBSTITUTE(Lifting_Incidents[Injury? (Y/N)],CHAR(160)," "))=A134)),SUMPRODUCT(--(Lifting_Incidents[Date]&gt;=DATE(2025,1,1)),--(Lifting_Incidents[Date]&lt;$B$1),--(TRIM(SUBSTITUTE(Lifting_Incidents[Injury? (Y/N)],CHAR(160)," "))=A134),--(TRIM(SUBSTITUTE(Lifting_Incidents[Region/District],CHAR(160)," "))=TRIM($B$2))))</f>
        <v>617</v>
      </c>
      <c r="C134" s="167">
        <f>IF(TRIM($B$2)="All",SUMPRODUCT(--(Lifting_Incidents[Date]&gt;=$B$1),--(Lifting_Incidents[Date]&lt;EDATE($B$1,1)),--(TRIM(SUBSTITUTE(Lifting_Incidents[Injury? (Y/N)],CHAR(160)," "))=A134)),SUMPRODUCT(--(Lifting_Incidents[Date]&gt;=$B$1),--(Lifting_Incidents[Date]&lt;EDATE($B$1,1)),--(TRIM(SUBSTITUTE(Lifting_Incidents[Injury? (Y/N)],CHAR(160)," "))=A134),--(TRIM(SUBSTITUTE(Lifting_Incidents[Region/District],CHAR(160)," "))=TRIM($B$2))))</f>
        <v>24</v>
      </c>
      <c r="D134" s="167">
        <f>SUM(B134:C134)</f>
        <v>641</v>
      </c>
    </row>
    <row r="135" spans="1:4" ht="24.6">
      <c r="A135" s="145" t="s">
        <v>1651</v>
      </c>
      <c r="B135" s="144">
        <f>SUM(B133:B134)</f>
        <v>670</v>
      </c>
      <c r="C135" s="144">
        <f>SUM(C133:C134)</f>
        <v>29</v>
      </c>
      <c r="D135" s="144">
        <f>SUM(D133:D134)</f>
        <v>699</v>
      </c>
    </row>
    <row r="137" spans="1:4" ht="21">
      <c r="A137" s="96" t="s">
        <v>1659</v>
      </c>
      <c r="B137" s="147"/>
      <c r="C137" s="147"/>
      <c r="D137" s="147"/>
    </row>
    <row r="138" spans="1:4" ht="22.8">
      <c r="A138" s="96" t="s">
        <v>1642</v>
      </c>
      <c r="B138" s="145" t="str">
        <f>TEXT(DATE(2025,1,1),"mmmm yyyy")&amp;" - "&amp;TEXT(EDATE($B$1,-1),"mmmm yyyy")</f>
        <v>January 2025 - August 2026</v>
      </c>
      <c r="C138" s="145" t="str">
        <f>TEXT($B$1,"mmmm yyyy")</f>
        <v>September 2026</v>
      </c>
      <c r="D138" s="145" t="s">
        <v>19</v>
      </c>
    </row>
    <row r="139" spans="1:4" ht="30" customHeight="1">
      <c r="A139" s="175" t="s">
        <v>84</v>
      </c>
      <c r="B139" s="168">
        <f>IF(TRIM($B$2)="All",SUMPRODUCT(--(Lifting_Incidents[Date]&gt;=DATE(2025,1,1)),--(Lifting_Incidents[Date]&lt;$B$1),--(TRIM(SUBSTITUTE(Lifting_Incidents[Blind Lift? (Y/N)],CHAR(160)," "))=A139)),SUMPRODUCT(--(Lifting_Incidents[Date]&gt;=DATE(2025,1,1)),--(Lifting_Incidents[Date]&lt;$B$1),--(TRIM(SUBSTITUTE(Lifting_Incidents[Blind Lift? (Y/N)],CHAR(160)," "))=A139),--(TRIM(SUBSTITUTE(Lifting_Incidents[Region/District],CHAR(160)," "))=TRIM($B$2))))</f>
        <v>42</v>
      </c>
      <c r="C139" s="168">
        <f>IF(TRIM($B$2)="All",SUMPRODUCT(--(Lifting_Incidents[Date]&gt;=$B$1),--(Lifting_Incidents[Date]&lt;EDATE($B$1,1)),--(TRIM(SUBSTITUTE(Lifting_Incidents[Blind Lift? (Y/N)],CHAR(160)," "))=A139)),SUMPRODUCT(--(Lifting_Incidents[Date]&gt;=$B$1),--(Lifting_Incidents[Date]&lt;EDATE($B$1,1)),--(TRIM(SUBSTITUTE(Lifting_Incidents[Blind Lift? (Y/N)],CHAR(160)," "))=A139),--(TRIM(SUBSTITUTE(Lifting_Incidents[Region/District],CHAR(160)," "))=TRIM($B$2))))</f>
        <v>1</v>
      </c>
      <c r="D139" s="168">
        <f>SUM(B139:C139)</f>
        <v>43</v>
      </c>
    </row>
    <row r="140" spans="1:4" ht="30" customHeight="1" thickBot="1">
      <c r="A140" s="175" t="s">
        <v>85</v>
      </c>
      <c r="B140" s="168">
        <f>IF(TRIM($B$2)="All",SUMPRODUCT(--(Lifting_Incidents[Date]&gt;=DATE(2025,1,1)),--(Lifting_Incidents[Date]&lt;$B$1),--(TRIM(SUBSTITUTE(Lifting_Incidents[Blind Lift? (Y/N)],CHAR(160)," "))=A140)),SUMPRODUCT(--(Lifting_Incidents[Date]&gt;=DATE(2025,1,1)),--(Lifting_Incidents[Date]&lt;$B$1),--(TRIM(SUBSTITUTE(Lifting_Incidents[Blind Lift? (Y/N)],CHAR(160)," "))=A140),--(TRIM(SUBSTITUTE(Lifting_Incidents[Region/District],CHAR(160)," "))=TRIM($B$2))))</f>
        <v>628</v>
      </c>
      <c r="C140" s="168">
        <f>IF(TRIM($B$2)="All",SUMPRODUCT(--(Lifting_Incidents[Date]&gt;=$B$1),--(Lifting_Incidents[Date]&lt;EDATE($B$1,1)),--(TRIM(SUBSTITUTE(Lifting_Incidents[Blind Lift? (Y/N)],CHAR(160)," "))=A140)),SUMPRODUCT(--(Lifting_Incidents[Date]&gt;=$B$1),--(Lifting_Incidents[Date]&lt;EDATE($B$1,1)),--(TRIM(SUBSTITUTE(Lifting_Incidents[Blind Lift? (Y/N)],CHAR(160)," "))=A140),--(TRIM(SUBSTITUTE(Lifting_Incidents[Region/District],CHAR(160)," "))=TRIM($B$2))))</f>
        <v>28</v>
      </c>
      <c r="D140" s="168">
        <f>SUM(B140:C140)</f>
        <v>656</v>
      </c>
    </row>
    <row r="141" spans="1:4" ht="24.6">
      <c r="A141" s="96" t="s">
        <v>1651</v>
      </c>
      <c r="B141" s="144">
        <f>SUM(B139:B140)</f>
        <v>670</v>
      </c>
      <c r="C141" s="144">
        <f>SUM(C139:C140)</f>
        <v>29</v>
      </c>
      <c r="D141" s="144">
        <f>SUM(D139:D140)</f>
        <v>699</v>
      </c>
    </row>
    <row r="143" spans="1:4" ht="22.8">
      <c r="A143" s="145" t="s">
        <v>1660</v>
      </c>
      <c r="B143" s="147"/>
      <c r="C143" s="147"/>
      <c r="D143" s="147"/>
    </row>
    <row r="144" spans="1:4" ht="22.8">
      <c r="A144" s="145" t="s">
        <v>1642</v>
      </c>
      <c r="B144" s="145" t="str">
        <f>TEXT(DATE(2025,1,1),"mmmm yyyy")&amp;" - "&amp;TEXT(EDATE($B$1,-1),"mmmm yyyy")</f>
        <v>January 2025 - August 2026</v>
      </c>
      <c r="C144" s="145" t="str">
        <f>TEXT($B$1,"mmmm yyyy")</f>
        <v>September 2026</v>
      </c>
      <c r="D144" s="145" t="s">
        <v>19</v>
      </c>
    </row>
    <row r="145" spans="1:4" ht="30" customHeight="1">
      <c r="A145" s="174" t="s">
        <v>118</v>
      </c>
      <c r="B145" s="134">
        <f>IF(TRIM($B$2)="All",SUMPRODUCT(--(Lifting_Incidents[Date]&gt;=DATE(2025,1,1)),--(Lifting_Incidents[Date]&lt;$B$1),--(TRIM(SUBSTITUTE(Lifting_Incidents[Facility Type    (Fixed /Floater)],CHAR(160)," "))=A145)),SUMPRODUCT(--(Lifting_Incidents[Date]&gt;=DATE(2025,1,1)),--(Lifting_Incidents[Date]&lt;$B$1),--(TRIM(SUBSTITUTE(Lifting_Incidents[Facility Type    (Fixed /Floater)],CHAR(160)," "))=A145),--(TRIM(SUBSTITUTE(Lifting_Incidents[Region/District],CHAR(160)," "))=TRIM($B$2))))</f>
        <v>200</v>
      </c>
      <c r="C145" s="134">
        <f>IF(TRIM($B$2)="All",SUMPRODUCT(--(Lifting_Incidents[Date]&gt;=$B$1),--(Lifting_Incidents[Date]&lt;EDATE($B$1,1)),--(TRIM(SUBSTITUTE(Lifting_Incidents[Facility Type    (Fixed /Floater)],CHAR(160)," "))=A145)),SUMPRODUCT(--(Lifting_Incidents[Date]&gt;=$B$1),--(Lifting_Incidents[Date]&lt;EDATE($B$1,1)),--(TRIM(SUBSTITUTE(Lifting_Incidents[Facility Type    (Fixed /Floater)],CHAR(160)," "))=A145),--(TRIM(SUBSTITUTE(Lifting_Incidents[Region/District],CHAR(160)," "))=TRIM($B$2))))</f>
        <v>8</v>
      </c>
      <c r="D145" s="134">
        <f>SUM(B145:C145)</f>
        <v>208</v>
      </c>
    </row>
    <row r="146" spans="1:4" ht="30" customHeight="1">
      <c r="A146" s="174" t="s">
        <v>87</v>
      </c>
      <c r="B146" s="134">
        <f>IF(TRIM($B$2)="All",SUMPRODUCT(--(Lifting_Incidents[Date]&gt;=DATE(2025,1,1)),--(Lifting_Incidents[Date]&lt;$B$1),--(TRIM(SUBSTITUTE(Lifting_Incidents[Facility Type    (Fixed /Floater)],CHAR(160)," "))=A146)),SUMPRODUCT(--(Lifting_Incidents[Date]&gt;=DATE(2025,1,1)),--(Lifting_Incidents[Date]&lt;$B$1),--(TRIM(SUBSTITUTE(Lifting_Incidents[Facility Type    (Fixed /Floater)],CHAR(160)," "))=A146),--(TRIM(SUBSTITUTE(Lifting_Incidents[Region/District],CHAR(160)," "))=TRIM($B$2))))</f>
        <v>470</v>
      </c>
      <c r="C146" s="134">
        <f>IF(TRIM($B$2)="All",SUMPRODUCT(--(Lifting_Incidents[Date]&gt;=$B$1),--(Lifting_Incidents[Date]&lt;EDATE($B$1,1)),--(TRIM(SUBSTITUTE(Lifting_Incidents[Facility Type    (Fixed /Floater)],CHAR(160)," "))=A146)),SUMPRODUCT(--(Lifting_Incidents[Date]&gt;=$B$1),--(Lifting_Incidents[Date]&lt;EDATE($B$1,1)),--(TRIM(SUBSTITUTE(Lifting_Incidents[Facility Type    (Fixed /Floater)],CHAR(160)," "))=A146),--(TRIM(SUBSTITUTE(Lifting_Incidents[Region/District],CHAR(160)," "))=TRIM($B$2))))</f>
        <v>21</v>
      </c>
      <c r="D146" s="134">
        <f>SUM(B146:C146)</f>
        <v>491</v>
      </c>
    </row>
    <row r="147" spans="1:4" ht="24.6">
      <c r="A147" s="145" t="s">
        <v>1651</v>
      </c>
      <c r="B147" s="144">
        <f>SUM(B145:B146)</f>
        <v>670</v>
      </c>
      <c r="C147" s="144">
        <f>SUM(C145:C146)</f>
        <v>29</v>
      </c>
      <c r="D147" s="144">
        <f>SUM(D145:D146)</f>
        <v>699</v>
      </c>
    </row>
    <row r="149" spans="1:4" ht="22.8">
      <c r="A149" s="145" t="s">
        <v>1661</v>
      </c>
      <c r="B149" s="147"/>
      <c r="C149" s="147"/>
      <c r="D149" s="147"/>
    </row>
    <row r="150" spans="1:4" ht="22.8">
      <c r="A150" s="145" t="s">
        <v>1642</v>
      </c>
      <c r="B150" s="96" t="str">
        <f>TEXT(DATE(2025,1,1),"mmmm yyyy")&amp;" - "&amp;TEXT(EDATE($B$1,-1),"mmmm yyyy")</f>
        <v>January 2025 - August 2026</v>
      </c>
      <c r="C150" s="96" t="str">
        <f>TEXT($B$1,"mmmm yyyy")</f>
        <v>September 2026</v>
      </c>
      <c r="D150" s="96" t="s">
        <v>19</v>
      </c>
    </row>
    <row r="151" spans="1:4" ht="30" customHeight="1">
      <c r="A151" s="169" t="s">
        <v>84</v>
      </c>
      <c r="B151" s="170">
        <f>IF(TRIM($B$2)="All",SUMPRODUCT(--(Lifting_Incidents[Date]&gt;=DATE(2025,1,1)),--(Lifting_Incidents[Date]&lt;$B$1),--(TRIM(SUBSTITUTE(Lifting_Incidents[Near Miss],CHAR(160)," "))=A151)),SUMPRODUCT(--(Lifting_Incidents[Date]&gt;=DATE(2025,1,1)),--(Lifting_Incidents[Date]&lt;$B$1),--(TRIM(SUBSTITUTE(Lifting_Incidents[Near Miss],CHAR(160)," "))=A151),--(TRIM(SUBSTITUTE(Lifting_Incidents[Region/District],CHAR(160)," "))=TRIM($B$2))))</f>
        <v>26</v>
      </c>
      <c r="C151" s="170">
        <f>IF(TRIM($B$2)="All",SUMPRODUCT(--(Lifting_Incidents[Date]&gt;=$B$1),--(Lifting_Incidents[Date]&lt;EDATE($B$1,1)),--(TRIM(SUBSTITUTE(Lifting_Incidents[Near Miss],CHAR(160)," "))=A151)),SUMPRODUCT(--(Lifting_Incidents[Date]&gt;=$B$1),--(Lifting_Incidents[Date]&lt;EDATE($B$1,1)),--(TRIM(SUBSTITUTE(Lifting_Incidents[Near Miss],CHAR(160)," "))=A151),--(TRIM(SUBSTITUTE(Lifting_Incidents[Region/District],CHAR(160)," "))=TRIM($B$2))))</f>
        <v>15</v>
      </c>
      <c r="D151" s="170">
        <f>SUM(B151:C151)</f>
        <v>41</v>
      </c>
    </row>
    <row r="152" spans="1:4" ht="30" customHeight="1">
      <c r="A152" s="169" t="s">
        <v>85</v>
      </c>
      <c r="B152" s="170">
        <f>IF(TRIM($B$2)="All",SUMPRODUCT(--(Lifting_Incidents[Date]&gt;=DATE(2025,1,1)),--(Lifting_Incidents[Date]&lt;$B$1),--(TRIM(SUBSTITUTE(Lifting_Incidents[Near Miss],CHAR(160)," "))=A152)),SUMPRODUCT(--(Lifting_Incidents[Date]&gt;=DATE(2025,1,1)),--(Lifting_Incidents[Date]&lt;$B$1),--(TRIM(SUBSTITUTE(Lifting_Incidents[Near Miss],CHAR(160)," "))=A152),--(TRIM(SUBSTITUTE(Lifting_Incidents[Region/District],CHAR(160)," "))=TRIM($B$2))))</f>
        <v>644</v>
      </c>
      <c r="C152" s="170">
        <f>IF(TRIM($B$2)="All",SUMPRODUCT(--(Lifting_Incidents[Date]&gt;=$B$1),--(Lifting_Incidents[Date]&lt;EDATE($B$1,1)),--(TRIM(SUBSTITUTE(Lifting_Incidents[Near Miss],CHAR(160)," "))=A152)),SUMPRODUCT(--(Lifting_Incidents[Date]&gt;=$B$1),--(Lifting_Incidents[Date]&lt;EDATE($B$1,1)),--(TRIM(SUBSTITUTE(Lifting_Incidents[Near Miss],CHAR(160)," "))=A152),--(TRIM(SUBSTITUTE(Lifting_Incidents[Region/District],CHAR(160)," "))=TRIM($B$2))))</f>
        <v>14</v>
      </c>
      <c r="D152" s="170">
        <f>SUM(B152:C152)</f>
        <v>658</v>
      </c>
    </row>
    <row r="153" spans="1:4" ht="24.6">
      <c r="A153" s="146" t="s">
        <v>1651</v>
      </c>
      <c r="B153" s="144">
        <f>SUM(B151:B152)</f>
        <v>670</v>
      </c>
      <c r="C153" s="144">
        <f>SUM(C151:C152)</f>
        <v>29</v>
      </c>
      <c r="D153" s="144">
        <f>SUM(D151:D152)</f>
        <v>699</v>
      </c>
    </row>
  </sheetData>
  <pageMargins left="0.7" right="0.7" top="0.75" bottom="0.75" header="0.511811023622047" footer="0.511811023622047"/>
  <pageSetup paperSize="9" orientation="portrait" horizontalDpi="300" verticalDpi="3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9C9C9"/>
  </sheetPr>
  <dimension ref="A1:N72"/>
  <sheetViews>
    <sheetView topLeftCell="D1" zoomScaleNormal="100" workbookViewId="0">
      <selection activeCell="M10" sqref="M10"/>
    </sheetView>
  </sheetViews>
  <sheetFormatPr defaultColWidth="8.5546875" defaultRowHeight="13.2"/>
  <cols>
    <col min="1" max="1" width="14.6640625" customWidth="1"/>
    <col min="2" max="2" width="26.5546875" customWidth="1"/>
    <col min="3" max="3" width="55.5546875" customWidth="1"/>
    <col min="4" max="4" width="63.33203125" customWidth="1"/>
    <col min="5" max="5" width="43.6640625" customWidth="1"/>
    <col min="6" max="6" width="10.6640625" customWidth="1"/>
    <col min="7" max="7" width="8.88671875" customWidth="1"/>
    <col min="8" max="8" width="15.33203125" customWidth="1"/>
    <col min="9" max="9" width="15.6640625" customWidth="1"/>
    <col min="10" max="10" width="28.44140625" customWidth="1"/>
    <col min="11" max="11" width="8" customWidth="1"/>
    <col min="13" max="13" width="49.88671875" customWidth="1"/>
    <col min="14" max="14" width="10.6640625" customWidth="1"/>
  </cols>
  <sheetData>
    <row r="1" spans="1:14" ht="17.25" customHeight="1">
      <c r="A1" s="38" t="s">
        <v>1479</v>
      </c>
      <c r="B1" s="38" t="s">
        <v>65</v>
      </c>
      <c r="C1" s="38" t="s">
        <v>66</v>
      </c>
      <c r="D1" s="38" t="s">
        <v>67</v>
      </c>
      <c r="E1" s="38" t="s">
        <v>69</v>
      </c>
      <c r="F1" s="98" t="s">
        <v>1480</v>
      </c>
      <c r="G1" s="98" t="s">
        <v>1481</v>
      </c>
      <c r="H1" s="98" t="s">
        <v>1482</v>
      </c>
      <c r="I1" s="98" t="s">
        <v>1483</v>
      </c>
      <c r="J1" s="98" t="s">
        <v>1484</v>
      </c>
      <c r="K1" s="38" t="s">
        <v>1485</v>
      </c>
      <c r="L1" s="38" t="s">
        <v>1486</v>
      </c>
      <c r="M1" s="38" t="s">
        <v>77</v>
      </c>
      <c r="N1" s="122" t="s">
        <v>1517</v>
      </c>
    </row>
    <row r="2" spans="1:14" ht="16.5" customHeight="1">
      <c r="A2" t="s">
        <v>20</v>
      </c>
      <c r="B2" s="24" t="s">
        <v>15</v>
      </c>
      <c r="C2" t="s">
        <v>98</v>
      </c>
      <c r="D2" s="99" t="s">
        <v>96</v>
      </c>
      <c r="E2" s="100" t="s">
        <v>93</v>
      </c>
      <c r="F2" s="100" t="s">
        <v>84</v>
      </c>
      <c r="G2" s="24" t="s">
        <v>84</v>
      </c>
      <c r="H2" s="24" t="s">
        <v>84</v>
      </c>
      <c r="I2" s="24" t="s">
        <v>20</v>
      </c>
      <c r="J2" s="24" t="str">
        <f>""</f>
        <v/>
      </c>
      <c r="K2" s="24" t="s">
        <v>84</v>
      </c>
      <c r="L2" s="24" t="s">
        <v>84</v>
      </c>
      <c r="M2" s="24" t="s">
        <v>1497</v>
      </c>
      <c r="N2" s="110" t="s">
        <v>570</v>
      </c>
    </row>
    <row r="3" spans="1:14" ht="12" customHeight="1">
      <c r="A3" t="s">
        <v>21</v>
      </c>
      <c r="B3" s="24" t="s">
        <v>106</v>
      </c>
      <c r="C3" t="s">
        <v>79</v>
      </c>
      <c r="D3" s="24" t="s">
        <v>829</v>
      </c>
      <c r="E3" s="99" t="s">
        <v>102</v>
      </c>
      <c r="F3" s="100" t="s">
        <v>85</v>
      </c>
      <c r="G3" s="24" t="s">
        <v>85</v>
      </c>
      <c r="H3" s="24" t="s">
        <v>85</v>
      </c>
      <c r="I3" s="24" t="s">
        <v>21</v>
      </c>
      <c r="J3" t="str">
        <f>I2</f>
        <v>January 2025</v>
      </c>
      <c r="K3" s="24" t="s">
        <v>85</v>
      </c>
      <c r="L3" s="24" t="s">
        <v>85</v>
      </c>
      <c r="M3" s="110" t="s">
        <v>1498</v>
      </c>
      <c r="N3" s="110" t="s">
        <v>85</v>
      </c>
    </row>
    <row r="4" spans="1:14" ht="15" customHeight="1">
      <c r="A4" t="s">
        <v>22</v>
      </c>
      <c r="B4" s="24" t="s">
        <v>123</v>
      </c>
      <c r="C4" t="s">
        <v>136</v>
      </c>
      <c r="D4" s="39" t="s">
        <v>378</v>
      </c>
      <c r="E4" s="99" t="s">
        <v>135</v>
      </c>
      <c r="H4" s="99"/>
      <c r="I4" s="24" t="s">
        <v>22</v>
      </c>
      <c r="J4" t="str">
        <f>I2 &amp; " - " &amp; I3</f>
        <v>January 2025 - February 2025</v>
      </c>
      <c r="K4" s="101"/>
      <c r="M4" s="110" t="s">
        <v>1499</v>
      </c>
    </row>
    <row r="5" spans="1:14" ht="15" customHeight="1">
      <c r="A5" t="s">
        <v>23</v>
      </c>
      <c r="B5" s="24" t="s">
        <v>220</v>
      </c>
      <c r="C5" t="s">
        <v>240</v>
      </c>
      <c r="D5" s="24" t="s">
        <v>554</v>
      </c>
      <c r="E5" s="100" t="s">
        <v>175</v>
      </c>
      <c r="H5" s="99"/>
      <c r="I5" s="24" t="s">
        <v>23</v>
      </c>
      <c r="J5" t="str">
        <f t="shared" ref="J5:J18" si="0">$I$2 &amp; " - " &amp; I4</f>
        <v>January 2025 - March 2025</v>
      </c>
      <c r="K5" s="101"/>
      <c r="M5" s="110" t="s">
        <v>1500</v>
      </c>
    </row>
    <row r="6" spans="1:14" ht="15" customHeight="1">
      <c r="A6" t="s">
        <v>24</v>
      </c>
      <c r="B6" s="24" t="s">
        <v>88</v>
      </c>
      <c r="C6" s="110" t="s">
        <v>89</v>
      </c>
      <c r="D6" s="39" t="s">
        <v>109</v>
      </c>
      <c r="E6" s="99" t="s">
        <v>114</v>
      </c>
      <c r="H6" s="99"/>
      <c r="I6" s="24" t="s">
        <v>24</v>
      </c>
      <c r="J6" t="str">
        <f t="shared" si="0"/>
        <v>January 2025 - April 2025</v>
      </c>
      <c r="K6" s="101"/>
      <c r="M6" t="s">
        <v>1501</v>
      </c>
    </row>
    <row r="7" spans="1:14" ht="15" customHeight="1">
      <c r="A7" t="s">
        <v>25</v>
      </c>
      <c r="B7" s="24" t="s">
        <v>78</v>
      </c>
      <c r="C7" s="24" t="s">
        <v>83</v>
      </c>
      <c r="D7" s="100" t="s">
        <v>668</v>
      </c>
      <c r="E7" s="100" t="s">
        <v>126</v>
      </c>
      <c r="H7" s="99"/>
      <c r="I7" s="24" t="s">
        <v>25</v>
      </c>
      <c r="J7" t="str">
        <f t="shared" si="0"/>
        <v>January 2025 - May 2025</v>
      </c>
      <c r="K7" s="101"/>
      <c r="M7" t="s">
        <v>1502</v>
      </c>
    </row>
    <row r="8" spans="1:14" ht="17.25" customHeight="1">
      <c r="A8" t="s">
        <v>26</v>
      </c>
      <c r="B8" s="24" t="s">
        <v>190</v>
      </c>
      <c r="C8" s="102" t="s">
        <v>105</v>
      </c>
      <c r="D8" s="99" t="s">
        <v>604</v>
      </c>
      <c r="E8" s="99" t="s">
        <v>83</v>
      </c>
      <c r="H8" s="99"/>
      <c r="I8" s="24" t="s">
        <v>26</v>
      </c>
      <c r="J8" t="str">
        <f t="shared" si="0"/>
        <v>January 2025 - June 2025</v>
      </c>
      <c r="K8" s="101"/>
      <c r="M8" t="s">
        <v>1503</v>
      </c>
    </row>
    <row r="9" spans="1:14" ht="13.5" customHeight="1">
      <c r="A9" t="s">
        <v>27</v>
      </c>
      <c r="B9" s="24" t="s">
        <v>1487</v>
      </c>
      <c r="C9" s="102" t="s">
        <v>212</v>
      </c>
      <c r="D9" s="39" t="s">
        <v>1161</v>
      </c>
      <c r="E9" s="100" t="s">
        <v>117</v>
      </c>
      <c r="I9" s="24" t="s">
        <v>27</v>
      </c>
      <c r="J9" t="str">
        <f t="shared" si="0"/>
        <v>January 2025 - July 2025</v>
      </c>
      <c r="K9" s="101"/>
      <c r="M9" t="s">
        <v>1504</v>
      </c>
    </row>
    <row r="10" spans="1:14" ht="15" customHeight="1">
      <c r="A10" t="s">
        <v>28</v>
      </c>
      <c r="C10" t="s">
        <v>255</v>
      </c>
      <c r="D10" s="100" t="s">
        <v>91</v>
      </c>
      <c r="E10" s="99" t="s">
        <v>799</v>
      </c>
      <c r="I10" s="24" t="s">
        <v>28</v>
      </c>
      <c r="J10" t="str">
        <f t="shared" si="0"/>
        <v>January 2025 - August 2025</v>
      </c>
      <c r="K10" s="101"/>
      <c r="M10" t="s">
        <v>1505</v>
      </c>
    </row>
    <row r="11" spans="1:14" ht="15" customHeight="1">
      <c r="A11" t="s">
        <v>29</v>
      </c>
      <c r="C11" s="24" t="s">
        <v>303</v>
      </c>
      <c r="D11" s="100" t="s">
        <v>526</v>
      </c>
      <c r="E11" s="100" t="s">
        <v>405</v>
      </c>
      <c r="I11" s="24" t="s">
        <v>29</v>
      </c>
      <c r="J11" t="str">
        <f t="shared" si="0"/>
        <v>January 2025 - September 2025</v>
      </c>
      <c r="K11" s="101"/>
      <c r="M11" s="110" t="s">
        <v>1511</v>
      </c>
    </row>
    <row r="12" spans="1:14" ht="15" customHeight="1">
      <c r="A12" t="s">
        <v>30</v>
      </c>
      <c r="C12" t="s">
        <v>187</v>
      </c>
      <c r="D12" s="24" t="s">
        <v>1046</v>
      </c>
      <c r="E12" s="99" t="s">
        <v>453</v>
      </c>
      <c r="I12" s="24" t="s">
        <v>30</v>
      </c>
      <c r="J12" t="str">
        <f t="shared" si="0"/>
        <v>January 2025 - October 2025</v>
      </c>
      <c r="K12" s="101"/>
      <c r="M12" s="110" t="s">
        <v>1506</v>
      </c>
    </row>
    <row r="13" spans="1:14" ht="15" customHeight="1">
      <c r="A13" t="s">
        <v>1</v>
      </c>
      <c r="C13" t="s">
        <v>305</v>
      </c>
      <c r="D13" s="24" t="s">
        <v>905</v>
      </c>
      <c r="E13" s="99" t="s">
        <v>517</v>
      </c>
      <c r="I13" s="24" t="s">
        <v>1</v>
      </c>
      <c r="J13" t="str">
        <f t="shared" si="0"/>
        <v>January 2025 - November 2025</v>
      </c>
      <c r="K13" s="101"/>
      <c r="M13" s="110" t="s">
        <v>1507</v>
      </c>
    </row>
    <row r="14" spans="1:14" ht="15" customHeight="1">
      <c r="A14" s="24" t="s">
        <v>31</v>
      </c>
      <c r="C14" s="24" t="s">
        <v>373</v>
      </c>
      <c r="D14" s="24" t="s">
        <v>1257</v>
      </c>
      <c r="E14" s="100" t="s">
        <v>670</v>
      </c>
      <c r="I14" s="24" t="s">
        <v>31</v>
      </c>
      <c r="J14" t="str">
        <f t="shared" si="0"/>
        <v>January 2025 - December 2025</v>
      </c>
      <c r="K14" s="101"/>
      <c r="M14" s="110" t="s">
        <v>1508</v>
      </c>
    </row>
    <row r="15" spans="1:14" ht="15" customHeight="1">
      <c r="A15" s="24" t="s">
        <v>32</v>
      </c>
      <c r="C15" t="s">
        <v>178</v>
      </c>
      <c r="D15" s="24" t="s">
        <v>482</v>
      </c>
      <c r="E15" s="100" t="s">
        <v>684</v>
      </c>
      <c r="I15" s="24" t="s">
        <v>32</v>
      </c>
      <c r="J15" t="str">
        <f t="shared" si="0"/>
        <v>January 2025 - January 2026</v>
      </c>
      <c r="K15" s="101"/>
      <c r="M15" t="s">
        <v>1509</v>
      </c>
    </row>
    <row r="16" spans="1:14" ht="15" customHeight="1">
      <c r="A16" s="24" t="s">
        <v>33</v>
      </c>
      <c r="C16" s="24" t="s">
        <v>212</v>
      </c>
      <c r="D16" s="24" t="s">
        <v>249</v>
      </c>
      <c r="E16" s="100" t="s">
        <v>651</v>
      </c>
      <c r="I16" s="24" t="s">
        <v>33</v>
      </c>
      <c r="J16" t="str">
        <f t="shared" si="0"/>
        <v>January 2025 - February 2026</v>
      </c>
      <c r="K16" s="103"/>
      <c r="M16" s="110" t="s">
        <v>1510</v>
      </c>
    </row>
    <row r="17" spans="1:13" ht="15" customHeight="1">
      <c r="A17" s="24" t="s">
        <v>34</v>
      </c>
      <c r="C17" t="s">
        <v>184</v>
      </c>
      <c r="D17" s="24" t="s">
        <v>350</v>
      </c>
      <c r="E17" t="s">
        <v>1489</v>
      </c>
      <c r="I17" s="24" t="s">
        <v>34</v>
      </c>
      <c r="J17" t="str">
        <f t="shared" si="0"/>
        <v>January 2025 - March 2026</v>
      </c>
      <c r="K17" s="103"/>
      <c r="M17" s="110"/>
    </row>
    <row r="18" spans="1:13" ht="15" customHeight="1">
      <c r="A18" s="24" t="s">
        <v>35</v>
      </c>
      <c r="C18" t="s">
        <v>159</v>
      </c>
      <c r="D18" s="24" t="s">
        <v>1110</v>
      </c>
      <c r="E18" s="110" t="s">
        <v>689</v>
      </c>
      <c r="I18" s="24" t="s">
        <v>35</v>
      </c>
      <c r="J18" t="str">
        <f t="shared" si="0"/>
        <v>January 2025 - April 2026</v>
      </c>
      <c r="K18" s="103"/>
    </row>
    <row r="19" spans="1:13" ht="15" customHeight="1">
      <c r="A19" s="24" t="s">
        <v>36</v>
      </c>
      <c r="C19" t="s">
        <v>316</v>
      </c>
      <c r="D19" t="s">
        <v>500</v>
      </c>
      <c r="E19" s="24" t="s">
        <v>855</v>
      </c>
      <c r="F19" s="100"/>
      <c r="I19" s="24" t="s">
        <v>36</v>
      </c>
      <c r="J19" s="24" t="s">
        <v>1490</v>
      </c>
      <c r="K19" s="104"/>
      <c r="L19" s="103"/>
    </row>
    <row r="20" spans="1:13" ht="15" customHeight="1">
      <c r="A20" s="24" t="s">
        <v>37</v>
      </c>
      <c r="C20" t="s">
        <v>352</v>
      </c>
      <c r="D20" t="s">
        <v>775</v>
      </c>
      <c r="E20" s="100" t="s">
        <v>251</v>
      </c>
      <c r="I20" s="24" t="s">
        <v>37</v>
      </c>
      <c r="J20" s="24" t="s">
        <v>1491</v>
      </c>
      <c r="K20" s="103"/>
    </row>
    <row r="21" spans="1:13" ht="15" customHeight="1">
      <c r="A21" s="109" t="s">
        <v>13</v>
      </c>
      <c r="C21" s="24" t="s">
        <v>510</v>
      </c>
      <c r="D21" t="s">
        <v>1381</v>
      </c>
      <c r="E21" s="106" t="s">
        <v>1105</v>
      </c>
      <c r="I21" s="24" t="s">
        <v>13</v>
      </c>
      <c r="J21" s="24" t="s">
        <v>1492</v>
      </c>
      <c r="K21" s="103"/>
    </row>
    <row r="22" spans="1:13" ht="14.4" customHeight="1">
      <c r="A22" s="105" t="s">
        <v>1493</v>
      </c>
      <c r="C22" s="24" t="s">
        <v>1488</v>
      </c>
      <c r="D22" t="s">
        <v>1335</v>
      </c>
      <c r="E22" s="107" t="s">
        <v>527</v>
      </c>
      <c r="I22" s="109" t="s">
        <v>1493</v>
      </c>
      <c r="J22" s="110" t="s">
        <v>1588</v>
      </c>
      <c r="K22" s="103"/>
    </row>
    <row r="23" spans="1:13" ht="15" customHeight="1">
      <c r="A23" s="24" t="s">
        <v>1494</v>
      </c>
      <c r="C23" s="24" t="s">
        <v>564</v>
      </c>
      <c r="D23" t="s">
        <v>451</v>
      </c>
      <c r="E23" s="108" t="s">
        <v>799</v>
      </c>
      <c r="I23" s="24" t="s">
        <v>1494</v>
      </c>
      <c r="J23" t="str">
        <f>$I$2 &amp; " - " &amp; I22</f>
        <v>January 2025 - September 2026</v>
      </c>
      <c r="K23" s="103"/>
    </row>
    <row r="24" spans="1:13" ht="15" customHeight="1">
      <c r="A24" s="24" t="s">
        <v>1495</v>
      </c>
      <c r="D24" t="s">
        <v>702</v>
      </c>
      <c r="E24" t="s">
        <v>591</v>
      </c>
      <c r="I24" s="24" t="s">
        <v>1495</v>
      </c>
      <c r="J24" t="str">
        <f>$I$2 &amp; " - " &amp; I23</f>
        <v>January 2025 - October 2026</v>
      </c>
      <c r="K24" s="103"/>
    </row>
    <row r="25" spans="1:13" ht="15" customHeight="1">
      <c r="A25" s="24" t="s">
        <v>1496</v>
      </c>
      <c r="D25" t="s">
        <v>896</v>
      </c>
      <c r="E25" t="s">
        <v>1278</v>
      </c>
      <c r="I25" s="109" t="s">
        <v>1496</v>
      </c>
      <c r="J25" t="str">
        <f>$I$2 &amp; " - " &amp; I24</f>
        <v>January 2025 - November 2026</v>
      </c>
      <c r="K25" s="103"/>
    </row>
    <row r="26" spans="1:13" ht="15" customHeight="1">
      <c r="A26" s="24"/>
      <c r="D26" t="s">
        <v>939</v>
      </c>
      <c r="E26" t="s">
        <v>409</v>
      </c>
      <c r="I26" s="24"/>
      <c r="K26" s="103"/>
    </row>
    <row r="27" spans="1:13" ht="15" customHeight="1">
      <c r="D27" t="s">
        <v>205</v>
      </c>
      <c r="K27" s="103"/>
    </row>
    <row r="28" spans="1:13" ht="15" customHeight="1">
      <c r="D28" t="s">
        <v>1325</v>
      </c>
      <c r="K28" s="103"/>
    </row>
    <row r="29" spans="1:13" ht="15" customHeight="1">
      <c r="D29" t="s">
        <v>1113</v>
      </c>
      <c r="K29" s="103"/>
    </row>
    <row r="30" spans="1:13" ht="15" customHeight="1">
      <c r="D30" t="s">
        <v>508</v>
      </c>
      <c r="K30" s="103"/>
    </row>
    <row r="31" spans="1:13" ht="15" customHeight="1">
      <c r="D31" t="s">
        <v>1075</v>
      </c>
      <c r="K31" s="103"/>
    </row>
    <row r="32" spans="1:13" ht="15" customHeight="1">
      <c r="D32" t="s">
        <v>543</v>
      </c>
      <c r="K32" s="103"/>
    </row>
    <row r="33" spans="4:11" ht="15" customHeight="1">
      <c r="D33" t="s">
        <v>855</v>
      </c>
      <c r="K33" s="103"/>
    </row>
    <row r="34" spans="4:11" ht="12" customHeight="1">
      <c r="D34" t="s">
        <v>153</v>
      </c>
    </row>
    <row r="35" spans="4:11" ht="12" customHeight="1">
      <c r="D35" t="s">
        <v>161</v>
      </c>
    </row>
    <row r="36" spans="4:11" ht="12" customHeight="1">
      <c r="D36" t="s">
        <v>497</v>
      </c>
    </row>
    <row r="37" spans="4:11" ht="12" customHeight="1">
      <c r="D37" t="s">
        <v>100</v>
      </c>
    </row>
    <row r="38" spans="4:11" ht="12" customHeight="1">
      <c r="D38" t="s">
        <v>472</v>
      </c>
    </row>
    <row r="39" spans="4:11" ht="12" customHeight="1">
      <c r="D39" s="24" t="s">
        <v>372</v>
      </c>
    </row>
    <row r="40" spans="4:11" ht="12" customHeight="1">
      <c r="D40" s="24" t="s">
        <v>1089</v>
      </c>
    </row>
    <row r="41" spans="4:11" ht="12" customHeight="1">
      <c r="D41" s="24" t="s">
        <v>492</v>
      </c>
    </row>
    <row r="42" spans="4:11" ht="12" customHeight="1">
      <c r="D42" t="s">
        <v>786</v>
      </c>
    </row>
    <row r="43" spans="4:11" ht="12" customHeight="1">
      <c r="D43" t="s">
        <v>779</v>
      </c>
    </row>
    <row r="44" spans="4:11" ht="12" customHeight="1">
      <c r="D44" s="24" t="s">
        <v>707</v>
      </c>
    </row>
    <row r="45" spans="4:11" ht="12" customHeight="1">
      <c r="D45" s="24" t="s">
        <v>147</v>
      </c>
    </row>
    <row r="46" spans="4:11" ht="12" customHeight="1">
      <c r="D46" s="24" t="s">
        <v>354</v>
      </c>
    </row>
    <row r="47" spans="4:11" ht="12" customHeight="1">
      <c r="D47" s="24" t="s">
        <v>733</v>
      </c>
    </row>
    <row r="48" spans="4:11" ht="12" customHeight="1">
      <c r="D48" s="99" t="s">
        <v>83</v>
      </c>
    </row>
    <row r="49" spans="4:4" ht="12" customHeight="1">
      <c r="D49" s="24" t="s">
        <v>992</v>
      </c>
    </row>
    <row r="50" spans="4:4" ht="12" customHeight="1">
      <c r="D50" s="39" t="s">
        <v>877</v>
      </c>
    </row>
    <row r="51" spans="4:4" ht="12" customHeight="1">
      <c r="D51" s="24" t="s">
        <v>133</v>
      </c>
    </row>
    <row r="52" spans="4:4" ht="12" customHeight="1">
      <c r="D52" s="39" t="s">
        <v>661</v>
      </c>
    </row>
    <row r="53" spans="4:4" ht="12" customHeight="1">
      <c r="D53" s="100" t="s">
        <v>1095</v>
      </c>
    </row>
    <row r="54" spans="4:4" ht="12" customHeight="1">
      <c r="D54" s="99" t="s">
        <v>1102</v>
      </c>
    </row>
    <row r="55" spans="4:4" ht="12" customHeight="1">
      <c r="D55" s="39" t="s">
        <v>889</v>
      </c>
    </row>
    <row r="56" spans="4:4" ht="12" customHeight="1">
      <c r="D56" s="100" t="s">
        <v>618</v>
      </c>
    </row>
    <row r="57" spans="4:4" ht="12" customHeight="1">
      <c r="D57" s="100" t="s">
        <v>81</v>
      </c>
    </row>
    <row r="58" spans="4:4" ht="12" customHeight="1">
      <c r="D58" s="24" t="s">
        <v>1002</v>
      </c>
    </row>
    <row r="59" spans="4:4" ht="12" customHeight="1">
      <c r="D59" s="24"/>
    </row>
    <row r="60" spans="4:4" ht="12" customHeight="1">
      <c r="D60" s="24"/>
    </row>
    <row r="61" spans="4:4" ht="12" customHeight="1">
      <c r="D61" s="24"/>
    </row>
    <row r="62" spans="4:4" ht="12" customHeight="1">
      <c r="D62" s="24"/>
    </row>
    <row r="63" spans="4:4" ht="12" customHeight="1">
      <c r="D63" s="24"/>
    </row>
    <row r="64" spans="4:4" ht="12" customHeight="1">
      <c r="D64" s="24"/>
    </row>
    <row r="72" spans="4:4" ht="12" customHeight="1">
      <c r="D72" s="99"/>
    </row>
  </sheetData>
  <phoneticPr fontId="41" type="noConversion"/>
  <pageMargins left="0.7" right="0.7" top="0.75" bottom="0.75" header="0.511811023622047" footer="0.511811023622047"/>
  <pageSetup paperSize="9" orientation="portrait" horizontalDpi="300" verticalDpi="300" r:id="rId1"/>
</worksheet>
</file>

<file path=docMetadata/LabelInfo.xml><?xml version="1.0" encoding="utf-8"?>
<clbl:labelList xmlns:clbl="http://schemas.microsoft.com/office/2020/mipLabelMetadata">
  <clbl:label id="{6dd02d64-b7f3-43f7-a145-cfd68d338edf}" enabled="1" method="Standard" siteId="{0693b5ba-4b18-4d7b-9341-f32f400a5494}" contentBits="0" removed="0"/>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Instructions</vt:lpstr>
      <vt:lpstr>Summary</vt:lpstr>
      <vt:lpstr>Lifting Data</vt:lpstr>
      <vt:lpstr>Previous Highlights</vt:lpstr>
      <vt:lpstr>Tables</vt:lpstr>
      <vt:lpstr>Dropdown Options</vt:lpstr>
      <vt:lpstr>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mayesm</dc:creator>
  <dc:description/>
  <cp:lastModifiedBy>Suh, Minna H</cp:lastModifiedBy>
  <cp:revision>8</cp:revision>
  <dcterms:created xsi:type="dcterms:W3CDTF">2009-03-13T19:09:18Z</dcterms:created>
  <dcterms:modified xsi:type="dcterms:W3CDTF">2026-10-27T18:03:11Z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0x01010014411A60B57CFE4DAA3DA3F99CF9C646</vt:lpwstr>
  </property>
</Properties>
</file>