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600" yWindow="120" windowWidth="11400" windowHeight="10005" tabRatio="835"/>
  </bookViews>
  <sheets>
    <sheet name="Raw Data" sheetId="3" r:id="rId1"/>
    <sheet name="Compilation" sheetId="4" r:id="rId2"/>
    <sheet name="Compilation 2" sheetId="5" r:id="rId3"/>
    <sheet name="Table" sheetId="6" r:id="rId4"/>
  </sheets>
  <definedNames>
    <definedName name="_xlnm.Print_Area" localSheetId="1">Compilation!$A$1:$O$44</definedName>
    <definedName name="_xlnm.Print_Area" localSheetId="2">'Compilation 2'!$A$1:$O$54</definedName>
    <definedName name="_xlnm.Print_Area" localSheetId="0">'Raw Data'!$A$1:$M$162</definedName>
    <definedName name="_xlnm.Print_Area" localSheetId="3">Table!$A$1:$X$138</definedName>
    <definedName name="_xlnm.Print_Titles" localSheetId="0">'Raw Data'!$1:$17</definedName>
    <definedName name="_xlnm.Print_Titles" localSheetId="3">Table!$1:$16</definedName>
  </definedNames>
  <calcPr calcId="145621"/>
</workbook>
</file>

<file path=xl/calcChain.xml><?xml version="1.0" encoding="utf-8"?>
<calcChain xmlns="http://schemas.openxmlformats.org/spreadsheetml/2006/main">
  <c r="M8" i="3" l="1"/>
  <c r="A103" i="6"/>
  <c r="A89" i="6"/>
  <c r="A57" i="6"/>
  <c r="A41" i="6"/>
  <c r="A29" i="6"/>
  <c r="A20" i="6"/>
  <c r="AC16" i="6"/>
  <c r="AE10" i="6"/>
  <c r="AC10" i="6"/>
  <c r="C5" i="5"/>
  <c r="AE9" i="6"/>
  <c r="AD9" i="6"/>
  <c r="AC9" i="6"/>
  <c r="C4" i="5"/>
  <c r="K6" i="5"/>
  <c r="K5" i="5"/>
  <c r="K4" i="5"/>
  <c r="K2" i="5"/>
  <c r="K6" i="4"/>
  <c r="K5" i="4"/>
  <c r="K4" i="4"/>
  <c r="K2" i="4"/>
  <c r="I11" i="3"/>
  <c r="I10" i="3"/>
  <c r="I9" i="3"/>
  <c r="I7" i="3"/>
  <c r="C5" i="4" l="1"/>
  <c r="M7" i="3"/>
  <c r="A9" i="3"/>
  <c r="C2" i="5"/>
  <c r="C2" i="4"/>
  <c r="A7" i="3"/>
  <c r="O3" i="5"/>
  <c r="O3" i="4"/>
  <c r="A10" i="3"/>
  <c r="C3" i="5"/>
  <c r="C3" i="4"/>
  <c r="A8" i="3"/>
  <c r="C4" i="4"/>
  <c r="A26" i="6"/>
  <c r="E26" i="6" s="1"/>
  <c r="A118" i="6"/>
  <c r="N41" i="6"/>
  <c r="P41" i="6" s="1"/>
  <c r="M41" i="6"/>
  <c r="L41" i="6"/>
  <c r="O41" i="6" s="1"/>
  <c r="A23" i="6"/>
  <c r="E23" i="6" s="1"/>
  <c r="A54" i="6"/>
  <c r="E54" i="6" s="1"/>
  <c r="N20" i="6"/>
  <c r="P20" i="6" s="1"/>
  <c r="L20" i="6"/>
  <c r="O20" i="6" s="1"/>
  <c r="M20" i="6"/>
  <c r="A58" i="6"/>
  <c r="A61" i="6"/>
  <c r="A27" i="6"/>
  <c r="E27" i="6" s="1"/>
  <c r="A34" i="6"/>
  <c r="E34" i="6" s="1"/>
  <c r="A70" i="6"/>
  <c r="A122" i="6"/>
  <c r="E122" i="6" s="1"/>
  <c r="A66" i="6"/>
  <c r="A77" i="6"/>
  <c r="E77" i="6" s="1"/>
  <c r="A19" i="6"/>
  <c r="A42" i="6"/>
  <c r="A74" i="6"/>
  <c r="E74" i="6" s="1"/>
  <c r="A82" i="6"/>
  <c r="E82" i="6" s="1"/>
  <c r="A93" i="6"/>
  <c r="A125" i="6"/>
  <c r="A36" i="6"/>
  <c r="E36" i="6" s="1"/>
  <c r="A50" i="6"/>
  <c r="A24" i="6"/>
  <c r="A22" i="6"/>
  <c r="A25" i="6"/>
  <c r="E25" i="6" s="1"/>
  <c r="A45" i="6"/>
  <c r="E45" i="6" s="1"/>
  <c r="A86" i="6"/>
  <c r="A90" i="6"/>
  <c r="A98" i="6"/>
  <c r="A109" i="6"/>
  <c r="A130" i="6"/>
  <c r="A134" i="6"/>
  <c r="E134" i="6" s="1"/>
  <c r="A38" i="6"/>
  <c r="A18" i="6"/>
  <c r="E18" i="6" s="1"/>
  <c r="A46" i="6"/>
  <c r="A102" i="6"/>
  <c r="E102" i="6" s="1"/>
  <c r="A106" i="6"/>
  <c r="A114" i="6"/>
  <c r="E114" i="6" s="1"/>
  <c r="A31" i="6"/>
  <c r="E31" i="6" s="1"/>
  <c r="A47" i="6"/>
  <c r="A79" i="6"/>
  <c r="A111" i="6"/>
  <c r="E111" i="6" s="1"/>
  <c r="A78" i="6"/>
  <c r="A110" i="6"/>
  <c r="E110" i="6" s="1"/>
  <c r="A126" i="6"/>
  <c r="A33" i="6"/>
  <c r="E33" i="6" s="1"/>
  <c r="A40" i="6"/>
  <c r="A49" i="6"/>
  <c r="A56" i="6"/>
  <c r="E56" i="6" s="1"/>
  <c r="A65" i="6"/>
  <c r="E65" i="6" s="1"/>
  <c r="A72" i="6"/>
  <c r="A81" i="6"/>
  <c r="E81" i="6" s="1"/>
  <c r="A88" i="6"/>
  <c r="A97" i="6"/>
  <c r="E97" i="6" s="1"/>
  <c r="A104" i="6"/>
  <c r="A113" i="6"/>
  <c r="A120" i="6"/>
  <c r="A129" i="6"/>
  <c r="E129" i="6" s="1"/>
  <c r="A136" i="6"/>
  <c r="A32" i="6"/>
  <c r="N89" i="6"/>
  <c r="P89" i="6" s="1"/>
  <c r="L89" i="6"/>
  <c r="O89" i="6" s="1"/>
  <c r="M89" i="6"/>
  <c r="A28" i="6"/>
  <c r="A35" i="6"/>
  <c r="E35" i="6" s="1"/>
  <c r="A51" i="6"/>
  <c r="A60" i="6"/>
  <c r="A67" i="6"/>
  <c r="E67" i="6" s="1"/>
  <c r="A76" i="6"/>
  <c r="A83" i="6"/>
  <c r="A92" i="6"/>
  <c r="E92" i="6" s="1"/>
  <c r="A99" i="6"/>
  <c r="E99" i="6" s="1"/>
  <c r="A108" i="6"/>
  <c r="E108" i="6" s="1"/>
  <c r="A115" i="6"/>
  <c r="E115" i="6" s="1"/>
  <c r="A124" i="6"/>
  <c r="E124" i="6" s="1"/>
  <c r="A131" i="6"/>
  <c r="A21" i="6"/>
  <c r="A30" i="6"/>
  <c r="A44" i="6"/>
  <c r="E44" i="6" s="1"/>
  <c r="A62" i="6"/>
  <c r="E62" i="6" s="1"/>
  <c r="N29" i="6"/>
  <c r="P29" i="6" s="1"/>
  <c r="M29" i="6"/>
  <c r="L29" i="6"/>
  <c r="O29" i="6" s="1"/>
  <c r="N57" i="6"/>
  <c r="P57" i="6" s="1"/>
  <c r="M57" i="6"/>
  <c r="L57" i="6"/>
  <c r="O57" i="6" s="1"/>
  <c r="L103" i="6"/>
  <c r="O103" i="6" s="1"/>
  <c r="M103" i="6"/>
  <c r="N103" i="6"/>
  <c r="P103" i="6" s="1"/>
  <c r="A53" i="6"/>
  <c r="E53" i="6" s="1"/>
  <c r="A85" i="6"/>
  <c r="E85" i="6" s="1"/>
  <c r="A101" i="6"/>
  <c r="E101" i="6" s="1"/>
  <c r="A133" i="6"/>
  <c r="E133" i="6" s="1"/>
  <c r="A39" i="6"/>
  <c r="A55" i="6"/>
  <c r="A71" i="6"/>
  <c r="A87" i="6"/>
  <c r="A119" i="6"/>
  <c r="E119" i="6" s="1"/>
  <c r="A135" i="6"/>
  <c r="E135" i="6" s="1"/>
  <c r="E30" i="6"/>
  <c r="A127" i="6"/>
  <c r="E127" i="6" s="1"/>
  <c r="A48" i="6"/>
  <c r="A64" i="6"/>
  <c r="A73" i="6"/>
  <c r="E73" i="6" s="1"/>
  <c r="A80" i="6"/>
  <c r="E80" i="6" s="1"/>
  <c r="A96" i="6"/>
  <c r="A105" i="6"/>
  <c r="E105" i="6" s="1"/>
  <c r="A112" i="6"/>
  <c r="E112" i="6" s="1"/>
  <c r="A121" i="6"/>
  <c r="A128" i="6"/>
  <c r="E128" i="6" s="1"/>
  <c r="K3" i="4"/>
  <c r="K3" i="5"/>
  <c r="I8" i="3"/>
  <c r="A37" i="6"/>
  <c r="A63" i="6"/>
  <c r="A95" i="6"/>
  <c r="E95" i="6" s="1"/>
  <c r="A94" i="6"/>
  <c r="A69" i="6"/>
  <c r="E69" i="6" s="1"/>
  <c r="A117" i="6"/>
  <c r="E136" i="6"/>
  <c r="E132" i="6"/>
  <c r="E121" i="6"/>
  <c r="E104" i="6"/>
  <c r="E98" i="6"/>
  <c r="E103" i="6"/>
  <c r="E125" i="6"/>
  <c r="E118" i="6"/>
  <c r="E126" i="6"/>
  <c r="E83" i="6"/>
  <c r="E78" i="6"/>
  <c r="E89" i="6"/>
  <c r="E72" i="6"/>
  <c r="E68" i="6"/>
  <c r="E66" i="6"/>
  <c r="E88" i="6"/>
  <c r="E61" i="6"/>
  <c r="E94" i="6"/>
  <c r="E64" i="6"/>
  <c r="E51" i="6"/>
  <c r="E46" i="6"/>
  <c r="E42" i="6"/>
  <c r="E41" i="6"/>
  <c r="E40" i="6"/>
  <c r="E39" i="6"/>
  <c r="E38" i="6"/>
  <c r="E90" i="6"/>
  <c r="E109" i="6"/>
  <c r="E57" i="6"/>
  <c r="E32" i="6"/>
  <c r="E60" i="6"/>
  <c r="E29" i="6"/>
  <c r="E63" i="6"/>
  <c r="E21" i="6"/>
  <c r="E20" i="6"/>
  <c r="A52" i="6"/>
  <c r="A59" i="6"/>
  <c r="A68" i="6"/>
  <c r="A75" i="6"/>
  <c r="A84" i="6"/>
  <c r="A91" i="6"/>
  <c r="E91" i="6" s="1"/>
  <c r="A100" i="6"/>
  <c r="E100" i="6" s="1"/>
  <c r="A107" i="6"/>
  <c r="E107" i="6" s="1"/>
  <c r="A116" i="6"/>
  <c r="E116" i="6" s="1"/>
  <c r="A123" i="6"/>
  <c r="A132" i="6"/>
  <c r="A43" i="6"/>
  <c r="E43" i="6" s="1"/>
  <c r="E52" i="6" l="1"/>
  <c r="I52" i="6" s="1"/>
  <c r="O2" i="4"/>
  <c r="O2" i="5"/>
  <c r="F100" i="6"/>
  <c r="I101" i="6"/>
  <c r="F18" i="6"/>
  <c r="AN27" i="6"/>
  <c r="I18" i="6"/>
  <c r="F27" i="6"/>
  <c r="I134" i="6"/>
  <c r="F133" i="6"/>
  <c r="AN9" i="6"/>
  <c r="F81" i="6"/>
  <c r="I82" i="6"/>
  <c r="AN17" i="6"/>
  <c r="I111" i="6"/>
  <c r="F110" i="6"/>
  <c r="I103" i="6"/>
  <c r="F102" i="6"/>
  <c r="I26" i="6"/>
  <c r="F25" i="6"/>
  <c r="F36" i="6"/>
  <c r="F91" i="6"/>
  <c r="I92" i="6"/>
  <c r="AN16" i="6"/>
  <c r="F105" i="6"/>
  <c r="F67" i="6"/>
  <c r="I68" i="6"/>
  <c r="I135" i="6"/>
  <c r="F134" i="6"/>
  <c r="I98" i="6"/>
  <c r="F97" i="6"/>
  <c r="F116" i="6"/>
  <c r="F95" i="6"/>
  <c r="AN15" i="6"/>
  <c r="F69" i="6"/>
  <c r="F80" i="6"/>
  <c r="I81" i="6"/>
  <c r="F127" i="6"/>
  <c r="I128" i="6"/>
  <c r="F74" i="6"/>
  <c r="I129" i="6"/>
  <c r="F128" i="6"/>
  <c r="F121" i="6"/>
  <c r="I122" i="6"/>
  <c r="M131" i="6"/>
  <c r="L131" i="6"/>
  <c r="O131" i="6" s="1"/>
  <c r="N131" i="6"/>
  <c r="P131" i="6" s="1"/>
  <c r="M130" i="6"/>
  <c r="N130" i="6"/>
  <c r="P130" i="6" s="1"/>
  <c r="L130" i="6"/>
  <c r="O130" i="6" s="1"/>
  <c r="N86" i="6"/>
  <c r="P86" i="6" s="1"/>
  <c r="M86" i="6"/>
  <c r="L86" i="6"/>
  <c r="O86" i="6" s="1"/>
  <c r="N93" i="6"/>
  <c r="P93" i="6" s="1"/>
  <c r="L93" i="6"/>
  <c r="O93" i="6" s="1"/>
  <c r="M93" i="6"/>
  <c r="M19" i="6"/>
  <c r="N19" i="6"/>
  <c r="P19" i="6" s="1"/>
  <c r="L19" i="6"/>
  <c r="O19" i="6" s="1"/>
  <c r="M58" i="6"/>
  <c r="L58" i="6"/>
  <c r="O58" i="6" s="1"/>
  <c r="N58" i="6"/>
  <c r="P58" i="6" s="1"/>
  <c r="M23" i="6"/>
  <c r="N23" i="6"/>
  <c r="P23" i="6" s="1"/>
  <c r="L23" i="6"/>
  <c r="O23" i="6" s="1"/>
  <c r="L118" i="6"/>
  <c r="O118" i="6" s="1"/>
  <c r="N118" i="6"/>
  <c r="P118" i="6" s="1"/>
  <c r="M118" i="6"/>
  <c r="L123" i="6"/>
  <c r="O123" i="6" s="1"/>
  <c r="N123" i="6"/>
  <c r="P123" i="6" s="1"/>
  <c r="M123" i="6"/>
  <c r="E93" i="6"/>
  <c r="E19" i="6"/>
  <c r="I19" i="6" s="1"/>
  <c r="F90" i="6"/>
  <c r="I91" i="6"/>
  <c r="F44" i="6"/>
  <c r="I45" i="6"/>
  <c r="F88" i="6"/>
  <c r="I89" i="6"/>
  <c r="F66" i="6"/>
  <c r="I67" i="6"/>
  <c r="I126" i="6"/>
  <c r="F125" i="6"/>
  <c r="AN10" i="6"/>
  <c r="I99" i="6"/>
  <c r="F98" i="6"/>
  <c r="F129" i="6"/>
  <c r="L117" i="6"/>
  <c r="O117" i="6" s="1"/>
  <c r="M117" i="6"/>
  <c r="N117" i="6"/>
  <c r="P117" i="6" s="1"/>
  <c r="L63" i="6"/>
  <c r="O63" i="6" s="1"/>
  <c r="M63" i="6"/>
  <c r="N63" i="6"/>
  <c r="P63" i="6" s="1"/>
  <c r="N96" i="6"/>
  <c r="P96" i="6" s="1"/>
  <c r="M96" i="6"/>
  <c r="L96" i="6"/>
  <c r="O96" i="6" s="1"/>
  <c r="N48" i="6"/>
  <c r="P48" i="6" s="1"/>
  <c r="M48" i="6"/>
  <c r="L48" i="6"/>
  <c r="O48" i="6" s="1"/>
  <c r="L101" i="6"/>
  <c r="O101" i="6" s="1"/>
  <c r="M101" i="6"/>
  <c r="N101" i="6"/>
  <c r="P101" i="6" s="1"/>
  <c r="N76" i="6"/>
  <c r="P76" i="6" s="1"/>
  <c r="M76" i="6"/>
  <c r="L76" i="6"/>
  <c r="O76" i="6" s="1"/>
  <c r="N51" i="6"/>
  <c r="P51" i="6" s="1"/>
  <c r="M51" i="6"/>
  <c r="L51" i="6"/>
  <c r="O51" i="6" s="1"/>
  <c r="L120" i="6"/>
  <c r="O120" i="6" s="1"/>
  <c r="N120" i="6"/>
  <c r="P120" i="6" s="1"/>
  <c r="M120" i="6"/>
  <c r="N88" i="6"/>
  <c r="P88" i="6" s="1"/>
  <c r="M88" i="6"/>
  <c r="L88" i="6"/>
  <c r="O88" i="6" s="1"/>
  <c r="N56" i="6"/>
  <c r="P56" i="6" s="1"/>
  <c r="M56" i="6"/>
  <c r="L56" i="6"/>
  <c r="O56" i="6" s="1"/>
  <c r="L126" i="6"/>
  <c r="O126" i="6" s="1"/>
  <c r="N126" i="6"/>
  <c r="P126" i="6" s="1"/>
  <c r="M126" i="6"/>
  <c r="N79" i="6"/>
  <c r="P79" i="6" s="1"/>
  <c r="M79" i="6"/>
  <c r="L79" i="6"/>
  <c r="O79" i="6" s="1"/>
  <c r="L106" i="6"/>
  <c r="O106" i="6" s="1"/>
  <c r="M106" i="6"/>
  <c r="N106" i="6"/>
  <c r="P106" i="6" s="1"/>
  <c r="N46" i="6"/>
  <c r="P46" i="6" s="1"/>
  <c r="M46" i="6"/>
  <c r="L46" i="6"/>
  <c r="O46" i="6" s="1"/>
  <c r="N24" i="6"/>
  <c r="P24" i="6" s="1"/>
  <c r="M24" i="6"/>
  <c r="L24" i="6"/>
  <c r="O24" i="6" s="1"/>
  <c r="E24" i="6"/>
  <c r="N50" i="6"/>
  <c r="P50" i="6" s="1"/>
  <c r="M50" i="6"/>
  <c r="L50" i="6"/>
  <c r="O50" i="6" s="1"/>
  <c r="M70" i="6"/>
  <c r="N70" i="6"/>
  <c r="P70" i="6" s="1"/>
  <c r="L70" i="6"/>
  <c r="O70" i="6" s="1"/>
  <c r="M68" i="6"/>
  <c r="N68" i="6"/>
  <c r="P68" i="6" s="1"/>
  <c r="L68" i="6"/>
  <c r="O68" i="6" s="1"/>
  <c r="I61" i="6"/>
  <c r="F60" i="6"/>
  <c r="I125" i="6"/>
  <c r="F124" i="6"/>
  <c r="F45" i="6"/>
  <c r="I46" i="6"/>
  <c r="F53" i="6"/>
  <c r="I54" i="6"/>
  <c r="E96" i="6"/>
  <c r="I96" i="6" s="1"/>
  <c r="F89" i="6"/>
  <c r="I90" i="6"/>
  <c r="F103" i="6"/>
  <c r="I104" i="6"/>
  <c r="E130" i="6"/>
  <c r="I130" i="6" s="1"/>
  <c r="M135" i="6"/>
  <c r="N135" i="6"/>
  <c r="P135" i="6" s="1"/>
  <c r="L135" i="6"/>
  <c r="O135" i="6" s="1"/>
  <c r="L55" i="6"/>
  <c r="O55" i="6" s="1"/>
  <c r="N55" i="6"/>
  <c r="P55" i="6" s="1"/>
  <c r="M55" i="6"/>
  <c r="M62" i="6"/>
  <c r="N62" i="6"/>
  <c r="P62" i="6" s="1"/>
  <c r="L62" i="6"/>
  <c r="O62" i="6" s="1"/>
  <c r="L124" i="6"/>
  <c r="O124" i="6" s="1"/>
  <c r="N124" i="6"/>
  <c r="P124" i="6" s="1"/>
  <c r="M124" i="6"/>
  <c r="M99" i="6"/>
  <c r="L99" i="6"/>
  <c r="O99" i="6" s="1"/>
  <c r="N99" i="6"/>
  <c r="P99" i="6" s="1"/>
  <c r="N32" i="6"/>
  <c r="P32" i="6" s="1"/>
  <c r="L32" i="6"/>
  <c r="O32" i="6" s="1"/>
  <c r="M32" i="6"/>
  <c r="L109" i="6"/>
  <c r="O109" i="6" s="1"/>
  <c r="M109" i="6"/>
  <c r="N109" i="6"/>
  <c r="P109" i="6" s="1"/>
  <c r="N45" i="6"/>
  <c r="P45" i="6" s="1"/>
  <c r="M45" i="6"/>
  <c r="L45" i="6"/>
  <c r="O45" i="6" s="1"/>
  <c r="N82" i="6"/>
  <c r="P82" i="6" s="1"/>
  <c r="L82" i="6"/>
  <c r="O82" i="6" s="1"/>
  <c r="M82" i="6"/>
  <c r="N34" i="6"/>
  <c r="P34" i="6" s="1"/>
  <c r="L34" i="6"/>
  <c r="O34" i="6" s="1"/>
  <c r="M34" i="6"/>
  <c r="N26" i="6"/>
  <c r="P26" i="6" s="1"/>
  <c r="M26" i="6"/>
  <c r="L26" i="6"/>
  <c r="O26" i="6" s="1"/>
  <c r="N75" i="6"/>
  <c r="P75" i="6" s="1"/>
  <c r="M75" i="6"/>
  <c r="L75" i="6"/>
  <c r="O75" i="6" s="1"/>
  <c r="F85" i="6"/>
  <c r="F61" i="6"/>
  <c r="I62" i="6"/>
  <c r="F122" i="6"/>
  <c r="L128" i="6"/>
  <c r="O128" i="6" s="1"/>
  <c r="N128" i="6"/>
  <c r="P128" i="6" s="1"/>
  <c r="M128" i="6"/>
  <c r="M71" i="6"/>
  <c r="L71" i="6"/>
  <c r="O71" i="6" s="1"/>
  <c r="N71" i="6"/>
  <c r="P71" i="6" s="1"/>
  <c r="I27" i="6"/>
  <c r="F26" i="6"/>
  <c r="F38" i="6"/>
  <c r="I39" i="6"/>
  <c r="I102" i="6"/>
  <c r="F101" i="6"/>
  <c r="I127" i="6"/>
  <c r="F126" i="6"/>
  <c r="N37" i="6"/>
  <c r="P37" i="6" s="1"/>
  <c r="M37" i="6"/>
  <c r="L37" i="6"/>
  <c r="O37" i="6" s="1"/>
  <c r="L113" i="6"/>
  <c r="O113" i="6" s="1"/>
  <c r="M113" i="6"/>
  <c r="N113" i="6"/>
  <c r="P113" i="6" s="1"/>
  <c r="N47" i="6"/>
  <c r="P47" i="6" s="1"/>
  <c r="M47" i="6"/>
  <c r="L47" i="6"/>
  <c r="O47" i="6" s="1"/>
  <c r="N18" i="6"/>
  <c r="P18" i="6" s="1"/>
  <c r="M18" i="6"/>
  <c r="L18" i="6"/>
  <c r="O18" i="6" s="1"/>
  <c r="F34" i="6"/>
  <c r="I35" i="6"/>
  <c r="F35" i="6"/>
  <c r="I36" i="6"/>
  <c r="F39" i="6"/>
  <c r="I40" i="6"/>
  <c r="AN24" i="6"/>
  <c r="E117" i="6"/>
  <c r="I133" i="6"/>
  <c r="F132" i="6"/>
  <c r="N87" i="6"/>
  <c r="P87" i="6" s="1"/>
  <c r="M87" i="6"/>
  <c r="L87" i="6"/>
  <c r="O87" i="6" s="1"/>
  <c r="N44" i="6"/>
  <c r="P44" i="6" s="1"/>
  <c r="M44" i="6"/>
  <c r="L44" i="6"/>
  <c r="O44" i="6" s="1"/>
  <c r="N92" i="6"/>
  <c r="P92" i="6" s="1"/>
  <c r="M92" i="6"/>
  <c r="L92" i="6"/>
  <c r="O92" i="6" s="1"/>
  <c r="M67" i="6"/>
  <c r="L67" i="6"/>
  <c r="O67" i="6" s="1"/>
  <c r="N67" i="6"/>
  <c r="P67" i="6" s="1"/>
  <c r="N35" i="6"/>
  <c r="P35" i="6" s="1"/>
  <c r="L35" i="6"/>
  <c r="O35" i="6" s="1"/>
  <c r="M35" i="6"/>
  <c r="N25" i="6"/>
  <c r="P25" i="6" s="1"/>
  <c r="L25" i="6"/>
  <c r="O25" i="6" s="1"/>
  <c r="M25" i="6"/>
  <c r="N36" i="6"/>
  <c r="P36" i="6" s="1"/>
  <c r="L36" i="6"/>
  <c r="O36" i="6" s="1"/>
  <c r="M36" i="6"/>
  <c r="M27" i="6"/>
  <c r="L27" i="6"/>
  <c r="O27" i="6" s="1"/>
  <c r="N27" i="6"/>
  <c r="P27" i="6" s="1"/>
  <c r="N43" i="6"/>
  <c r="P43" i="6" s="1"/>
  <c r="M43" i="6"/>
  <c r="L43" i="6"/>
  <c r="O43" i="6" s="1"/>
  <c r="N84" i="6"/>
  <c r="P84" i="6" s="1"/>
  <c r="M84" i="6"/>
  <c r="L84" i="6"/>
  <c r="O84" i="6" s="1"/>
  <c r="F20" i="6"/>
  <c r="I21" i="6"/>
  <c r="E76" i="6"/>
  <c r="F77" i="6"/>
  <c r="I78" i="6"/>
  <c r="F40" i="6"/>
  <c r="I41" i="6"/>
  <c r="E48" i="6"/>
  <c r="E84" i="6"/>
  <c r="E79" i="6"/>
  <c r="E70" i="6"/>
  <c r="E106" i="6"/>
  <c r="I106" i="6" s="1"/>
  <c r="F115" i="6"/>
  <c r="I116" i="6"/>
  <c r="F112" i="6"/>
  <c r="N94" i="6"/>
  <c r="P94" i="6" s="1"/>
  <c r="L94" i="6"/>
  <c r="O94" i="6" s="1"/>
  <c r="M94" i="6"/>
  <c r="L112" i="6"/>
  <c r="O112" i="6" s="1"/>
  <c r="N112" i="6"/>
  <c r="P112" i="6" s="1"/>
  <c r="M112" i="6"/>
  <c r="N73" i="6"/>
  <c r="P73" i="6" s="1"/>
  <c r="L73" i="6"/>
  <c r="O73" i="6" s="1"/>
  <c r="M73" i="6"/>
  <c r="F31" i="6"/>
  <c r="I32" i="6"/>
  <c r="N53" i="6"/>
  <c r="P53" i="6" s="1"/>
  <c r="M53" i="6"/>
  <c r="L53" i="6"/>
  <c r="O53" i="6" s="1"/>
  <c r="N30" i="6"/>
  <c r="P30" i="6" s="1"/>
  <c r="L30" i="6"/>
  <c r="O30" i="6" s="1"/>
  <c r="M30" i="6"/>
  <c r="L115" i="6"/>
  <c r="O115" i="6" s="1"/>
  <c r="M115" i="6"/>
  <c r="N115" i="6"/>
  <c r="P115" i="6" s="1"/>
  <c r="M136" i="6"/>
  <c r="N136" i="6"/>
  <c r="P136" i="6" s="1"/>
  <c r="L136" i="6"/>
  <c r="O136" i="6" s="1"/>
  <c r="L104" i="6"/>
  <c r="O104" i="6" s="1"/>
  <c r="N104" i="6"/>
  <c r="P104" i="6" s="1"/>
  <c r="M104" i="6"/>
  <c r="M72" i="6"/>
  <c r="N72" i="6"/>
  <c r="P72" i="6" s="1"/>
  <c r="L72" i="6"/>
  <c r="O72" i="6" s="1"/>
  <c r="N40" i="6"/>
  <c r="P40" i="6" s="1"/>
  <c r="M40" i="6"/>
  <c r="L40" i="6"/>
  <c r="O40" i="6" s="1"/>
  <c r="N78" i="6"/>
  <c r="P78" i="6" s="1"/>
  <c r="M78" i="6"/>
  <c r="L78" i="6"/>
  <c r="O78" i="6" s="1"/>
  <c r="N31" i="6"/>
  <c r="P31" i="6" s="1"/>
  <c r="L31" i="6"/>
  <c r="O31" i="6" s="1"/>
  <c r="M31" i="6"/>
  <c r="N77" i="6"/>
  <c r="P77" i="6" s="1"/>
  <c r="L77" i="6"/>
  <c r="M77" i="6"/>
  <c r="F63" i="6"/>
  <c r="I64" i="6"/>
  <c r="F83" i="6"/>
  <c r="I84" i="6"/>
  <c r="N91" i="6"/>
  <c r="P91" i="6" s="1"/>
  <c r="M91" i="6"/>
  <c r="L91" i="6"/>
  <c r="O91" i="6" s="1"/>
  <c r="F92" i="6"/>
  <c r="I93" i="6"/>
  <c r="I57" i="6"/>
  <c r="F56" i="6"/>
  <c r="I105" i="6"/>
  <c r="F104" i="6"/>
  <c r="N49" i="6"/>
  <c r="P49" i="6" s="1"/>
  <c r="M49" i="6"/>
  <c r="L49" i="6"/>
  <c r="O49" i="6" s="1"/>
  <c r="F54" i="6"/>
  <c r="E47" i="6"/>
  <c r="I47" i="6" s="1"/>
  <c r="F111" i="6"/>
  <c r="I112" i="6"/>
  <c r="N39" i="6"/>
  <c r="P39" i="6" s="1"/>
  <c r="M39" i="6"/>
  <c r="L39" i="6"/>
  <c r="O39" i="6" s="1"/>
  <c r="N38" i="6"/>
  <c r="P38" i="6" s="1"/>
  <c r="M38" i="6"/>
  <c r="L38" i="6"/>
  <c r="O38" i="6" s="1"/>
  <c r="N74" i="6"/>
  <c r="P74" i="6" s="1"/>
  <c r="L74" i="6"/>
  <c r="O74" i="6" s="1"/>
  <c r="M74" i="6"/>
  <c r="M132" i="6"/>
  <c r="N132" i="6"/>
  <c r="P132" i="6" s="1"/>
  <c r="L132" i="6"/>
  <c r="O132" i="6" s="1"/>
  <c r="L107" i="6"/>
  <c r="O107" i="6" s="1"/>
  <c r="M107" i="6"/>
  <c r="N107" i="6"/>
  <c r="P107" i="6" s="1"/>
  <c r="N52" i="6"/>
  <c r="P52" i="6" s="1"/>
  <c r="M52" i="6"/>
  <c r="L52" i="6"/>
  <c r="O52" i="6" s="1"/>
  <c r="F21" i="6"/>
  <c r="AN26" i="6"/>
  <c r="F32" i="6"/>
  <c r="I33" i="6"/>
  <c r="I110" i="6"/>
  <c r="F109" i="6"/>
  <c r="F41" i="6"/>
  <c r="I42" i="6"/>
  <c r="E49" i="6"/>
  <c r="F94" i="6"/>
  <c r="I95" i="6"/>
  <c r="E87" i="6"/>
  <c r="E71" i="6"/>
  <c r="F119" i="6"/>
  <c r="I31" i="6"/>
  <c r="F30" i="6"/>
  <c r="L119" i="6"/>
  <c r="O119" i="6" s="1"/>
  <c r="M119" i="6"/>
  <c r="N119" i="6"/>
  <c r="P119" i="6" s="1"/>
  <c r="E55" i="6"/>
  <c r="I55" i="6" s="1"/>
  <c r="N21" i="6"/>
  <c r="P21" i="6" s="1"/>
  <c r="L21" i="6"/>
  <c r="O21" i="6" s="1"/>
  <c r="M21" i="6"/>
  <c r="L60" i="6"/>
  <c r="O60" i="6" s="1"/>
  <c r="N60" i="6"/>
  <c r="P60" i="6" s="1"/>
  <c r="M60" i="6"/>
  <c r="N28" i="6"/>
  <c r="P28" i="6" s="1"/>
  <c r="M28" i="6"/>
  <c r="L28" i="6"/>
  <c r="O28" i="6" s="1"/>
  <c r="E28" i="6"/>
  <c r="N90" i="6"/>
  <c r="P90" i="6" s="1"/>
  <c r="L90" i="6"/>
  <c r="O90" i="6" s="1"/>
  <c r="M90" i="6"/>
  <c r="L22" i="6"/>
  <c r="O22" i="6" s="1"/>
  <c r="M22" i="6"/>
  <c r="E22" i="6"/>
  <c r="I22" i="6" s="1"/>
  <c r="N22" i="6"/>
  <c r="P22" i="6" s="1"/>
  <c r="L125" i="6"/>
  <c r="O125" i="6" s="1"/>
  <c r="M125" i="6"/>
  <c r="N125" i="6"/>
  <c r="P125" i="6" s="1"/>
  <c r="N42" i="6"/>
  <c r="P42" i="6" s="1"/>
  <c r="M42" i="6"/>
  <c r="L42" i="6"/>
  <c r="O42" i="6" s="1"/>
  <c r="N61" i="6"/>
  <c r="P61" i="6" s="1"/>
  <c r="M61" i="6"/>
  <c r="L61" i="6"/>
  <c r="O61" i="6" s="1"/>
  <c r="M54" i="6"/>
  <c r="N54" i="6"/>
  <c r="P54" i="6" s="1"/>
  <c r="L54" i="6"/>
  <c r="O54" i="6" s="1"/>
  <c r="L100" i="6"/>
  <c r="O100" i="6" s="1"/>
  <c r="N100" i="6"/>
  <c r="P100" i="6" s="1"/>
  <c r="M100" i="6"/>
  <c r="I63" i="6"/>
  <c r="F62" i="6"/>
  <c r="F43" i="6"/>
  <c r="I44" i="6"/>
  <c r="F51" i="6"/>
  <c r="F73" i="6"/>
  <c r="I74" i="6"/>
  <c r="AN18" i="6"/>
  <c r="I119" i="6"/>
  <c r="F118" i="6"/>
  <c r="F136" i="6"/>
  <c r="F23" i="6"/>
  <c r="L116" i="6"/>
  <c r="O116" i="6" s="1"/>
  <c r="N116" i="6"/>
  <c r="P116" i="6" s="1"/>
  <c r="M116" i="6"/>
  <c r="F82" i="6"/>
  <c r="I83" i="6"/>
  <c r="F57" i="6"/>
  <c r="I58" i="6"/>
  <c r="F46" i="6"/>
  <c r="I69" i="6"/>
  <c r="F68" i="6"/>
  <c r="AN19" i="6"/>
  <c r="F78" i="6"/>
  <c r="I79" i="6"/>
  <c r="F107" i="6"/>
  <c r="I108" i="6"/>
  <c r="AN13" i="6"/>
  <c r="E131" i="6"/>
  <c r="M69" i="6"/>
  <c r="N69" i="6"/>
  <c r="P69" i="6" s="1"/>
  <c r="L69" i="6"/>
  <c r="O69" i="6" s="1"/>
  <c r="L121" i="6"/>
  <c r="O121" i="6" s="1"/>
  <c r="N121" i="6"/>
  <c r="P121" i="6" s="1"/>
  <c r="M121" i="6"/>
  <c r="N80" i="6"/>
  <c r="P80" i="6" s="1"/>
  <c r="M80" i="6"/>
  <c r="L80" i="6"/>
  <c r="O80" i="6" s="1"/>
  <c r="L127" i="6"/>
  <c r="O127" i="6" s="1"/>
  <c r="M127" i="6"/>
  <c r="N127" i="6"/>
  <c r="P127" i="6" s="1"/>
  <c r="N85" i="6"/>
  <c r="P85" i="6" s="1"/>
  <c r="L85" i="6"/>
  <c r="O85" i="6" s="1"/>
  <c r="M85" i="6"/>
  <c r="N81" i="6"/>
  <c r="P81" i="6" s="1"/>
  <c r="L81" i="6"/>
  <c r="O81" i="6" s="1"/>
  <c r="M81" i="6"/>
  <c r="L110" i="6"/>
  <c r="O110" i="6" s="1"/>
  <c r="N110" i="6"/>
  <c r="P110" i="6" s="1"/>
  <c r="M110" i="6"/>
  <c r="L102" i="6"/>
  <c r="O102" i="6" s="1"/>
  <c r="N102" i="6"/>
  <c r="P102" i="6" s="1"/>
  <c r="M102" i="6"/>
  <c r="N59" i="6"/>
  <c r="P59" i="6" s="1"/>
  <c r="L59" i="6"/>
  <c r="O59" i="6" s="1"/>
  <c r="M59" i="6"/>
  <c r="I30" i="6"/>
  <c r="AN25" i="6"/>
  <c r="F29" i="6"/>
  <c r="I66" i="6"/>
  <c r="F65" i="6"/>
  <c r="I65" i="6"/>
  <c r="F64" i="6"/>
  <c r="AN20" i="6"/>
  <c r="E86" i="6"/>
  <c r="I86" i="6" s="1"/>
  <c r="F108" i="6"/>
  <c r="I109" i="6"/>
  <c r="N98" i="6"/>
  <c r="P98" i="6" s="1"/>
  <c r="M98" i="6"/>
  <c r="L98" i="6"/>
  <c r="O98" i="6" s="1"/>
  <c r="F33" i="6"/>
  <c r="I34" i="6"/>
  <c r="E37" i="6"/>
  <c r="E58" i="6"/>
  <c r="E59" i="6"/>
  <c r="F42" i="6"/>
  <c r="AN23" i="6"/>
  <c r="I43" i="6"/>
  <c r="E50" i="6"/>
  <c r="E113" i="6"/>
  <c r="I113" i="6" s="1"/>
  <c r="F99" i="6"/>
  <c r="I100" i="6"/>
  <c r="AN14" i="6"/>
  <c r="I73" i="6"/>
  <c r="F72" i="6"/>
  <c r="E75" i="6"/>
  <c r="I75" i="6" s="1"/>
  <c r="I115" i="6"/>
  <c r="F114" i="6"/>
  <c r="E123" i="6"/>
  <c r="I123" i="6" s="1"/>
  <c r="E120" i="6"/>
  <c r="I136" i="6"/>
  <c r="F135" i="6"/>
  <c r="AN8" i="6"/>
  <c r="N95" i="6"/>
  <c r="P95" i="6" s="1"/>
  <c r="L95" i="6"/>
  <c r="O95" i="6" s="1"/>
  <c r="M95" i="6"/>
  <c r="L105" i="6"/>
  <c r="O105" i="6" s="1"/>
  <c r="M105" i="6"/>
  <c r="N105" i="6"/>
  <c r="P105" i="6" s="1"/>
  <c r="N64" i="6"/>
  <c r="P64" i="6" s="1"/>
  <c r="M64" i="6"/>
  <c r="L64" i="6"/>
  <c r="O64" i="6" s="1"/>
  <c r="M133" i="6"/>
  <c r="L133" i="6"/>
  <c r="O133" i="6" s="1"/>
  <c r="N133" i="6"/>
  <c r="P133" i="6" s="1"/>
  <c r="L108" i="6"/>
  <c r="O108" i="6" s="1"/>
  <c r="N108" i="6"/>
  <c r="P108" i="6" s="1"/>
  <c r="M108" i="6"/>
  <c r="N83" i="6"/>
  <c r="P83" i="6" s="1"/>
  <c r="M83" i="6"/>
  <c r="L83" i="6"/>
  <c r="O83" i="6" s="1"/>
  <c r="M129" i="6"/>
  <c r="N129" i="6"/>
  <c r="P129" i="6" s="1"/>
  <c r="L129" i="6"/>
  <c r="O129" i="6" s="1"/>
  <c r="N97" i="6"/>
  <c r="P97" i="6" s="1"/>
  <c r="L97" i="6"/>
  <c r="O97" i="6" s="1"/>
  <c r="M97" i="6"/>
  <c r="N65" i="6"/>
  <c r="P65" i="6" s="1"/>
  <c r="M65" i="6"/>
  <c r="L65" i="6"/>
  <c r="O65" i="6" s="1"/>
  <c r="N33" i="6"/>
  <c r="P33" i="6" s="1"/>
  <c r="L33" i="6"/>
  <c r="O33" i="6" s="1"/>
  <c r="M33" i="6"/>
  <c r="L111" i="6"/>
  <c r="O111" i="6" s="1"/>
  <c r="M111" i="6"/>
  <c r="N111" i="6"/>
  <c r="P111" i="6" s="1"/>
  <c r="L114" i="6"/>
  <c r="O114" i="6" s="1"/>
  <c r="M114" i="6"/>
  <c r="N114" i="6"/>
  <c r="P114" i="6" s="1"/>
  <c r="M134" i="6"/>
  <c r="N134" i="6"/>
  <c r="P134" i="6" s="1"/>
  <c r="L134" i="6"/>
  <c r="O134" i="6" s="1"/>
  <c r="M66" i="6"/>
  <c r="N66" i="6"/>
  <c r="P66" i="6" s="1"/>
  <c r="L66" i="6"/>
  <c r="O66" i="6" s="1"/>
  <c r="L122" i="6"/>
  <c r="O122" i="6" s="1"/>
  <c r="M122" i="6"/>
  <c r="N122" i="6"/>
  <c r="P122" i="6" s="1"/>
  <c r="I53" i="6" l="1"/>
  <c r="F52" i="6"/>
  <c r="F24" i="6"/>
  <c r="I25" i="6"/>
  <c r="I121" i="6"/>
  <c r="F120" i="6"/>
  <c r="AN11" i="6"/>
  <c r="I29" i="6"/>
  <c r="F28" i="6"/>
  <c r="F71" i="6"/>
  <c r="I72" i="6"/>
  <c r="F79" i="6"/>
  <c r="I80" i="6"/>
  <c r="I118" i="6"/>
  <c r="AN12" i="6"/>
  <c r="F117" i="6"/>
  <c r="I124" i="6"/>
  <c r="F123" i="6"/>
  <c r="F86" i="6"/>
  <c r="I87" i="6"/>
  <c r="I132" i="6"/>
  <c r="F131" i="6"/>
  <c r="F87" i="6"/>
  <c r="I88" i="6"/>
  <c r="F84" i="6"/>
  <c r="I85" i="6"/>
  <c r="F76" i="6"/>
  <c r="I77" i="6"/>
  <c r="I71" i="6"/>
  <c r="F70" i="6"/>
  <c r="I117" i="6"/>
  <c r="I59" i="6"/>
  <c r="F58" i="6"/>
  <c r="I24" i="6"/>
  <c r="F96" i="6"/>
  <c r="I97" i="6"/>
  <c r="I28" i="6"/>
  <c r="F48" i="6"/>
  <c r="I49" i="6"/>
  <c r="F75" i="6"/>
  <c r="I76" i="6"/>
  <c r="I114" i="6"/>
  <c r="F113" i="6"/>
  <c r="F37" i="6"/>
  <c r="I38" i="6"/>
  <c r="I56" i="6"/>
  <c r="AN21" i="6"/>
  <c r="F55" i="6"/>
  <c r="I120" i="6"/>
  <c r="F49" i="6"/>
  <c r="I50" i="6"/>
  <c r="F130" i="6"/>
  <c r="I131" i="6"/>
  <c r="F19" i="6"/>
  <c r="I20" i="6"/>
  <c r="I70" i="6"/>
  <c r="I60" i="6"/>
  <c r="F59" i="6"/>
  <c r="O77" i="6"/>
  <c r="F50" i="6"/>
  <c r="I51" i="6"/>
  <c r="I23" i="6"/>
  <c r="F22" i="6"/>
  <c r="F47" i="6"/>
  <c r="AN22" i="6"/>
  <c r="I48" i="6"/>
  <c r="I107" i="6"/>
  <c r="F106" i="6"/>
  <c r="F93" i="6"/>
  <c r="I94" i="6"/>
  <c r="I37" i="6"/>
  <c r="C40" i="3" l="1"/>
  <c r="I23" i="3" l="1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1" i="3"/>
  <c r="Q40" i="6"/>
  <c r="R40" i="6" l="1"/>
  <c r="U40" i="6" s="1"/>
  <c r="V40" i="6" s="1"/>
  <c r="Q24" i="6"/>
  <c r="R24" i="6"/>
  <c r="U24" i="6" s="1"/>
  <c r="V24" i="6" s="1"/>
  <c r="Q39" i="6"/>
  <c r="R39" i="6"/>
  <c r="U39" i="6" s="1"/>
  <c r="V39" i="6" s="1"/>
  <c r="Q31" i="6"/>
  <c r="R31" i="6"/>
  <c r="U31" i="6" s="1"/>
  <c r="V31" i="6" s="1"/>
  <c r="Q23" i="6"/>
  <c r="R23" i="6"/>
  <c r="U23" i="6" s="1"/>
  <c r="V23" i="6" s="1"/>
  <c r="Q38" i="6"/>
  <c r="R38" i="6"/>
  <c r="U38" i="6" s="1"/>
  <c r="V38" i="6" s="1"/>
  <c r="R30" i="6"/>
  <c r="U30" i="6" s="1"/>
  <c r="V30" i="6" s="1"/>
  <c r="Q30" i="6"/>
  <c r="R22" i="6"/>
  <c r="U22" i="6" s="1"/>
  <c r="V22" i="6" s="1"/>
  <c r="Q22" i="6"/>
  <c r="R32" i="6"/>
  <c r="U32" i="6" s="1"/>
  <c r="V32" i="6" s="1"/>
  <c r="Q32" i="6"/>
  <c r="Q37" i="6"/>
  <c r="R37" i="6"/>
  <c r="U37" i="6" s="1"/>
  <c r="V37" i="6" s="1"/>
  <c r="Q35" i="6"/>
  <c r="R35" i="6"/>
  <c r="U35" i="6" s="1"/>
  <c r="V35" i="6" s="1"/>
  <c r="Q27" i="6"/>
  <c r="R27" i="6"/>
  <c r="U27" i="6" s="1"/>
  <c r="V27" i="6" s="1"/>
  <c r="R19" i="6"/>
  <c r="U19" i="6" s="1"/>
  <c r="V19" i="6" s="1"/>
  <c r="Q19" i="6"/>
  <c r="Q29" i="6"/>
  <c r="R29" i="6"/>
  <c r="U29" i="6" s="1"/>
  <c r="V29" i="6" s="1"/>
  <c r="Q28" i="6"/>
  <c r="R28" i="6"/>
  <c r="U28" i="6" s="1"/>
  <c r="V28" i="6" s="1"/>
  <c r="R20" i="6"/>
  <c r="U20" i="6" s="1"/>
  <c r="V20" i="6" s="1"/>
  <c r="Q20" i="6"/>
  <c r="Q34" i="6"/>
  <c r="R34" i="6"/>
  <c r="U34" i="6" s="1"/>
  <c r="V34" i="6" s="1"/>
  <c r="R26" i="6"/>
  <c r="U26" i="6" s="1"/>
  <c r="V26" i="6" s="1"/>
  <c r="Q26" i="6"/>
  <c r="R18" i="6"/>
  <c r="U18" i="6" s="1"/>
  <c r="V18" i="6" s="1"/>
  <c r="Q18" i="6"/>
  <c r="R21" i="6"/>
  <c r="U21" i="6" s="1"/>
  <c r="V21" i="6" s="1"/>
  <c r="Q21" i="6"/>
  <c r="Q36" i="6"/>
  <c r="R36" i="6"/>
  <c r="U36" i="6" s="1"/>
  <c r="V36" i="6" s="1"/>
  <c r="R33" i="6"/>
  <c r="U33" i="6" s="1"/>
  <c r="V33" i="6" s="1"/>
  <c r="Q33" i="6"/>
  <c r="Q25" i="6"/>
  <c r="R25" i="6"/>
  <c r="U25" i="6" s="1"/>
  <c r="V25" i="6" s="1"/>
  <c r="C42" i="3"/>
  <c r="R41" i="6"/>
  <c r="U41" i="6" s="1"/>
  <c r="V41" i="6" s="1"/>
  <c r="Q41" i="6"/>
  <c r="C43" i="3" l="1"/>
  <c r="R42" i="6"/>
  <c r="U42" i="6" s="1"/>
  <c r="V42" i="6" s="1"/>
  <c r="Q42" i="6"/>
  <c r="R43" i="6" l="1"/>
  <c r="U43" i="6" s="1"/>
  <c r="V43" i="6" s="1"/>
  <c r="Q43" i="6"/>
  <c r="C44" i="3"/>
  <c r="C45" i="3" l="1"/>
  <c r="R44" i="6"/>
  <c r="U44" i="6" s="1"/>
  <c r="V44" i="6" s="1"/>
  <c r="Q44" i="6"/>
  <c r="R45" i="6" l="1"/>
  <c r="U45" i="6" s="1"/>
  <c r="V45" i="6" s="1"/>
  <c r="Q45" i="6"/>
  <c r="C46" i="3"/>
  <c r="R46" i="6" l="1"/>
  <c r="U46" i="6" s="1"/>
  <c r="V46" i="6" s="1"/>
  <c r="Q46" i="6"/>
  <c r="C47" i="3"/>
  <c r="R47" i="6" l="1"/>
  <c r="U47" i="6" s="1"/>
  <c r="V47" i="6" s="1"/>
  <c r="Q47" i="6"/>
  <c r="C48" i="3"/>
  <c r="C49" i="3" l="1"/>
  <c r="R48" i="6"/>
  <c r="U48" i="6" s="1"/>
  <c r="V48" i="6" s="1"/>
  <c r="Q48" i="6"/>
  <c r="C50" i="3" l="1"/>
  <c r="R49" i="6"/>
  <c r="U49" i="6" s="1"/>
  <c r="V49" i="6" s="1"/>
  <c r="Q49" i="6"/>
  <c r="C51" i="3" l="1"/>
  <c r="R50" i="6"/>
  <c r="U50" i="6" s="1"/>
  <c r="V50" i="6" s="1"/>
  <c r="Q50" i="6"/>
  <c r="C52" i="3" l="1"/>
  <c r="R51" i="6"/>
  <c r="U51" i="6" s="1"/>
  <c r="V51" i="6" s="1"/>
  <c r="Q51" i="6"/>
  <c r="C53" i="3" l="1"/>
  <c r="R52" i="6"/>
  <c r="U52" i="6" s="1"/>
  <c r="V52" i="6" s="1"/>
  <c r="Q52" i="6"/>
  <c r="C54" i="3" l="1"/>
  <c r="R53" i="6"/>
  <c r="U53" i="6" s="1"/>
  <c r="V53" i="6" s="1"/>
  <c r="Q53" i="6"/>
  <c r="Q54" i="6" l="1"/>
  <c r="R54" i="6"/>
  <c r="U54" i="6" s="1"/>
  <c r="V54" i="6" s="1"/>
  <c r="C55" i="3"/>
  <c r="C56" i="3" l="1"/>
  <c r="R55" i="6"/>
  <c r="U55" i="6" s="1"/>
  <c r="V55" i="6" s="1"/>
  <c r="Q55" i="6"/>
  <c r="C57" i="3" l="1"/>
  <c r="R56" i="6"/>
  <c r="U56" i="6" s="1"/>
  <c r="V56" i="6" s="1"/>
  <c r="Q56" i="6"/>
  <c r="C58" i="3" l="1"/>
  <c r="R57" i="6"/>
  <c r="U57" i="6" s="1"/>
  <c r="V57" i="6" s="1"/>
  <c r="Q57" i="6"/>
  <c r="C59" i="3" l="1"/>
  <c r="Q58" i="6"/>
  <c r="R58" i="6"/>
  <c r="U58" i="6" s="1"/>
  <c r="V58" i="6" s="1"/>
  <c r="C60" i="3" l="1"/>
  <c r="Q59" i="6"/>
  <c r="R59" i="6"/>
  <c r="U59" i="6" s="1"/>
  <c r="V59" i="6" s="1"/>
  <c r="R60" i="6" l="1"/>
  <c r="U60" i="6" s="1"/>
  <c r="V60" i="6" s="1"/>
  <c r="Q60" i="6"/>
  <c r="C61" i="3"/>
  <c r="R61" i="6" l="1"/>
  <c r="U61" i="6" s="1"/>
  <c r="V61" i="6" s="1"/>
  <c r="Q61" i="6"/>
  <c r="C62" i="3"/>
  <c r="C63" i="3" l="1"/>
  <c r="Q62" i="6"/>
  <c r="R62" i="6"/>
  <c r="U62" i="6" s="1"/>
  <c r="V62" i="6" s="1"/>
  <c r="C64" i="3" l="1"/>
  <c r="R63" i="6"/>
  <c r="U63" i="6" s="1"/>
  <c r="V63" i="6" s="1"/>
  <c r="Q63" i="6"/>
  <c r="R64" i="6" l="1"/>
  <c r="U64" i="6" s="1"/>
  <c r="V64" i="6" s="1"/>
  <c r="Q64" i="6"/>
  <c r="C65" i="3"/>
  <c r="R65" i="6" l="1"/>
  <c r="U65" i="6" s="1"/>
  <c r="V65" i="6" s="1"/>
  <c r="Q65" i="6"/>
  <c r="C66" i="3"/>
  <c r="Q66" i="6" l="1"/>
  <c r="R66" i="6"/>
  <c r="U66" i="6" s="1"/>
  <c r="V66" i="6" s="1"/>
  <c r="C67" i="3"/>
  <c r="R67" i="6" l="1"/>
  <c r="U67" i="6" s="1"/>
  <c r="V67" i="6" s="1"/>
  <c r="Q67" i="6"/>
  <c r="C68" i="3"/>
  <c r="C69" i="3" l="1"/>
  <c r="R68" i="6"/>
  <c r="U68" i="6" s="1"/>
  <c r="V68" i="6" s="1"/>
  <c r="Q68" i="6"/>
  <c r="C70" i="3" l="1"/>
  <c r="R69" i="6"/>
  <c r="U69" i="6" s="1"/>
  <c r="V69" i="6" s="1"/>
  <c r="Q69" i="6"/>
  <c r="C71" i="3" l="1"/>
  <c r="Q70" i="6"/>
  <c r="R70" i="6"/>
  <c r="U70" i="6" s="1"/>
  <c r="V70" i="6" s="1"/>
  <c r="R71" i="6" l="1"/>
  <c r="U71" i="6" s="1"/>
  <c r="V71" i="6" s="1"/>
  <c r="Q71" i="6"/>
  <c r="C72" i="3"/>
  <c r="C73" i="3" l="1"/>
  <c r="R72" i="6"/>
  <c r="U72" i="6" s="1"/>
  <c r="V72" i="6" s="1"/>
  <c r="Q72" i="6"/>
  <c r="Q73" i="6" l="1"/>
  <c r="R73" i="6"/>
  <c r="U73" i="6" s="1"/>
  <c r="V73" i="6" s="1"/>
  <c r="C74" i="3"/>
  <c r="C75" i="3" l="1"/>
  <c r="R74" i="6"/>
  <c r="U74" i="6" s="1"/>
  <c r="V74" i="6" s="1"/>
  <c r="Q74" i="6"/>
  <c r="C76" i="3" l="1"/>
  <c r="R75" i="6"/>
  <c r="U75" i="6" s="1"/>
  <c r="V75" i="6" s="1"/>
  <c r="Q75" i="6"/>
  <c r="R76" i="6" l="1"/>
  <c r="U76" i="6" s="1"/>
  <c r="V76" i="6" s="1"/>
  <c r="Q76" i="6"/>
  <c r="C77" i="3"/>
  <c r="K27" i="3"/>
  <c r="AE17" i="6" l="1"/>
  <c r="Q77" i="6"/>
  <c r="R77" i="6"/>
  <c r="U77" i="6" s="1"/>
  <c r="V77" i="6" s="1"/>
  <c r="C78" i="3"/>
  <c r="Q78" i="6" l="1"/>
  <c r="R78" i="6"/>
  <c r="U78" i="6" s="1"/>
  <c r="V78" i="6" s="1"/>
  <c r="C79" i="3"/>
  <c r="C80" i="3" l="1"/>
  <c r="R79" i="6"/>
  <c r="U79" i="6" s="1"/>
  <c r="V79" i="6" s="1"/>
  <c r="Q79" i="6"/>
  <c r="C81" i="3" l="1"/>
  <c r="R80" i="6"/>
  <c r="U80" i="6" s="1"/>
  <c r="V80" i="6" s="1"/>
  <c r="Q80" i="6"/>
  <c r="Q81" i="6" l="1"/>
  <c r="R81" i="6"/>
  <c r="U81" i="6" s="1"/>
  <c r="V81" i="6" s="1"/>
  <c r="C82" i="3"/>
  <c r="C83" i="3" l="1"/>
  <c r="R82" i="6"/>
  <c r="U82" i="6" s="1"/>
  <c r="V82" i="6" s="1"/>
  <c r="Q82" i="6"/>
  <c r="C84" i="3" l="1"/>
  <c r="Q83" i="6"/>
  <c r="R83" i="6"/>
  <c r="U83" i="6" s="1"/>
  <c r="V83" i="6" s="1"/>
  <c r="C85" i="3" l="1"/>
  <c r="R84" i="6"/>
  <c r="U84" i="6" s="1"/>
  <c r="V84" i="6" s="1"/>
  <c r="Q84" i="6"/>
  <c r="C86" i="3" l="1"/>
  <c r="Q85" i="6"/>
  <c r="R85" i="6"/>
  <c r="U85" i="6" s="1"/>
  <c r="V85" i="6" s="1"/>
  <c r="C87" i="3" l="1"/>
  <c r="Q86" i="6"/>
  <c r="R86" i="6"/>
  <c r="U86" i="6" s="1"/>
  <c r="V86" i="6" s="1"/>
  <c r="R87" i="6" l="1"/>
  <c r="U87" i="6" s="1"/>
  <c r="V87" i="6" s="1"/>
  <c r="Q87" i="6"/>
  <c r="C88" i="3"/>
  <c r="R88" i="6" l="1"/>
  <c r="U88" i="6" s="1"/>
  <c r="V88" i="6" s="1"/>
  <c r="Q88" i="6"/>
  <c r="C89" i="3"/>
  <c r="C90" i="3" l="1"/>
  <c r="Q89" i="6"/>
  <c r="R89" i="6"/>
  <c r="U89" i="6" s="1"/>
  <c r="V89" i="6" s="1"/>
  <c r="C91" i="3" l="1"/>
  <c r="R90" i="6"/>
  <c r="U90" i="6" s="1"/>
  <c r="V90" i="6" s="1"/>
  <c r="Q90" i="6"/>
  <c r="C92" i="3" l="1"/>
  <c r="R91" i="6"/>
  <c r="U91" i="6" s="1"/>
  <c r="V91" i="6" s="1"/>
  <c r="Q91" i="6"/>
  <c r="C93" i="3" l="1"/>
  <c r="R92" i="6"/>
  <c r="U92" i="6" s="1"/>
  <c r="V92" i="6" s="1"/>
  <c r="Q92" i="6"/>
  <c r="R93" i="6" l="1"/>
  <c r="U93" i="6" s="1"/>
  <c r="V93" i="6" s="1"/>
  <c r="Q93" i="6"/>
  <c r="C94" i="3"/>
  <c r="C95" i="3" l="1"/>
  <c r="R94" i="6"/>
  <c r="U94" i="6" s="1"/>
  <c r="V94" i="6" s="1"/>
  <c r="Q94" i="6"/>
  <c r="R95" i="6" l="1"/>
  <c r="U95" i="6" s="1"/>
  <c r="V95" i="6" s="1"/>
  <c r="Q95" i="6"/>
  <c r="C96" i="3"/>
  <c r="C97" i="3" l="1"/>
  <c r="Q96" i="6"/>
  <c r="R96" i="6"/>
  <c r="U96" i="6" s="1"/>
  <c r="V96" i="6" s="1"/>
  <c r="R97" i="6" l="1"/>
  <c r="U97" i="6" s="1"/>
  <c r="V97" i="6" s="1"/>
  <c r="Q97" i="6"/>
  <c r="C98" i="3"/>
  <c r="C99" i="3" l="1"/>
  <c r="Q98" i="6"/>
  <c r="R98" i="6"/>
  <c r="U98" i="6" s="1"/>
  <c r="V98" i="6" s="1"/>
  <c r="C100" i="3" l="1"/>
  <c r="R99" i="6"/>
  <c r="U99" i="6" s="1"/>
  <c r="V99" i="6" s="1"/>
  <c r="Q99" i="6"/>
  <c r="C101" i="3" l="1"/>
  <c r="Q100" i="6"/>
  <c r="R100" i="6"/>
  <c r="U100" i="6" s="1"/>
  <c r="V100" i="6" s="1"/>
  <c r="R101" i="6" l="1"/>
  <c r="U101" i="6" s="1"/>
  <c r="V101" i="6" s="1"/>
  <c r="Q101" i="6"/>
  <c r="C102" i="3"/>
  <c r="R102" i="6" l="1"/>
  <c r="U102" i="6" s="1"/>
  <c r="V102" i="6" s="1"/>
  <c r="Q102" i="6"/>
  <c r="C103" i="3"/>
  <c r="R103" i="6" l="1"/>
  <c r="U103" i="6" s="1"/>
  <c r="V103" i="6" s="1"/>
  <c r="Q103" i="6"/>
  <c r="C104" i="3"/>
  <c r="Q104" i="6" l="1"/>
  <c r="R104" i="6"/>
  <c r="U104" i="6" s="1"/>
  <c r="V104" i="6" s="1"/>
  <c r="C105" i="3"/>
  <c r="R105" i="6" l="1"/>
  <c r="U105" i="6" s="1"/>
  <c r="V105" i="6" s="1"/>
  <c r="Q105" i="6"/>
  <c r="C106" i="3"/>
  <c r="C107" i="3" l="1"/>
  <c r="R106" i="6"/>
  <c r="U106" i="6" s="1"/>
  <c r="V106" i="6" s="1"/>
  <c r="Q106" i="6"/>
  <c r="C108" i="3" l="1"/>
  <c r="R107" i="6"/>
  <c r="U107" i="6" s="1"/>
  <c r="V107" i="6" s="1"/>
  <c r="Q107" i="6"/>
  <c r="C109" i="3" l="1"/>
  <c r="Q108" i="6"/>
  <c r="R108" i="6"/>
  <c r="U108" i="6" s="1"/>
  <c r="V108" i="6" s="1"/>
  <c r="C110" i="3" l="1"/>
  <c r="R109" i="6"/>
  <c r="U109" i="6" s="1"/>
  <c r="V109" i="6" s="1"/>
  <c r="Q109" i="6"/>
  <c r="C111" i="3" l="1"/>
  <c r="R110" i="6"/>
  <c r="U110" i="6" s="1"/>
  <c r="V110" i="6" s="1"/>
  <c r="Q110" i="6"/>
  <c r="R111" i="6" l="1"/>
  <c r="U111" i="6" s="1"/>
  <c r="V111" i="6" s="1"/>
  <c r="Q111" i="6"/>
  <c r="C112" i="3"/>
  <c r="Q112" i="6" l="1"/>
  <c r="R112" i="6"/>
  <c r="U112" i="6" s="1"/>
  <c r="V112" i="6" s="1"/>
  <c r="C113" i="3"/>
  <c r="R113" i="6" l="1"/>
  <c r="U113" i="6" s="1"/>
  <c r="V113" i="6" s="1"/>
  <c r="Q113" i="6"/>
  <c r="C114" i="3"/>
  <c r="R114" i="6" l="1"/>
  <c r="U114" i="6" s="1"/>
  <c r="V114" i="6" s="1"/>
  <c r="Q114" i="6"/>
  <c r="C115" i="3"/>
  <c r="C116" i="3" l="1"/>
  <c r="R115" i="6"/>
  <c r="U115" i="6" s="1"/>
  <c r="V115" i="6" s="1"/>
  <c r="Q115" i="6"/>
  <c r="Q116" i="6" l="1"/>
  <c r="R116" i="6"/>
  <c r="U116" i="6" s="1"/>
  <c r="V116" i="6" s="1"/>
  <c r="C117" i="3"/>
  <c r="C118" i="3" l="1"/>
  <c r="R117" i="6"/>
  <c r="U117" i="6" s="1"/>
  <c r="V117" i="6" s="1"/>
  <c r="Q117" i="6"/>
  <c r="C119" i="3" l="1"/>
  <c r="R118" i="6"/>
  <c r="U118" i="6" s="1"/>
  <c r="V118" i="6" s="1"/>
  <c r="Q118" i="6"/>
  <c r="C120" i="3" l="1"/>
  <c r="R119" i="6"/>
  <c r="U119" i="6" s="1"/>
  <c r="V119" i="6" s="1"/>
  <c r="Q119" i="6"/>
  <c r="Q120" i="6" l="1"/>
  <c r="R120" i="6"/>
  <c r="U120" i="6" s="1"/>
  <c r="V120" i="6" s="1"/>
  <c r="C121" i="3"/>
  <c r="Q121" i="6" l="1"/>
  <c r="R121" i="6"/>
  <c r="U121" i="6" s="1"/>
  <c r="V121" i="6" s="1"/>
  <c r="C122" i="3"/>
  <c r="C123" i="3" l="1"/>
  <c r="R122" i="6"/>
  <c r="U122" i="6" s="1"/>
  <c r="V122" i="6" s="1"/>
  <c r="Q122" i="6"/>
  <c r="C124" i="3" l="1"/>
  <c r="R123" i="6"/>
  <c r="U123" i="6" s="1"/>
  <c r="V123" i="6" s="1"/>
  <c r="Q123" i="6"/>
  <c r="C125" i="3" l="1"/>
  <c r="R124" i="6"/>
  <c r="U124" i="6" s="1"/>
  <c r="V124" i="6" s="1"/>
  <c r="Q124" i="6"/>
  <c r="R125" i="6" l="1"/>
  <c r="U125" i="6" s="1"/>
  <c r="V125" i="6" s="1"/>
  <c r="Q125" i="6"/>
  <c r="C126" i="3"/>
  <c r="C127" i="3" l="1"/>
  <c r="R126" i="6"/>
  <c r="U126" i="6" s="1"/>
  <c r="V126" i="6" s="1"/>
  <c r="Q126" i="6"/>
  <c r="R127" i="6" l="1"/>
  <c r="U127" i="6" s="1"/>
  <c r="V127" i="6" s="1"/>
  <c r="Q127" i="6"/>
  <c r="C128" i="3"/>
  <c r="C129" i="3" l="1"/>
  <c r="R128" i="6"/>
  <c r="U128" i="6" s="1"/>
  <c r="V128" i="6" s="1"/>
  <c r="Q128" i="6"/>
  <c r="C130" i="3" l="1"/>
  <c r="R129" i="6"/>
  <c r="U129" i="6" s="1"/>
  <c r="V129" i="6" s="1"/>
  <c r="Q129" i="6"/>
  <c r="C131" i="3" l="1"/>
  <c r="R130" i="6"/>
  <c r="U130" i="6" s="1"/>
  <c r="V130" i="6" s="1"/>
  <c r="Q130" i="6"/>
  <c r="Q131" i="6" l="1"/>
  <c r="R131" i="6"/>
  <c r="U131" i="6" s="1"/>
  <c r="V131" i="6" s="1"/>
  <c r="C132" i="3"/>
  <c r="Q132" i="6" l="1"/>
  <c r="R132" i="6"/>
  <c r="U132" i="6" s="1"/>
  <c r="V132" i="6" s="1"/>
  <c r="C133" i="3"/>
  <c r="Q133" i="6" l="1"/>
  <c r="R133" i="6"/>
  <c r="U133" i="6" s="1"/>
  <c r="V133" i="6" s="1"/>
  <c r="C134" i="3"/>
  <c r="D135" i="3" l="1"/>
  <c r="Q134" i="6"/>
  <c r="R134" i="6"/>
  <c r="U134" i="6" s="1"/>
  <c r="V134" i="6" s="1"/>
  <c r="C135" i="3"/>
  <c r="C136" i="3" l="1"/>
  <c r="G135" i="6" s="1"/>
  <c r="D136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Q135" i="6"/>
  <c r="R135" i="6"/>
  <c r="U135" i="6" s="1"/>
  <c r="V135" i="6" s="1"/>
  <c r="Q136" i="6" l="1"/>
  <c r="R136" i="6"/>
  <c r="U136" i="6" s="1"/>
  <c r="V136" i="6" s="1"/>
  <c r="P9" i="6" s="1"/>
  <c r="G136" i="6"/>
  <c r="H136" i="6" s="1"/>
  <c r="H23" i="3"/>
  <c r="E136" i="3" s="1"/>
  <c r="B136" i="6" s="1"/>
  <c r="G18" i="6"/>
  <c r="H18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H131" i="6" l="1"/>
  <c r="H123" i="6"/>
  <c r="H115" i="6"/>
  <c r="H107" i="6"/>
  <c r="H99" i="6"/>
  <c r="H91" i="6"/>
  <c r="H83" i="6"/>
  <c r="H75" i="6"/>
  <c r="H67" i="6"/>
  <c r="H59" i="6"/>
  <c r="H51" i="6"/>
  <c r="H43" i="6"/>
  <c r="H35" i="6"/>
  <c r="H27" i="6"/>
  <c r="H19" i="6"/>
  <c r="H133" i="6"/>
  <c r="H125" i="6"/>
  <c r="H117" i="6"/>
  <c r="H109" i="6"/>
  <c r="H101" i="6"/>
  <c r="H93" i="6"/>
  <c r="H85" i="6"/>
  <c r="H77" i="6"/>
  <c r="H69" i="6"/>
  <c r="H61" i="6"/>
  <c r="H53" i="6"/>
  <c r="H45" i="6"/>
  <c r="H37" i="6"/>
  <c r="H129" i="6"/>
  <c r="H121" i="6"/>
  <c r="H113" i="6"/>
  <c r="H105" i="6"/>
  <c r="H97" i="6"/>
  <c r="H89" i="6"/>
  <c r="H81" i="6"/>
  <c r="H73" i="6"/>
  <c r="H65" i="6"/>
  <c r="H57" i="6"/>
  <c r="H49" i="6"/>
  <c r="H41" i="6"/>
  <c r="H33" i="6"/>
  <c r="H25" i="6"/>
  <c r="H134" i="6"/>
  <c r="H126" i="6"/>
  <c r="H118" i="6"/>
  <c r="H110" i="6"/>
  <c r="H102" i="6"/>
  <c r="H94" i="6"/>
  <c r="H86" i="6"/>
  <c r="H78" i="6"/>
  <c r="H70" i="6"/>
  <c r="H62" i="6"/>
  <c r="H54" i="6"/>
  <c r="H46" i="6"/>
  <c r="H38" i="6"/>
  <c r="H30" i="6"/>
  <c r="H22" i="6"/>
  <c r="H128" i="6"/>
  <c r="H120" i="6"/>
  <c r="H112" i="6"/>
  <c r="H104" i="6"/>
  <c r="H96" i="6"/>
  <c r="H88" i="6"/>
  <c r="H80" i="6"/>
  <c r="H72" i="6"/>
  <c r="H64" i="6"/>
  <c r="H56" i="6"/>
  <c r="H48" i="6"/>
  <c r="H40" i="6"/>
  <c r="H32" i="6"/>
  <c r="H24" i="6"/>
  <c r="H29" i="6"/>
  <c r="H21" i="6"/>
  <c r="H127" i="6"/>
  <c r="H119" i="6"/>
  <c r="H111" i="6"/>
  <c r="H103" i="6"/>
  <c r="H95" i="6"/>
  <c r="H87" i="6"/>
  <c r="H79" i="6"/>
  <c r="H71" i="6"/>
  <c r="H63" i="6"/>
  <c r="H55" i="6"/>
  <c r="H47" i="6"/>
  <c r="H39" i="6"/>
  <c r="H31" i="6"/>
  <c r="H23" i="6"/>
  <c r="H132" i="6"/>
  <c r="H124" i="6"/>
  <c r="H116" i="6"/>
  <c r="H108" i="6"/>
  <c r="H100" i="6"/>
  <c r="H92" i="6"/>
  <c r="H84" i="6"/>
  <c r="H76" i="6"/>
  <c r="H68" i="6"/>
  <c r="H60" i="6"/>
  <c r="H52" i="6"/>
  <c r="H44" i="6"/>
  <c r="H36" i="6"/>
  <c r="H28" i="6"/>
  <c r="H20" i="6"/>
  <c r="H135" i="6"/>
  <c r="O4" i="4"/>
  <c r="M9" i="3"/>
  <c r="O4" i="5"/>
  <c r="K23" i="3"/>
  <c r="M10" i="3" s="1"/>
  <c r="P10" i="6" s="1"/>
  <c r="J23" i="3"/>
  <c r="L23" i="3" s="1"/>
  <c r="M11" i="3" s="1"/>
  <c r="P11" i="6" s="1"/>
  <c r="E18" i="3"/>
  <c r="B18" i="6" s="1"/>
  <c r="E19" i="3"/>
  <c r="B19" i="6" s="1"/>
  <c r="E20" i="3"/>
  <c r="B20" i="6" s="1"/>
  <c r="E21" i="3"/>
  <c r="B21" i="6" s="1"/>
  <c r="E22" i="3"/>
  <c r="B22" i="6" s="1"/>
  <c r="E23" i="3"/>
  <c r="B23" i="6" s="1"/>
  <c r="E24" i="3"/>
  <c r="B24" i="6" s="1"/>
  <c r="E25" i="3"/>
  <c r="B25" i="6" s="1"/>
  <c r="E26" i="3"/>
  <c r="B26" i="6" s="1"/>
  <c r="E27" i="3"/>
  <c r="B27" i="6" s="1"/>
  <c r="E28" i="3"/>
  <c r="B28" i="6" s="1"/>
  <c r="E29" i="3"/>
  <c r="B29" i="6" s="1"/>
  <c r="E30" i="3"/>
  <c r="B30" i="6" s="1"/>
  <c r="E31" i="3"/>
  <c r="B31" i="6" s="1"/>
  <c r="E32" i="3"/>
  <c r="B32" i="6" s="1"/>
  <c r="E33" i="3"/>
  <c r="B33" i="6" s="1"/>
  <c r="E34" i="3"/>
  <c r="B34" i="6" s="1"/>
  <c r="E35" i="3"/>
  <c r="B35" i="6" s="1"/>
  <c r="E36" i="3"/>
  <c r="B36" i="6" s="1"/>
  <c r="E37" i="3"/>
  <c r="B37" i="6" s="1"/>
  <c r="E38" i="3"/>
  <c r="B38" i="6" s="1"/>
  <c r="E39" i="3"/>
  <c r="B39" i="6" s="1"/>
  <c r="E40" i="3"/>
  <c r="B40" i="6" s="1"/>
  <c r="E41" i="3"/>
  <c r="B41" i="6" s="1"/>
  <c r="E42" i="3"/>
  <c r="B42" i="6" s="1"/>
  <c r="E43" i="3"/>
  <c r="B43" i="6" s="1"/>
  <c r="E44" i="3"/>
  <c r="B44" i="6" s="1"/>
  <c r="E45" i="3"/>
  <c r="B45" i="6" s="1"/>
  <c r="E46" i="3"/>
  <c r="B46" i="6" s="1"/>
  <c r="E47" i="3"/>
  <c r="B47" i="6" s="1"/>
  <c r="E48" i="3"/>
  <c r="B48" i="6" s="1"/>
  <c r="E49" i="3"/>
  <c r="B49" i="6" s="1"/>
  <c r="E50" i="3"/>
  <c r="B50" i="6" s="1"/>
  <c r="E51" i="3"/>
  <c r="B51" i="6" s="1"/>
  <c r="E52" i="3"/>
  <c r="B52" i="6" s="1"/>
  <c r="E53" i="3"/>
  <c r="B53" i="6" s="1"/>
  <c r="E54" i="3"/>
  <c r="B54" i="6" s="1"/>
  <c r="E55" i="3"/>
  <c r="B55" i="6" s="1"/>
  <c r="E56" i="3"/>
  <c r="B56" i="6" s="1"/>
  <c r="E57" i="3"/>
  <c r="B57" i="6" s="1"/>
  <c r="E58" i="3"/>
  <c r="B58" i="6" s="1"/>
  <c r="E59" i="3"/>
  <c r="B59" i="6" s="1"/>
  <c r="E60" i="3"/>
  <c r="B60" i="6" s="1"/>
  <c r="E61" i="3"/>
  <c r="B61" i="6" s="1"/>
  <c r="E62" i="3"/>
  <c r="B62" i="6" s="1"/>
  <c r="E63" i="3"/>
  <c r="B63" i="6" s="1"/>
  <c r="E64" i="3"/>
  <c r="B64" i="6" s="1"/>
  <c r="E65" i="3"/>
  <c r="B65" i="6" s="1"/>
  <c r="E66" i="3"/>
  <c r="B66" i="6" s="1"/>
  <c r="E67" i="3"/>
  <c r="B67" i="6" s="1"/>
  <c r="E68" i="3"/>
  <c r="B68" i="6" s="1"/>
  <c r="E69" i="3"/>
  <c r="B69" i="6" s="1"/>
  <c r="E70" i="3"/>
  <c r="B70" i="6" s="1"/>
  <c r="E71" i="3"/>
  <c r="B71" i="6" s="1"/>
  <c r="E72" i="3"/>
  <c r="B72" i="6" s="1"/>
  <c r="E73" i="3"/>
  <c r="B73" i="6" s="1"/>
  <c r="E74" i="3"/>
  <c r="B74" i="6" s="1"/>
  <c r="E75" i="3"/>
  <c r="B75" i="6" s="1"/>
  <c r="E76" i="3"/>
  <c r="B76" i="6" s="1"/>
  <c r="E77" i="3"/>
  <c r="B77" i="6" s="1"/>
  <c r="E78" i="3"/>
  <c r="B78" i="6" s="1"/>
  <c r="E79" i="3"/>
  <c r="B79" i="6" s="1"/>
  <c r="E80" i="3"/>
  <c r="B80" i="6" s="1"/>
  <c r="E81" i="3"/>
  <c r="B81" i="6" s="1"/>
  <c r="E82" i="3"/>
  <c r="B82" i="6" s="1"/>
  <c r="E83" i="3"/>
  <c r="B83" i="6" s="1"/>
  <c r="E84" i="3"/>
  <c r="B84" i="6" s="1"/>
  <c r="E85" i="3"/>
  <c r="B85" i="6" s="1"/>
  <c r="E86" i="3"/>
  <c r="B86" i="6" s="1"/>
  <c r="E87" i="3"/>
  <c r="B87" i="6" s="1"/>
  <c r="E88" i="3"/>
  <c r="B88" i="6" s="1"/>
  <c r="E89" i="3"/>
  <c r="B89" i="6" s="1"/>
  <c r="E90" i="3"/>
  <c r="B90" i="6" s="1"/>
  <c r="E91" i="3"/>
  <c r="B91" i="6" s="1"/>
  <c r="E92" i="3"/>
  <c r="B92" i="6" s="1"/>
  <c r="E93" i="3"/>
  <c r="B93" i="6" s="1"/>
  <c r="E94" i="3"/>
  <c r="B94" i="6" s="1"/>
  <c r="E95" i="3"/>
  <c r="B95" i="6" s="1"/>
  <c r="E96" i="3"/>
  <c r="B96" i="6" s="1"/>
  <c r="E97" i="3"/>
  <c r="B97" i="6" s="1"/>
  <c r="E98" i="3"/>
  <c r="B98" i="6" s="1"/>
  <c r="E99" i="3"/>
  <c r="B99" i="6" s="1"/>
  <c r="E100" i="3"/>
  <c r="B100" i="6" s="1"/>
  <c r="E101" i="3"/>
  <c r="B101" i="6" s="1"/>
  <c r="E102" i="3"/>
  <c r="B102" i="6" s="1"/>
  <c r="E103" i="3"/>
  <c r="B103" i="6" s="1"/>
  <c r="E104" i="3"/>
  <c r="B104" i="6" s="1"/>
  <c r="E105" i="3"/>
  <c r="B105" i="6" s="1"/>
  <c r="E106" i="3"/>
  <c r="B106" i="6" s="1"/>
  <c r="E107" i="3"/>
  <c r="B107" i="6" s="1"/>
  <c r="E108" i="3"/>
  <c r="B108" i="6" s="1"/>
  <c r="E109" i="3"/>
  <c r="B109" i="6" s="1"/>
  <c r="E110" i="3"/>
  <c r="B110" i="6" s="1"/>
  <c r="E111" i="3"/>
  <c r="B111" i="6" s="1"/>
  <c r="E112" i="3"/>
  <c r="B112" i="6" s="1"/>
  <c r="E113" i="3"/>
  <c r="B113" i="6" s="1"/>
  <c r="E114" i="3"/>
  <c r="B114" i="6" s="1"/>
  <c r="E115" i="3"/>
  <c r="B115" i="6" s="1"/>
  <c r="E116" i="3"/>
  <c r="B116" i="6" s="1"/>
  <c r="E117" i="3"/>
  <c r="B117" i="6" s="1"/>
  <c r="E118" i="3"/>
  <c r="B118" i="6" s="1"/>
  <c r="E119" i="3"/>
  <c r="B119" i="6" s="1"/>
  <c r="E120" i="3"/>
  <c r="B120" i="6" s="1"/>
  <c r="E121" i="3"/>
  <c r="B121" i="6" s="1"/>
  <c r="E122" i="3"/>
  <c r="B122" i="6" s="1"/>
  <c r="E123" i="3"/>
  <c r="B123" i="6" s="1"/>
  <c r="E124" i="3"/>
  <c r="B124" i="6" s="1"/>
  <c r="E125" i="3"/>
  <c r="B125" i="6" s="1"/>
  <c r="E126" i="3"/>
  <c r="B126" i="6" s="1"/>
  <c r="E127" i="3"/>
  <c r="B127" i="6" s="1"/>
  <c r="E128" i="3"/>
  <c r="B128" i="6" s="1"/>
  <c r="E129" i="3"/>
  <c r="B129" i="6" s="1"/>
  <c r="E130" i="3"/>
  <c r="B130" i="6" s="1"/>
  <c r="E131" i="3"/>
  <c r="B131" i="6" s="1"/>
  <c r="E132" i="3"/>
  <c r="B132" i="6" s="1"/>
  <c r="E133" i="3"/>
  <c r="B133" i="6" s="1"/>
  <c r="E134" i="3"/>
  <c r="B134" i="6" s="1"/>
  <c r="E135" i="3"/>
  <c r="B135" i="6" s="1"/>
  <c r="H130" i="6"/>
  <c r="H122" i="6"/>
  <c r="H114" i="6"/>
  <c r="H106" i="6"/>
  <c r="H98" i="6"/>
  <c r="H90" i="6"/>
  <c r="H82" i="6"/>
  <c r="H74" i="6"/>
  <c r="H66" i="6"/>
  <c r="H58" i="6"/>
  <c r="H50" i="6"/>
  <c r="H42" i="6"/>
  <c r="H34" i="6"/>
  <c r="H26" i="6"/>
  <c r="K130" i="6" l="1"/>
  <c r="K31" i="6"/>
  <c r="K51" i="6"/>
  <c r="K61" i="6"/>
  <c r="K66" i="6"/>
  <c r="K118" i="6"/>
  <c r="K93" i="6"/>
  <c r="K24" i="6"/>
  <c r="K102" i="6"/>
  <c r="K62" i="6"/>
  <c r="K105" i="6"/>
  <c r="K71" i="6"/>
  <c r="K78" i="6"/>
  <c r="K43" i="6"/>
  <c r="K72" i="6"/>
  <c r="K91" i="6"/>
  <c r="K45" i="6"/>
  <c r="K119" i="6"/>
  <c r="K67" i="6"/>
  <c r="K92" i="6"/>
  <c r="K82" i="6"/>
  <c r="K34" i="6"/>
  <c r="K79" i="6"/>
  <c r="K27" i="6"/>
  <c r="K129" i="6"/>
  <c r="K23" i="6"/>
  <c r="K83" i="6"/>
  <c r="K109" i="6"/>
  <c r="K98" i="6"/>
  <c r="K41" i="6"/>
  <c r="K44" i="6"/>
  <c r="K95" i="6"/>
  <c r="K97" i="6"/>
  <c r="K64" i="6"/>
  <c r="K75" i="6"/>
  <c r="K29" i="6"/>
  <c r="K136" i="6"/>
  <c r="K133" i="6"/>
  <c r="K73" i="6"/>
  <c r="K55" i="6"/>
  <c r="K37" i="6"/>
  <c r="K18" i="6"/>
  <c r="K33" i="6"/>
  <c r="K106" i="6"/>
  <c r="F116" i="3"/>
  <c r="J116" i="6" s="1"/>
  <c r="F76" i="3"/>
  <c r="J76" i="6" s="1"/>
  <c r="F44" i="3"/>
  <c r="J44" i="6" s="1"/>
  <c r="F131" i="3"/>
  <c r="J131" i="6" s="1"/>
  <c r="F123" i="3"/>
  <c r="J123" i="6" s="1"/>
  <c r="F115" i="3"/>
  <c r="J115" i="6" s="1"/>
  <c r="F107" i="3"/>
  <c r="J107" i="6" s="1"/>
  <c r="F99" i="3"/>
  <c r="J99" i="6" s="1"/>
  <c r="F91" i="3"/>
  <c r="J91" i="6" s="1"/>
  <c r="F83" i="3"/>
  <c r="J83" i="6" s="1"/>
  <c r="F75" i="3"/>
  <c r="J75" i="6" s="1"/>
  <c r="F67" i="3"/>
  <c r="J67" i="6" s="1"/>
  <c r="F59" i="3"/>
  <c r="J59" i="6" s="1"/>
  <c r="F51" i="3"/>
  <c r="J51" i="6" s="1"/>
  <c r="F43" i="3"/>
  <c r="J43" i="6" s="1"/>
  <c r="F35" i="3"/>
  <c r="J35" i="6" s="1"/>
  <c r="F27" i="3"/>
  <c r="J27" i="6" s="1"/>
  <c r="F19" i="3"/>
  <c r="J19" i="6" s="1"/>
  <c r="K115" i="6"/>
  <c r="K57" i="6"/>
  <c r="F130" i="3"/>
  <c r="J130" i="6" s="1"/>
  <c r="F122" i="3"/>
  <c r="J122" i="6" s="1"/>
  <c r="F114" i="3"/>
  <c r="J114" i="6" s="1"/>
  <c r="F106" i="3"/>
  <c r="J106" i="6" s="1"/>
  <c r="F98" i="3"/>
  <c r="J98" i="6" s="1"/>
  <c r="F90" i="3"/>
  <c r="J90" i="6" s="1"/>
  <c r="F82" i="3"/>
  <c r="J82" i="6" s="1"/>
  <c r="F74" i="3"/>
  <c r="J74" i="6" s="1"/>
  <c r="F66" i="3"/>
  <c r="J66" i="6" s="1"/>
  <c r="F58" i="3"/>
  <c r="J58" i="6" s="1"/>
  <c r="F50" i="3"/>
  <c r="J50" i="6" s="1"/>
  <c r="F42" i="3"/>
  <c r="J42" i="6" s="1"/>
  <c r="F34" i="3"/>
  <c r="J34" i="6" s="1"/>
  <c r="F26" i="3"/>
  <c r="J26" i="6" s="1"/>
  <c r="F18" i="3"/>
  <c r="J18" i="6" s="1"/>
  <c r="K108" i="6"/>
  <c r="K88" i="6"/>
  <c r="K35" i="6"/>
  <c r="K69" i="6"/>
  <c r="K77" i="6"/>
  <c r="K50" i="6"/>
  <c r="K113" i="6"/>
  <c r="K39" i="6"/>
  <c r="K65" i="6"/>
  <c r="K80" i="6"/>
  <c r="K32" i="6"/>
  <c r="K135" i="6"/>
  <c r="K114" i="6"/>
  <c r="K94" i="6"/>
  <c r="K89" i="6"/>
  <c r="F132" i="3"/>
  <c r="J132" i="6" s="1"/>
  <c r="F108" i="3"/>
  <c r="J108" i="6" s="1"/>
  <c r="F68" i="3"/>
  <c r="J68" i="6" s="1"/>
  <c r="F28" i="3"/>
  <c r="J28" i="6" s="1"/>
  <c r="F129" i="3"/>
  <c r="J129" i="6" s="1"/>
  <c r="F105" i="3"/>
  <c r="J105" i="6" s="1"/>
  <c r="F73" i="3"/>
  <c r="J73" i="6" s="1"/>
  <c r="F49" i="3"/>
  <c r="J49" i="6" s="1"/>
  <c r="F33" i="3"/>
  <c r="J33" i="6" s="1"/>
  <c r="F128" i="3"/>
  <c r="J128" i="6" s="1"/>
  <c r="F96" i="3"/>
  <c r="J96" i="6" s="1"/>
  <c r="F72" i="3"/>
  <c r="J72" i="6" s="1"/>
  <c r="F56" i="3"/>
  <c r="J56" i="6" s="1"/>
  <c r="F32" i="3"/>
  <c r="J32" i="6" s="1"/>
  <c r="K59" i="6"/>
  <c r="K42" i="6"/>
  <c r="K40" i="6"/>
  <c r="K110" i="6"/>
  <c r="F135" i="3"/>
  <c r="J135" i="6" s="1"/>
  <c r="F127" i="3"/>
  <c r="J127" i="6" s="1"/>
  <c r="F119" i="3"/>
  <c r="J119" i="6" s="1"/>
  <c r="F111" i="3"/>
  <c r="J111" i="6" s="1"/>
  <c r="F103" i="3"/>
  <c r="J103" i="6" s="1"/>
  <c r="F95" i="3"/>
  <c r="J95" i="6" s="1"/>
  <c r="F87" i="3"/>
  <c r="J87" i="6" s="1"/>
  <c r="F79" i="3"/>
  <c r="J79" i="6" s="1"/>
  <c r="F71" i="3"/>
  <c r="J71" i="6" s="1"/>
  <c r="F63" i="3"/>
  <c r="J63" i="6" s="1"/>
  <c r="F55" i="3"/>
  <c r="J55" i="6" s="1"/>
  <c r="F47" i="3"/>
  <c r="J47" i="6" s="1"/>
  <c r="F39" i="3"/>
  <c r="J39" i="6" s="1"/>
  <c r="F31" i="3"/>
  <c r="J31" i="6" s="1"/>
  <c r="F23" i="3"/>
  <c r="J23" i="6" s="1"/>
  <c r="K60" i="6"/>
  <c r="K81" i="6"/>
  <c r="K96" i="6"/>
  <c r="K70" i="6"/>
  <c r="K99" i="6"/>
  <c r="K22" i="6"/>
  <c r="K120" i="6"/>
  <c r="K125" i="6"/>
  <c r="K90" i="6"/>
  <c r="K104" i="6"/>
  <c r="K63" i="6"/>
  <c r="K131" i="6"/>
  <c r="K85" i="6"/>
  <c r="K58" i="6"/>
  <c r="F84" i="3"/>
  <c r="J84" i="6" s="1"/>
  <c r="F89" i="3"/>
  <c r="J89" i="6" s="1"/>
  <c r="O6" i="5"/>
  <c r="O6" i="4"/>
  <c r="F112" i="3"/>
  <c r="J112" i="6" s="1"/>
  <c r="F80" i="3"/>
  <c r="J80" i="6" s="1"/>
  <c r="F48" i="3"/>
  <c r="J48" i="6" s="1"/>
  <c r="F24" i="3"/>
  <c r="J24" i="6" s="1"/>
  <c r="K101" i="6"/>
  <c r="K128" i="6"/>
  <c r="K26" i="6"/>
  <c r="F134" i="3"/>
  <c r="J134" i="6" s="1"/>
  <c r="F126" i="3"/>
  <c r="J126" i="6" s="1"/>
  <c r="F118" i="3"/>
  <c r="J118" i="6" s="1"/>
  <c r="F110" i="3"/>
  <c r="J110" i="6" s="1"/>
  <c r="F102" i="3"/>
  <c r="J102" i="6" s="1"/>
  <c r="F94" i="3"/>
  <c r="J94" i="6" s="1"/>
  <c r="F86" i="3"/>
  <c r="J86" i="6" s="1"/>
  <c r="F78" i="3"/>
  <c r="J78" i="6" s="1"/>
  <c r="F70" i="3"/>
  <c r="J70" i="6" s="1"/>
  <c r="F62" i="3"/>
  <c r="J62" i="6" s="1"/>
  <c r="F54" i="3"/>
  <c r="J54" i="6" s="1"/>
  <c r="F46" i="3"/>
  <c r="J46" i="6" s="1"/>
  <c r="F38" i="3"/>
  <c r="J38" i="6" s="1"/>
  <c r="F30" i="3"/>
  <c r="J30" i="6" s="1"/>
  <c r="F22" i="3"/>
  <c r="J22" i="6" s="1"/>
  <c r="K100" i="6"/>
  <c r="K112" i="6"/>
  <c r="K21" i="6"/>
  <c r="K117" i="6"/>
  <c r="K56" i="6"/>
  <c r="K126" i="6"/>
  <c r="K28" i="6"/>
  <c r="K76" i="6"/>
  <c r="K49" i="6"/>
  <c r="K87" i="6"/>
  <c r="K53" i="6"/>
  <c r="K111" i="6"/>
  <c r="K127" i="6"/>
  <c r="K116" i="6"/>
  <c r="F136" i="3"/>
  <c r="J136" i="6" s="1"/>
  <c r="F124" i="3"/>
  <c r="J124" i="6" s="1"/>
  <c r="F100" i="3"/>
  <c r="J100" i="6" s="1"/>
  <c r="F92" i="3"/>
  <c r="J92" i="6" s="1"/>
  <c r="F60" i="3"/>
  <c r="J60" i="6" s="1"/>
  <c r="F52" i="3"/>
  <c r="J52" i="6" s="1"/>
  <c r="F36" i="3"/>
  <c r="J36" i="6" s="1"/>
  <c r="F20" i="3"/>
  <c r="J20" i="6" s="1"/>
  <c r="F121" i="3"/>
  <c r="J121" i="6" s="1"/>
  <c r="F113" i="3"/>
  <c r="J113" i="6" s="1"/>
  <c r="F97" i="3"/>
  <c r="J97" i="6" s="1"/>
  <c r="F81" i="3"/>
  <c r="J81" i="6" s="1"/>
  <c r="F65" i="3"/>
  <c r="J65" i="6" s="1"/>
  <c r="F57" i="3"/>
  <c r="J57" i="6" s="1"/>
  <c r="F41" i="3"/>
  <c r="J41" i="6" s="1"/>
  <c r="F25" i="3"/>
  <c r="J25" i="6" s="1"/>
  <c r="F120" i="3"/>
  <c r="J120" i="6" s="1"/>
  <c r="F104" i="3"/>
  <c r="J104" i="6" s="1"/>
  <c r="F88" i="3"/>
  <c r="J88" i="6" s="1"/>
  <c r="F64" i="3"/>
  <c r="J64" i="6" s="1"/>
  <c r="F40" i="3"/>
  <c r="J40" i="6" s="1"/>
  <c r="O5" i="4"/>
  <c r="O5" i="5"/>
  <c r="K19" i="6"/>
  <c r="K124" i="6"/>
  <c r="K36" i="6"/>
  <c r="K46" i="6"/>
  <c r="K121" i="6"/>
  <c r="K47" i="6"/>
  <c r="K86" i="6"/>
  <c r="K103" i="6"/>
  <c r="F133" i="3"/>
  <c r="J133" i="6" s="1"/>
  <c r="F125" i="3"/>
  <c r="J125" i="6" s="1"/>
  <c r="F117" i="3"/>
  <c r="J117" i="6" s="1"/>
  <c r="F109" i="3"/>
  <c r="J109" i="6" s="1"/>
  <c r="F101" i="3"/>
  <c r="J101" i="6" s="1"/>
  <c r="F93" i="3"/>
  <c r="J93" i="6" s="1"/>
  <c r="F85" i="3"/>
  <c r="J85" i="6" s="1"/>
  <c r="F77" i="3"/>
  <c r="J77" i="6" s="1"/>
  <c r="F69" i="3"/>
  <c r="J69" i="6" s="1"/>
  <c r="F61" i="3"/>
  <c r="J61" i="6" s="1"/>
  <c r="F53" i="3"/>
  <c r="J53" i="6" s="1"/>
  <c r="F45" i="3"/>
  <c r="J45" i="6" s="1"/>
  <c r="F37" i="3"/>
  <c r="J37" i="6" s="1"/>
  <c r="F29" i="3"/>
  <c r="J29" i="6" s="1"/>
  <c r="F21" i="3"/>
  <c r="J21" i="6" s="1"/>
  <c r="K107" i="6"/>
  <c r="K25" i="6"/>
  <c r="K74" i="6"/>
  <c r="K123" i="6"/>
  <c r="K134" i="6"/>
  <c r="K52" i="6"/>
  <c r="K132" i="6"/>
  <c r="K48" i="6"/>
  <c r="K30" i="6"/>
  <c r="K68" i="6"/>
  <c r="K84" i="6"/>
  <c r="K122" i="6"/>
  <c r="K38" i="6"/>
  <c r="K54" i="6"/>
  <c r="K20" i="6"/>
  <c r="C136" i="6"/>
  <c r="D136" i="6" l="1"/>
  <c r="D37" i="6"/>
  <c r="C37" i="6"/>
  <c r="D133" i="6"/>
  <c r="C133" i="6"/>
  <c r="AO9" i="6"/>
  <c r="D46" i="6"/>
  <c r="C46" i="6"/>
  <c r="D78" i="6"/>
  <c r="C78" i="6"/>
  <c r="D110" i="6"/>
  <c r="C110" i="6"/>
  <c r="D34" i="6"/>
  <c r="C34" i="6"/>
  <c r="C66" i="6"/>
  <c r="D66" i="6"/>
  <c r="D98" i="6"/>
  <c r="C98" i="6"/>
  <c r="D130" i="6"/>
  <c r="C130" i="6"/>
  <c r="D35" i="6"/>
  <c r="C35" i="6"/>
  <c r="C67" i="6"/>
  <c r="D67" i="6"/>
  <c r="D99" i="6"/>
  <c r="C99" i="6"/>
  <c r="AO14" i="6"/>
  <c r="C131" i="6"/>
  <c r="D131" i="6"/>
  <c r="D45" i="6"/>
  <c r="C45" i="6"/>
  <c r="C77" i="6"/>
  <c r="D77" i="6"/>
  <c r="D109" i="6"/>
  <c r="C109" i="6"/>
  <c r="D104" i="6"/>
  <c r="C104" i="6"/>
  <c r="C57" i="6"/>
  <c r="D57" i="6"/>
  <c r="D113" i="6"/>
  <c r="C113" i="6"/>
  <c r="D52" i="6"/>
  <c r="C52" i="6"/>
  <c r="D124" i="6"/>
  <c r="C124" i="6"/>
  <c r="D22" i="6"/>
  <c r="AO26" i="6"/>
  <c r="C22" i="6"/>
  <c r="D112" i="6"/>
  <c r="C112" i="6"/>
  <c r="D31" i="6"/>
  <c r="C31" i="6"/>
  <c r="C63" i="6"/>
  <c r="D63" i="6"/>
  <c r="D95" i="6"/>
  <c r="C95" i="6"/>
  <c r="AO15" i="6"/>
  <c r="D127" i="6"/>
  <c r="C127" i="6"/>
  <c r="D32" i="6"/>
  <c r="C32" i="6"/>
  <c r="D128" i="6"/>
  <c r="C128" i="6"/>
  <c r="D105" i="6"/>
  <c r="C105" i="6"/>
  <c r="D108" i="6"/>
  <c r="C108" i="6"/>
  <c r="D101" i="6"/>
  <c r="C101" i="6"/>
  <c r="D84" i="6"/>
  <c r="C84" i="6"/>
  <c r="D42" i="6"/>
  <c r="C42" i="6"/>
  <c r="AO23" i="6"/>
  <c r="C74" i="6"/>
  <c r="D74" i="6"/>
  <c r="D106" i="6"/>
  <c r="C106" i="6"/>
  <c r="D43" i="6"/>
  <c r="C43" i="6"/>
  <c r="D44" i="6"/>
  <c r="C44" i="6"/>
  <c r="C65" i="6"/>
  <c r="D65" i="6"/>
  <c r="C71" i="6"/>
  <c r="D71" i="6"/>
  <c r="D135" i="6"/>
  <c r="C135" i="6"/>
  <c r="AO8" i="6"/>
  <c r="D129" i="6"/>
  <c r="C129" i="6"/>
  <c r="D132" i="6"/>
  <c r="C132" i="6"/>
  <c r="C25" i="6"/>
  <c r="D25" i="6"/>
  <c r="D30" i="6"/>
  <c r="C30" i="6"/>
  <c r="C62" i="6"/>
  <c r="D62" i="6"/>
  <c r="D94" i="6"/>
  <c r="C94" i="6"/>
  <c r="D126" i="6"/>
  <c r="C126" i="6"/>
  <c r="C89" i="6"/>
  <c r="D89" i="6"/>
  <c r="AO27" i="6"/>
  <c r="AP27" i="6" s="1"/>
  <c r="D18" i="6"/>
  <c r="C18" i="6"/>
  <c r="D50" i="6"/>
  <c r="C50" i="6"/>
  <c r="C82" i="6"/>
  <c r="D82" i="6"/>
  <c r="D114" i="6"/>
  <c r="C114" i="6"/>
  <c r="D19" i="6"/>
  <c r="C19" i="6"/>
  <c r="D51" i="6"/>
  <c r="C51" i="6"/>
  <c r="D83" i="6"/>
  <c r="C83" i="6"/>
  <c r="D115" i="6"/>
  <c r="C115" i="6"/>
  <c r="D76" i="6"/>
  <c r="C76" i="6"/>
  <c r="C54" i="6"/>
  <c r="D54" i="6"/>
  <c r="D75" i="6"/>
  <c r="C75" i="6"/>
  <c r="C21" i="6"/>
  <c r="D21" i="6"/>
  <c r="D117" i="6"/>
  <c r="C117" i="6"/>
  <c r="AO12" i="6"/>
  <c r="D40" i="6"/>
  <c r="C40" i="6"/>
  <c r="D39" i="6"/>
  <c r="C39" i="6"/>
  <c r="AO24" i="6"/>
  <c r="C56" i="6"/>
  <c r="D56" i="6"/>
  <c r="D29" i="6"/>
  <c r="AO25" i="6"/>
  <c r="C29" i="6"/>
  <c r="C61" i="6"/>
  <c r="D61" i="6"/>
  <c r="C93" i="6"/>
  <c r="D93" i="6"/>
  <c r="D125" i="6"/>
  <c r="C125" i="6"/>
  <c r="AO10" i="6"/>
  <c r="C64" i="6"/>
  <c r="D64" i="6"/>
  <c r="AO20" i="6"/>
  <c r="C81" i="6"/>
  <c r="D81" i="6"/>
  <c r="AO17" i="6"/>
  <c r="C20" i="6"/>
  <c r="D20" i="6"/>
  <c r="D92" i="6"/>
  <c r="C92" i="6"/>
  <c r="C70" i="6"/>
  <c r="D70" i="6"/>
  <c r="D48" i="6"/>
  <c r="C48" i="6"/>
  <c r="D47" i="6"/>
  <c r="C47" i="6"/>
  <c r="AO22" i="6"/>
  <c r="C79" i="6"/>
  <c r="D79" i="6"/>
  <c r="D111" i="6"/>
  <c r="C111" i="6"/>
  <c r="C72" i="6"/>
  <c r="D72" i="6"/>
  <c r="D49" i="6"/>
  <c r="C49" i="6"/>
  <c r="D28" i="6"/>
  <c r="C28" i="6"/>
  <c r="C69" i="6"/>
  <c r="D69" i="6"/>
  <c r="D88" i="6"/>
  <c r="C88" i="6"/>
  <c r="D41" i="6"/>
  <c r="C41" i="6"/>
  <c r="D97" i="6"/>
  <c r="C97" i="6"/>
  <c r="D36" i="6"/>
  <c r="C36" i="6"/>
  <c r="D100" i="6"/>
  <c r="C100" i="6"/>
  <c r="D80" i="6"/>
  <c r="C80" i="6"/>
  <c r="D23" i="6"/>
  <c r="C23" i="6"/>
  <c r="C55" i="6"/>
  <c r="D55" i="6"/>
  <c r="AO21" i="6"/>
  <c r="D87" i="6"/>
  <c r="C87" i="6"/>
  <c r="D119" i="6"/>
  <c r="C119" i="6"/>
  <c r="D96" i="6"/>
  <c r="C96" i="6"/>
  <c r="C73" i="6"/>
  <c r="D73" i="6"/>
  <c r="AO18" i="6"/>
  <c r="C68" i="6"/>
  <c r="D68" i="6"/>
  <c r="AO19" i="6"/>
  <c r="C60" i="6"/>
  <c r="D60" i="6"/>
  <c r="D86" i="6"/>
  <c r="C86" i="6"/>
  <c r="D118" i="6"/>
  <c r="C118" i="6"/>
  <c r="D107" i="6"/>
  <c r="C107" i="6"/>
  <c r="AO13" i="6"/>
  <c r="D53" i="6"/>
  <c r="C53" i="6"/>
  <c r="C85" i="6"/>
  <c r="D85" i="6"/>
  <c r="D120" i="6"/>
  <c r="C120" i="6"/>
  <c r="AO11" i="6"/>
  <c r="D121" i="6"/>
  <c r="C121" i="6"/>
  <c r="D24" i="6"/>
  <c r="C24" i="6"/>
  <c r="D103" i="6"/>
  <c r="C103" i="6"/>
  <c r="D33" i="6"/>
  <c r="C33" i="6"/>
  <c r="D38" i="6"/>
  <c r="C38" i="6"/>
  <c r="D102" i="6"/>
  <c r="C102" i="6"/>
  <c r="C134" i="6"/>
  <c r="D134" i="6"/>
  <c r="C26" i="6"/>
  <c r="D26" i="6"/>
  <c r="C58" i="6"/>
  <c r="D58" i="6"/>
  <c r="C90" i="6"/>
  <c r="D90" i="6"/>
  <c r="D122" i="6"/>
  <c r="C122" i="6"/>
  <c r="D27" i="6"/>
  <c r="C27" i="6"/>
  <c r="C59" i="6"/>
  <c r="D59" i="6"/>
  <c r="D91" i="6"/>
  <c r="C91" i="6"/>
  <c r="AO16" i="6"/>
  <c r="D123" i="6"/>
  <c r="C123" i="6"/>
  <c r="D116" i="6"/>
  <c r="C116" i="6"/>
  <c r="AP11" i="6" l="1"/>
  <c r="AP22" i="6"/>
  <c r="AP26" i="6"/>
  <c r="AP13" i="6"/>
  <c r="AP10" i="6"/>
  <c r="S27" i="6"/>
  <c r="W27" i="6" s="1"/>
  <c r="AP18" i="6"/>
  <c r="AC17" i="6"/>
  <c r="AP17" i="6"/>
  <c r="S119" i="6"/>
  <c r="W119" i="6" s="1"/>
  <c r="S135" i="6"/>
  <c r="W135" i="6" s="1"/>
  <c r="S43" i="6"/>
  <c r="W43" i="6" s="1"/>
  <c r="S95" i="6"/>
  <c r="W95" i="6" s="1"/>
  <c r="S57" i="6"/>
  <c r="W57" i="6" s="1"/>
  <c r="S67" i="6"/>
  <c r="W67" i="6" s="1"/>
  <c r="S66" i="6"/>
  <c r="W66" i="6" s="1"/>
  <c r="S123" i="6"/>
  <c r="W123" i="6" s="1"/>
  <c r="S134" i="6"/>
  <c r="W134" i="6" s="1"/>
  <c r="S120" i="6"/>
  <c r="W120" i="6" s="1"/>
  <c r="S80" i="6"/>
  <c r="W80" i="6" s="1"/>
  <c r="S41" i="6"/>
  <c r="W41" i="6" s="1"/>
  <c r="S49" i="6"/>
  <c r="W49" i="6" s="1"/>
  <c r="S20" i="6"/>
  <c r="W20" i="6" s="1"/>
  <c r="AP25" i="6"/>
  <c r="S40" i="6"/>
  <c r="W40" i="6" s="1"/>
  <c r="S54" i="6"/>
  <c r="W54" i="6" s="1"/>
  <c r="S126" i="6"/>
  <c r="W126" i="6" s="1"/>
  <c r="S71" i="6"/>
  <c r="W71" i="6" s="1"/>
  <c r="S84" i="6"/>
  <c r="W84" i="6" s="1"/>
  <c r="S128" i="6"/>
  <c r="W128" i="6" s="1"/>
  <c r="S63" i="6"/>
  <c r="W63" i="6" s="1"/>
  <c r="S22" i="6"/>
  <c r="W22" i="6" s="1"/>
  <c r="S46" i="6"/>
  <c r="W46" i="6" s="1"/>
  <c r="AP16" i="6"/>
  <c r="S122" i="6"/>
  <c r="W122" i="6" s="1"/>
  <c r="S103" i="6"/>
  <c r="W103" i="6" s="1"/>
  <c r="S85" i="6"/>
  <c r="W85" i="6" s="1"/>
  <c r="S118" i="6"/>
  <c r="W118" i="6" s="1"/>
  <c r="S87" i="6"/>
  <c r="W87" i="6" s="1"/>
  <c r="S72" i="6"/>
  <c r="W72" i="6" s="1"/>
  <c r="S47" i="6"/>
  <c r="W47" i="6" s="1"/>
  <c r="S29" i="6"/>
  <c r="W29" i="6" s="1"/>
  <c r="AP12" i="6"/>
  <c r="S51" i="6"/>
  <c r="W51" i="6" s="1"/>
  <c r="S50" i="6"/>
  <c r="W50" i="6" s="1"/>
  <c r="S106" i="6"/>
  <c r="W106" i="6" s="1"/>
  <c r="S45" i="6"/>
  <c r="W45" i="6" s="1"/>
  <c r="AP9" i="6"/>
  <c r="S107" i="6"/>
  <c r="W107" i="6" s="1"/>
  <c r="S92" i="6"/>
  <c r="W92" i="6" s="1"/>
  <c r="S25" i="6"/>
  <c r="W25" i="6" s="1"/>
  <c r="S100" i="6"/>
  <c r="W100" i="6" s="1"/>
  <c r="S56" i="6"/>
  <c r="W56" i="6" s="1"/>
  <c r="S94" i="6"/>
  <c r="W94" i="6" s="1"/>
  <c r="S101" i="6"/>
  <c r="W101" i="6" s="1"/>
  <c r="S131" i="6"/>
  <c r="W131" i="6" s="1"/>
  <c r="S34" i="6"/>
  <c r="W34" i="6" s="1"/>
  <c r="S91" i="6"/>
  <c r="W91" i="6" s="1"/>
  <c r="S86" i="6"/>
  <c r="W86" i="6" s="1"/>
  <c r="S81" i="6"/>
  <c r="W81" i="6" s="1"/>
  <c r="S117" i="6"/>
  <c r="W117" i="6" s="1"/>
  <c r="S19" i="6"/>
  <c r="W19" i="6" s="1"/>
  <c r="S18" i="6"/>
  <c r="S62" i="6"/>
  <c r="W62" i="6" s="1"/>
  <c r="S31" i="6"/>
  <c r="W31" i="6" s="1"/>
  <c r="S104" i="6"/>
  <c r="W104" i="6" s="1"/>
  <c r="S133" i="6"/>
  <c r="W133" i="6" s="1"/>
  <c r="S59" i="6"/>
  <c r="W59" i="6" s="1"/>
  <c r="S58" i="6"/>
  <c r="W58" i="6" s="1"/>
  <c r="S53" i="6"/>
  <c r="W53" i="6" s="1"/>
  <c r="S60" i="6"/>
  <c r="W60" i="6" s="1"/>
  <c r="S36" i="6"/>
  <c r="W36" i="6" s="1"/>
  <c r="S111" i="6"/>
  <c r="W111" i="6" s="1"/>
  <c r="S70" i="6"/>
  <c r="W70" i="6" s="1"/>
  <c r="AP24" i="6"/>
  <c r="S21" i="6"/>
  <c r="W21" i="6" s="1"/>
  <c r="S129" i="6"/>
  <c r="W129" i="6" s="1"/>
  <c r="AP23" i="6"/>
  <c r="S108" i="6"/>
  <c r="W108" i="6" s="1"/>
  <c r="S127" i="6"/>
  <c r="W127" i="6" s="1"/>
  <c r="S52" i="6"/>
  <c r="W52" i="6" s="1"/>
  <c r="AP14" i="6"/>
  <c r="S130" i="6"/>
  <c r="W130" i="6" s="1"/>
  <c r="S110" i="6"/>
  <c r="W110" i="6" s="1"/>
  <c r="S83" i="6"/>
  <c r="W83" i="6" s="1"/>
  <c r="S90" i="6"/>
  <c r="W90" i="6" s="1"/>
  <c r="AP21" i="6"/>
  <c r="S65" i="6"/>
  <c r="W65" i="6" s="1"/>
  <c r="S32" i="6"/>
  <c r="W32" i="6" s="1"/>
  <c r="S35" i="6"/>
  <c r="W35" i="6" s="1"/>
  <c r="S102" i="6"/>
  <c r="W102" i="6" s="1"/>
  <c r="S48" i="6"/>
  <c r="W48" i="6" s="1"/>
  <c r="S38" i="6"/>
  <c r="W38" i="6" s="1"/>
  <c r="S121" i="6"/>
  <c r="W121" i="6" s="1"/>
  <c r="S96" i="6"/>
  <c r="W96" i="6" s="1"/>
  <c r="S79" i="6"/>
  <c r="W79" i="6" s="1"/>
  <c r="AP20" i="6"/>
  <c r="S61" i="6"/>
  <c r="W61" i="6" s="1"/>
  <c r="S115" i="6"/>
  <c r="W115" i="6" s="1"/>
  <c r="S114" i="6"/>
  <c r="W114" i="6" s="1"/>
  <c r="S89" i="6"/>
  <c r="W89" i="6" s="1"/>
  <c r="AP7" i="6"/>
  <c r="AP8" i="6"/>
  <c r="S44" i="6"/>
  <c r="W44" i="6" s="1"/>
  <c r="AP15" i="6"/>
  <c r="S112" i="6"/>
  <c r="W112" i="6" s="1"/>
  <c r="S109" i="6"/>
  <c r="W109" i="6" s="1"/>
  <c r="S37" i="6"/>
  <c r="W37" i="6" s="1"/>
  <c r="S33" i="6"/>
  <c r="W33" i="6" s="1"/>
  <c r="S68" i="6"/>
  <c r="W68" i="6" s="1"/>
  <c r="S75" i="6"/>
  <c r="W75" i="6" s="1"/>
  <c r="S73" i="6"/>
  <c r="W73" i="6" s="1"/>
  <c r="S88" i="6"/>
  <c r="W88" i="6" s="1"/>
  <c r="S125" i="6"/>
  <c r="W125" i="6" s="1"/>
  <c r="S132" i="6"/>
  <c r="W132" i="6" s="1"/>
  <c r="S74" i="6"/>
  <c r="W74" i="6" s="1"/>
  <c r="S124" i="6"/>
  <c r="W124" i="6" s="1"/>
  <c r="S24" i="6"/>
  <c r="W24" i="6" s="1"/>
  <c r="S55" i="6"/>
  <c r="W55" i="6" s="1"/>
  <c r="S69" i="6"/>
  <c r="W69" i="6" s="1"/>
  <c r="S93" i="6"/>
  <c r="W93" i="6" s="1"/>
  <c r="S76" i="6"/>
  <c r="W76" i="6" s="1"/>
  <c r="S116" i="6"/>
  <c r="W116" i="6" s="1"/>
  <c r="S26" i="6"/>
  <c r="W26" i="6" s="1"/>
  <c r="AP19" i="6"/>
  <c r="S23" i="6"/>
  <c r="W23" i="6" s="1"/>
  <c r="S97" i="6"/>
  <c r="W97" i="6" s="1"/>
  <c r="S28" i="6"/>
  <c r="W28" i="6" s="1"/>
  <c r="S64" i="6"/>
  <c r="W64" i="6" s="1"/>
  <c r="S39" i="6"/>
  <c r="W39" i="6" s="1"/>
  <c r="S82" i="6"/>
  <c r="W82" i="6" s="1"/>
  <c r="S30" i="6"/>
  <c r="W30" i="6" s="1"/>
  <c r="S42" i="6"/>
  <c r="W42" i="6" s="1"/>
  <c r="S105" i="6"/>
  <c r="W105" i="6" s="1"/>
  <c r="S113" i="6"/>
  <c r="W113" i="6" s="1"/>
  <c r="S77" i="6"/>
  <c r="W77" i="6" s="1"/>
  <c r="S99" i="6"/>
  <c r="W99" i="6" s="1"/>
  <c r="S98" i="6"/>
  <c r="W98" i="6" s="1"/>
  <c r="S78" i="6"/>
  <c r="W78" i="6" s="1"/>
  <c r="S136" i="6"/>
  <c r="W136" i="6" s="1"/>
  <c r="W18" i="6" l="1"/>
  <c r="X18" i="6" s="1"/>
  <c r="AD17" i="6"/>
  <c r="X19" i="6" l="1"/>
  <c r="X20" i="6" l="1"/>
  <c r="X21" i="6" l="1"/>
  <c r="X22" i="6" l="1"/>
  <c r="X23" i="6" l="1"/>
  <c r="X24" i="6" l="1"/>
  <c r="X25" i="6" l="1"/>
  <c r="X26" i="6" l="1"/>
  <c r="X27" i="6" l="1"/>
  <c r="X28" i="6" l="1"/>
  <c r="X29" i="6" l="1"/>
  <c r="X30" i="6" l="1"/>
  <c r="X31" i="6" l="1"/>
  <c r="X32" i="6" l="1"/>
  <c r="X33" i="6" l="1"/>
  <c r="X34" i="6" l="1"/>
  <c r="X35" i="6" l="1"/>
  <c r="X36" i="6" l="1"/>
  <c r="X37" i="6" l="1"/>
  <c r="X38" i="6" l="1"/>
  <c r="X39" i="6" l="1"/>
  <c r="X40" i="6" l="1"/>
  <c r="X41" i="6" l="1"/>
  <c r="X42" i="6" l="1"/>
  <c r="X43" i="6" l="1"/>
  <c r="X44" i="6" l="1"/>
  <c r="X45" i="6" l="1"/>
  <c r="X46" i="6" l="1"/>
  <c r="X47" i="6" l="1"/>
  <c r="X48" i="6" l="1"/>
  <c r="X49" i="6" l="1"/>
  <c r="X50" i="6" l="1"/>
  <c r="X51" i="6" l="1"/>
  <c r="X52" i="6" l="1"/>
  <c r="X53" i="6" l="1"/>
  <c r="X54" i="6" l="1"/>
  <c r="X55" i="6" l="1"/>
  <c r="X56" i="6" l="1"/>
  <c r="X57" i="6" l="1"/>
  <c r="X58" i="6" l="1"/>
  <c r="X59" i="6" l="1"/>
  <c r="X60" i="6" l="1"/>
  <c r="X61" i="6" l="1"/>
  <c r="X62" i="6" l="1"/>
  <c r="X63" i="6" l="1"/>
  <c r="X64" i="6" l="1"/>
  <c r="X65" i="6" l="1"/>
  <c r="X66" i="6" l="1"/>
  <c r="X67" i="6" l="1"/>
  <c r="X68" i="6" l="1"/>
  <c r="X69" i="6" l="1"/>
  <c r="X70" i="6" l="1"/>
  <c r="X71" i="6" l="1"/>
  <c r="X72" i="6" l="1"/>
  <c r="X73" i="6" l="1"/>
  <c r="X74" i="6" l="1"/>
  <c r="X75" i="6" l="1"/>
  <c r="X76" i="6" l="1"/>
  <c r="X77" i="6" l="1"/>
  <c r="X78" i="6" l="1"/>
  <c r="X79" i="6" l="1"/>
  <c r="X80" i="6" l="1"/>
  <c r="X81" i="6" l="1"/>
  <c r="X82" i="6" l="1"/>
  <c r="X83" i="6" l="1"/>
  <c r="X84" i="6" l="1"/>
  <c r="X85" i="6" l="1"/>
  <c r="X86" i="6" l="1"/>
  <c r="X87" i="6" l="1"/>
  <c r="X88" i="6" l="1"/>
  <c r="X89" i="6" l="1"/>
  <c r="X90" i="6" l="1"/>
  <c r="X91" i="6" l="1"/>
  <c r="X92" i="6" l="1"/>
  <c r="X93" i="6" l="1"/>
  <c r="X94" i="6" l="1"/>
  <c r="X95" i="6" l="1"/>
  <c r="X96" i="6" l="1"/>
  <c r="X97" i="6" l="1"/>
  <c r="X98" i="6" l="1"/>
  <c r="X99" i="6" l="1"/>
  <c r="X100" i="6" l="1"/>
  <c r="X101" i="6" l="1"/>
  <c r="X102" i="6" l="1"/>
  <c r="X103" i="6" l="1"/>
  <c r="X104" i="6" l="1"/>
  <c r="X105" i="6" l="1"/>
  <c r="X106" i="6" l="1"/>
  <c r="X107" i="6" l="1"/>
  <c r="X108" i="6" l="1"/>
  <c r="X109" i="6" l="1"/>
  <c r="X110" i="6" l="1"/>
  <c r="X111" i="6" l="1"/>
  <c r="X112" i="6" l="1"/>
  <c r="X113" i="6" l="1"/>
  <c r="X114" i="6" l="1"/>
  <c r="X115" i="6" l="1"/>
  <c r="X116" i="6" l="1"/>
  <c r="X117" i="6" l="1"/>
  <c r="X118" i="6" l="1"/>
  <c r="X119" i="6" l="1"/>
  <c r="X120" i="6" l="1"/>
  <c r="X121" i="6" l="1"/>
  <c r="X122" i="6" l="1"/>
  <c r="X123" i="6" l="1"/>
  <c r="X124" i="6" l="1"/>
  <c r="X125" i="6" l="1"/>
  <c r="X126" i="6" l="1"/>
  <c r="X127" i="6" l="1"/>
  <c r="X128" i="6" l="1"/>
  <c r="X129" i="6" l="1"/>
  <c r="X130" i="6" l="1"/>
  <c r="X131" i="6" l="1"/>
  <c r="X132" i="6" l="1"/>
  <c r="X133" i="6" l="1"/>
  <c r="X134" i="6" l="1"/>
  <c r="X135" i="6" l="1"/>
  <c r="X136" i="6" l="1"/>
  <c r="T136" i="6" l="1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</calcChain>
</file>

<file path=xl/sharedStrings.xml><?xml version="1.0" encoding="utf-8"?>
<sst xmlns="http://schemas.openxmlformats.org/spreadsheetml/2006/main" count="156" uniqueCount="97">
  <si>
    <t>air/oil</t>
  </si>
  <si>
    <t>Above Free Water, ft</t>
  </si>
  <si>
    <t>Bulk</t>
  </si>
  <si>
    <t>Volume,</t>
  </si>
  <si>
    <t>Gas-Oil,</t>
  </si>
  <si>
    <t>Saturation,</t>
  </si>
  <si>
    <t>Inc. (mD)</t>
  </si>
  <si>
    <t>Cumulative</t>
  </si>
  <si>
    <t>Hg Sat</t>
  </si>
  <si>
    <t>Weight,</t>
  </si>
  <si>
    <t>Laboratory TcosTheta</t>
  </si>
  <si>
    <t>MERCURY INJECTION CAPILLARY PRESSURE</t>
  </si>
  <si>
    <t>Gas:</t>
  </si>
  <si>
    <t>cumulative</t>
  </si>
  <si>
    <t>Oil:</t>
  </si>
  <si>
    <t>Sample</t>
  </si>
  <si>
    <t>incremental</t>
  </si>
  <si>
    <t>Estimated Height</t>
  </si>
  <si>
    <t>grams</t>
  </si>
  <si>
    <t>Funct.</t>
  </si>
  <si>
    <t>%BV</t>
  </si>
  <si>
    <t>Mercury IFT</t>
  </si>
  <si>
    <t>Grain Density, grams/cc:</t>
  </si>
  <si>
    <t>Reservoir Contact Angle</t>
  </si>
  <si>
    <t>fraction</t>
  </si>
  <si>
    <t>grams/cc</t>
  </si>
  <si>
    <t>Sb/Pc</t>
  </si>
  <si>
    <t>oil/water</t>
  </si>
  <si>
    <t>Laboratory IFT</t>
  </si>
  <si>
    <t>PSD HISTOGRAM</t>
  </si>
  <si>
    <t>Laboratory Contact Angle</t>
  </si>
  <si>
    <t>intrusion</t>
  </si>
  <si>
    <t>Saturation</t>
  </si>
  <si>
    <t>O-W</t>
  </si>
  <si>
    <t>cc</t>
  </si>
  <si>
    <t>Conformance Correction,</t>
  </si>
  <si>
    <t>Norm. Pore</t>
  </si>
  <si>
    <t xml:space="preserve"> </t>
  </si>
  <si>
    <t>Density,</t>
  </si>
  <si>
    <t>Sample Number:</t>
  </si>
  <si>
    <t>Oil-Water,</t>
  </si>
  <si>
    <t>Contribution</t>
  </si>
  <si>
    <t>Size Dist.</t>
  </si>
  <si>
    <t>Pore Throat</t>
  </si>
  <si>
    <t xml:space="preserve"> 1.0-Mercury </t>
  </si>
  <si>
    <t>Radius, µm</t>
  </si>
  <si>
    <t>Fluid Density Gradients</t>
  </si>
  <si>
    <t>psia</t>
  </si>
  <si>
    <t xml:space="preserve">Mercury </t>
  </si>
  <si>
    <t>Conversion Parameters</t>
  </si>
  <si>
    <t>air/water</t>
  </si>
  <si>
    <t>Porosity, fraction:</t>
  </si>
  <si>
    <t>Diameter,</t>
  </si>
  <si>
    <t>microns</t>
  </si>
  <si>
    <t>frequency</t>
  </si>
  <si>
    <t>Corrected</t>
  </si>
  <si>
    <t>Uncorrected</t>
  </si>
  <si>
    <t>Normalized</t>
  </si>
  <si>
    <t>%PV</t>
  </si>
  <si>
    <t>Reservoir TcosTheta</t>
  </si>
  <si>
    <t>Porosity,</t>
  </si>
  <si>
    <t>Mercury</t>
  </si>
  <si>
    <t>micron</t>
  </si>
  <si>
    <t>Injection Pressure,</t>
  </si>
  <si>
    <t>G-W</t>
  </si>
  <si>
    <t>air/Hg</t>
  </si>
  <si>
    <t>d Log</t>
  </si>
  <si>
    <t>Function</t>
  </si>
  <si>
    <t>Mercury Saturation</t>
  </si>
  <si>
    <t>ml</t>
  </si>
  <si>
    <t>Water:</t>
  </si>
  <si>
    <t>IFT * Cosine Contact Angle:</t>
  </si>
  <si>
    <t>Gas-Water,</t>
  </si>
  <si>
    <t>Permeability to Air (calc), mD:</t>
  </si>
  <si>
    <t>Pore Radius,</t>
  </si>
  <si>
    <t>Mercury Injection</t>
  </si>
  <si>
    <t>Pressure,</t>
  </si>
  <si>
    <t>Radius,</t>
  </si>
  <si>
    <t>d Sw/d Log</t>
  </si>
  <si>
    <t>Reservoir IFT</t>
  </si>
  <si>
    <t>MC 11</t>
  </si>
  <si>
    <t>&lt; 0.0018</t>
  </si>
  <si>
    <t>Mercury Contact Angle</t>
  </si>
  <si>
    <t>Grain</t>
  </si>
  <si>
    <t>Injection</t>
  </si>
  <si>
    <t>Other Laboratory Systems</t>
  </si>
  <si>
    <t>Permeability</t>
  </si>
  <si>
    <t>J</t>
  </si>
  <si>
    <t>Pore</t>
  </si>
  <si>
    <t>Cum. (mD)</t>
  </si>
  <si>
    <t>Incremental</t>
  </si>
  <si>
    <t>Shell Exploration &amp; Production Company</t>
  </si>
  <si>
    <t>Sample Depth, feet:</t>
  </si>
  <si>
    <t>Offshore</t>
  </si>
  <si>
    <t>HH-77445</t>
  </si>
  <si>
    <t>OCS-Y-2321 Burger J 001</t>
  </si>
  <si>
    <t>All Data 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</si>
</sst>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_)"/>
    <numFmt numFmtId="165" formatCode="0.0"/>
    <numFmt numFmtId="166" formatCode="0.000"/>
    <numFmt numFmtId="167" formatCode="0.0000"/>
    <numFmt numFmtId="168" formatCode="???0.00"/>
    <numFmt numFmtId="169" formatCode="[&lt;1]0.?0;[&gt;10]0;0.0"/>
    <numFmt numFmtId="170" formatCode="[&lt;1]0.000;[&gt;10]0.0;0.00"/>
    <numFmt numFmtId="171" formatCode="[&lt;0.1]0.000;[&gt;0.1]0.00;0.0"/>
    <numFmt numFmtId="172" formatCode="[Blue]General"/>
    <numFmt numFmtId="173" formatCode="?????.0"/>
    <numFmt numFmtId="174" formatCode="[&lt;10]???0.00;[&gt;100]???0;???0.0"/>
    <numFmt numFmtId="175" formatCode="?????"/>
    <numFmt numFmtId="176" formatCode="?????.00"/>
    <numFmt numFmtId="177" formatCode="[&lt;100]????0.0;[&gt;100]?????;General"/>
    <numFmt numFmtId="178" formatCode="????0.00"/>
    <numFmt numFmtId="179" formatCode="??0."/>
    <numFmt numFmtId="180" formatCode="??????0.0000"/>
    <numFmt numFmtId="181" formatCode="????0.0?"/>
    <numFmt numFmtId="182" formatCode="????0.??"/>
    <numFmt numFmtId="183" formatCode="0.00??"/>
    <numFmt numFmtId="184" formatCode="0.00000"/>
    <numFmt numFmtId="185" formatCode="m\-dd\-yy"/>
    <numFmt numFmtId="186" formatCode="??0.000"/>
    <numFmt numFmtId="187" formatCode="???0.000"/>
    <numFmt numFmtId="188" formatCode="????0.000"/>
    <numFmt numFmtId="189" formatCode="??0.0000"/>
    <numFmt numFmtId="190" formatCode="0.0\ \ \ 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175">
    <xf numFmtId="0" fontId="0" fillId="0" borderId="0" xfId="0"/>
    <xf numFmtId="0" fontId="0" fillId="0" borderId="0" xfId="5" applyFont="1" applyAlignment="1" applyProtection="1">
      <alignment horizontal="center"/>
    </xf>
    <xf numFmtId="167" fontId="0" fillId="0" borderId="0" xfId="0" applyNumberFormat="1" applyFill="1" applyBorder="1" applyAlignment="1"/>
    <xf numFmtId="2" fontId="0" fillId="0" borderId="0" xfId="0" applyNumberFormat="1" applyAlignment="1">
      <alignment horizontal="center"/>
    </xf>
    <xf numFmtId="0" fontId="2" fillId="0" borderId="0" xfId="5" applyFont="1" applyAlignment="1" applyProtection="1"/>
    <xf numFmtId="0" fontId="0" fillId="0" borderId="3" xfId="5" applyFont="1" applyBorder="1" applyProtection="1"/>
    <xf numFmtId="166" fontId="0" fillId="0" borderId="0" xfId="5" applyNumberFormat="1" applyFont="1" applyBorder="1" applyAlignment="1" applyProtection="1">
      <alignment horizontal="center"/>
    </xf>
    <xf numFmtId="0" fontId="0" fillId="0" borderId="6" xfId="5" applyFont="1" applyBorder="1" applyAlignment="1" applyProtection="1">
      <alignment horizontal="center" vertical="center"/>
    </xf>
    <xf numFmtId="0" fontId="3" fillId="0" borderId="0" xfId="5" applyFont="1" applyAlignment="1" applyProtection="1">
      <alignment horizontal="centerContinuous"/>
    </xf>
    <xf numFmtId="0" fontId="0" fillId="0" borderId="2" xfId="5" applyFont="1" applyBorder="1" applyAlignment="1" applyProtection="1">
      <alignment horizontal="centerContinuous" vertical="center"/>
    </xf>
    <xf numFmtId="0" fontId="0" fillId="0" borderId="0" xfId="5" applyFont="1" applyAlignment="1">
      <alignment horizontal="right"/>
    </xf>
    <xf numFmtId="2" fontId="0" fillId="0" borderId="0" xfId="5" applyNumberFormat="1" applyFont="1" applyBorder="1" applyAlignment="1" applyProtection="1">
      <alignment horizontal="center"/>
    </xf>
    <xf numFmtId="0" fontId="0" fillId="0" borderId="4" xfId="5" applyFont="1" applyBorder="1" applyAlignment="1" applyProtection="1">
      <alignment horizontal="centerContinuous" vertical="center"/>
    </xf>
    <xf numFmtId="165" fontId="0" fillId="0" borderId="0" xfId="0" applyNumberFormat="1" applyBorder="1" applyAlignment="1">
      <alignment horizontal="center"/>
    </xf>
    <xf numFmtId="0" fontId="0" fillId="0" borderId="6" xfId="5" applyFont="1" applyFill="1" applyBorder="1" applyAlignment="1" applyProtection="1">
      <alignment horizontal="center" vertical="center"/>
    </xf>
    <xf numFmtId="1" fontId="4" fillId="0" borderId="1" xfId="5" applyNumberFormat="1" applyFont="1" applyBorder="1" applyAlignment="1" applyProtection="1">
      <alignment horizontal="center"/>
      <protection locked="0"/>
    </xf>
    <xf numFmtId="167" fontId="0" fillId="0" borderId="0" xfId="5" applyNumberFormat="1" applyFont="1" applyAlignment="1" applyProtection="1">
      <alignment horizontal="right"/>
    </xf>
    <xf numFmtId="179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5" applyNumberFormat="1" applyFont="1" applyBorder="1" applyAlignment="1" applyProtection="1">
      <alignment horizontal="center"/>
    </xf>
    <xf numFmtId="0" fontId="0" fillId="2" borderId="0" xfId="0" applyFill="1" applyBorder="1" applyAlignment="1">
      <alignment vertical="center"/>
    </xf>
    <xf numFmtId="0" fontId="3" fillId="0" borderId="0" xfId="5" applyFont="1" applyAlignment="1" applyProtection="1">
      <alignment horizontal="center"/>
    </xf>
    <xf numFmtId="190" fontId="0" fillId="0" borderId="0" xfId="0" quotePrefix="1" applyNumberFormat="1" applyFont="1" applyBorder="1" applyAlignment="1">
      <alignment horizontal="left"/>
    </xf>
    <xf numFmtId="164" fontId="0" fillId="0" borderId="8" xfId="5" applyNumberFormat="1" applyFont="1" applyBorder="1" applyAlignment="1" applyProtection="1">
      <alignment horizontal="center"/>
    </xf>
    <xf numFmtId="166" fontId="0" fillId="0" borderId="0" xfId="0" applyNumberFormat="1" applyFont="1" applyAlignment="1">
      <alignment horizontal="center"/>
    </xf>
    <xf numFmtId="186" fontId="0" fillId="0" borderId="0" xfId="5" applyNumberFormat="1" applyFont="1" applyBorder="1" applyAlignment="1" applyProtection="1">
      <alignment horizontal="centerContinuous"/>
    </xf>
    <xf numFmtId="188" fontId="0" fillId="0" borderId="0" xfId="5" applyNumberFormat="1" applyFont="1" applyAlignment="1" applyProtection="1">
      <alignment horizontal="left"/>
    </xf>
    <xf numFmtId="176" fontId="0" fillId="0" borderId="0" xfId="5" applyNumberFormat="1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0" borderId="0" xfId="5" applyFont="1"/>
    <xf numFmtId="166" fontId="4" fillId="0" borderId="8" xfId="5" applyNumberFormat="1" applyFont="1" applyBorder="1" applyProtection="1">
      <protection locked="0"/>
    </xf>
    <xf numFmtId="175" fontId="0" fillId="0" borderId="0" xfId="5" applyNumberFormat="1" applyFont="1" applyBorder="1" applyAlignment="1" applyProtection="1">
      <alignment horizontal="center"/>
    </xf>
    <xf numFmtId="172" fontId="0" fillId="0" borderId="0" xfId="5" applyNumberFormat="1" applyFont="1" applyBorder="1" applyAlignment="1" applyProtection="1">
      <alignment horizontal="center"/>
      <protection locked="0"/>
    </xf>
    <xf numFmtId="166" fontId="0" fillId="0" borderId="0" xfId="5" applyNumberFormat="1" applyFont="1" applyBorder="1"/>
    <xf numFmtId="0" fontId="0" fillId="0" borderId="5" xfId="5" applyFont="1" applyBorder="1"/>
    <xf numFmtId="178" fontId="0" fillId="0" borderId="0" xfId="5" applyNumberFormat="1" applyFont="1" applyBorder="1" applyAlignment="1" applyProtection="1">
      <alignment horizontal="centerContinuous"/>
    </xf>
    <xf numFmtId="185" fontId="0" fillId="0" borderId="0" xfId="0" applyNumberFormat="1" applyAlignment="1">
      <alignment horizontal="left"/>
    </xf>
    <xf numFmtId="0" fontId="0" fillId="0" borderId="0" xfId="5" applyFont="1" applyFill="1"/>
    <xf numFmtId="186" fontId="0" fillId="0" borderId="0" xfId="5" applyNumberFormat="1" applyFont="1" applyBorder="1" applyAlignment="1" applyProtection="1">
      <alignment horizontal="center"/>
    </xf>
    <xf numFmtId="2" fontId="0" fillId="0" borderId="0" xfId="0" applyNumberFormat="1" applyFont="1" applyAlignment="1"/>
    <xf numFmtId="185" fontId="0" fillId="0" borderId="0" xfId="4" applyNumberFormat="1" applyFont="1" applyFill="1"/>
    <xf numFmtId="181" fontId="0" fillId="0" borderId="0" xfId="5" applyNumberFormat="1" applyFont="1" applyAlignment="1" applyProtection="1">
      <alignment horizontal="center"/>
    </xf>
    <xf numFmtId="0" fontId="0" fillId="0" borderId="9" xfId="5" applyFont="1" applyBorder="1"/>
    <xf numFmtId="0" fontId="0" fillId="0" borderId="0" xfId="5" applyFont="1" applyProtection="1"/>
    <xf numFmtId="165" fontId="0" fillId="0" borderId="0" xfId="5" applyNumberFormat="1" applyFont="1" applyBorder="1" applyProtection="1"/>
    <xf numFmtId="0" fontId="0" fillId="0" borderId="0" xfId="5" applyFont="1" applyBorder="1" applyAlignment="1" applyProtection="1">
      <alignment horizontal="centerContinuous" vertical="center"/>
    </xf>
    <xf numFmtId="0" fontId="0" fillId="0" borderId="6" xfId="0" applyBorder="1" applyAlignment="1">
      <alignment horizontal="center"/>
    </xf>
    <xf numFmtId="178" fontId="0" fillId="0" borderId="0" xfId="5" applyNumberFormat="1" applyFont="1" applyBorder="1" applyAlignment="1" applyProtection="1">
      <alignment horizontal="center"/>
    </xf>
    <xf numFmtId="189" fontId="0" fillId="0" borderId="0" xfId="5" applyNumberFormat="1" applyFont="1" applyAlignment="1" applyProtection="1">
      <alignment horizontal="center"/>
    </xf>
    <xf numFmtId="0" fontId="0" fillId="0" borderId="5" xfId="5" applyFont="1" applyBorder="1" applyProtection="1"/>
    <xf numFmtId="0" fontId="0" fillId="0" borderId="0" xfId="5" applyFont="1" applyFill="1" applyProtection="1"/>
    <xf numFmtId="0" fontId="0" fillId="0" borderId="8" xfId="0" applyFont="1" applyBorder="1" applyAlignment="1">
      <alignment horizontal="center"/>
    </xf>
    <xf numFmtId="178" fontId="0" fillId="0" borderId="11" xfId="5" applyNumberFormat="1" applyFont="1" applyBorder="1" applyAlignment="1" applyProtection="1">
      <alignment horizontal="centerContinuous"/>
    </xf>
    <xf numFmtId="0" fontId="0" fillId="0" borderId="0" xfId="5" applyFont="1" applyBorder="1" applyAlignment="1" applyProtection="1">
      <alignment horizontal="center"/>
      <protection locked="0"/>
    </xf>
    <xf numFmtId="0" fontId="0" fillId="0" borderId="0" xfId="5" applyFont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left"/>
    </xf>
    <xf numFmtId="0" fontId="0" fillId="0" borderId="0" xfId="5" applyFont="1" applyBorder="1" applyAlignment="1">
      <alignment horizontal="centerContinuous"/>
    </xf>
    <xf numFmtId="0" fontId="0" fillId="0" borderId="12" xfId="0" applyFont="1" applyBorder="1"/>
    <xf numFmtId="1" fontId="0" fillId="0" borderId="0" xfId="5" applyNumberFormat="1" applyFont="1" applyBorder="1" applyProtection="1"/>
    <xf numFmtId="2" fontId="0" fillId="0" borderId="0" xfId="0" applyNumberFormat="1" applyFont="1" applyAlignment="1">
      <alignment horizontal="right"/>
    </xf>
    <xf numFmtId="166" fontId="0" fillId="0" borderId="7" xfId="5" applyNumberFormat="1" applyFont="1" applyBorder="1" applyAlignment="1" applyProtection="1">
      <alignment horizontal="center"/>
    </xf>
    <xf numFmtId="0" fontId="0" fillId="0" borderId="13" xfId="5" applyFont="1" applyBorder="1" applyAlignment="1" applyProtection="1">
      <alignment horizontal="centerContinuous" vertical="center"/>
    </xf>
    <xf numFmtId="172" fontId="0" fillId="0" borderId="8" xfId="5" applyNumberFormat="1" applyFont="1" applyBorder="1" applyAlignment="1" applyProtection="1">
      <alignment horizontal="center"/>
      <protection locked="0"/>
    </xf>
    <xf numFmtId="167" fontId="0" fillId="0" borderId="0" xfId="0" applyNumberFormat="1" applyAlignment="1">
      <alignment horizontal="center"/>
    </xf>
    <xf numFmtId="0" fontId="0" fillId="0" borderId="0" xfId="5" applyNumberFormat="1" applyFont="1" applyBorder="1" applyProtection="1"/>
    <xf numFmtId="180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166" fontId="4" fillId="0" borderId="2" xfId="5" applyNumberFormat="1" applyFont="1" applyBorder="1" applyProtection="1">
      <protection locked="0"/>
    </xf>
    <xf numFmtId="2" fontId="0" fillId="0" borderId="7" xfId="5" applyNumberFormat="1" applyFont="1" applyBorder="1" applyAlignment="1" applyProtection="1">
      <alignment horizontal="center"/>
    </xf>
    <xf numFmtId="174" fontId="0" fillId="0" borderId="0" xfId="5" applyNumberFormat="1" applyFont="1" applyBorder="1" applyAlignment="1" applyProtection="1">
      <alignment horizontal="center"/>
    </xf>
    <xf numFmtId="1" fontId="4" fillId="0" borderId="0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Alignment="1">
      <alignment horizontal="center"/>
    </xf>
    <xf numFmtId="166" fontId="0" fillId="0" borderId="0" xfId="0" applyNumberFormat="1" applyFont="1"/>
    <xf numFmtId="0" fontId="0" fillId="0" borderId="0" xfId="5" applyFont="1" applyBorder="1" applyAlignment="1" applyProtection="1">
      <alignment horizontal="centerContinuous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4" fillId="0" borderId="0" xfId="5" applyNumberFormat="1" applyFont="1" applyBorder="1" applyAlignment="1" applyProtection="1">
      <alignment horizontal="center"/>
      <protection locked="0"/>
    </xf>
    <xf numFmtId="0" fontId="0" fillId="0" borderId="0" xfId="5" applyFont="1" applyBorder="1" applyAlignment="1"/>
    <xf numFmtId="0" fontId="0" fillId="0" borderId="10" xfId="5" applyFont="1" applyBorder="1" applyAlignment="1" applyProtection="1">
      <alignment horizontal="center" vertical="center"/>
    </xf>
    <xf numFmtId="2" fontId="0" fillId="0" borderId="0" xfId="0" applyNumberFormat="1" applyFont="1"/>
    <xf numFmtId="0" fontId="3" fillId="0" borderId="0" xfId="5" applyFont="1" applyBorder="1" applyAlignment="1">
      <alignment horizontal="centerContinuous"/>
    </xf>
    <xf numFmtId="0" fontId="0" fillId="0" borderId="4" xfId="5" applyFont="1" applyBorder="1"/>
    <xf numFmtId="168" fontId="0" fillId="0" borderId="0" xfId="5" applyNumberFormat="1" applyFont="1" applyAlignment="1" applyProtection="1">
      <alignment horizontal="center"/>
    </xf>
    <xf numFmtId="166" fontId="0" fillId="0" borderId="0" xfId="5" applyNumberFormat="1" applyFont="1" applyAlignment="1" applyProtection="1">
      <alignment horizontal="center"/>
    </xf>
    <xf numFmtId="0" fontId="6" fillId="0" borderId="0" xfId="5" applyFont="1" applyProtection="1"/>
    <xf numFmtId="170" fontId="0" fillId="0" borderId="0" xfId="5" applyNumberFormat="1" applyFont="1" applyBorder="1" applyAlignment="1" applyProtection="1">
      <alignment horizontal="center"/>
    </xf>
    <xf numFmtId="187" fontId="0" fillId="0" borderId="0" xfId="5" applyNumberFormat="1" applyFont="1" applyAlignment="1" applyProtection="1">
      <alignment horizontal="center"/>
    </xf>
    <xf numFmtId="0" fontId="0" fillId="0" borderId="10" xfId="5" applyFont="1" applyFill="1" applyBorder="1" applyAlignment="1" applyProtection="1">
      <alignment horizontal="center" vertical="center"/>
    </xf>
    <xf numFmtId="0" fontId="0" fillId="0" borderId="0" xfId="5" applyFont="1" applyBorder="1" applyAlignment="1" applyProtection="1">
      <alignment horizontal="center"/>
    </xf>
    <xf numFmtId="0" fontId="0" fillId="0" borderId="0" xfId="0" applyFill="1" applyBorder="1" applyAlignment="1">
      <alignment vertical="center"/>
    </xf>
    <xf numFmtId="0" fontId="0" fillId="0" borderId="12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4" xfId="5" applyNumberFormat="1" applyFont="1" applyBorder="1" applyAlignment="1" applyProtection="1">
      <alignment horizontal="centerContinuous"/>
    </xf>
    <xf numFmtId="169" fontId="0" fillId="0" borderId="0" xfId="5" applyNumberFormat="1" applyFont="1" applyAlignment="1" applyProtection="1">
      <alignment horizontal="center"/>
    </xf>
    <xf numFmtId="184" fontId="0" fillId="0" borderId="0" xfId="0" applyNumberFormat="1" applyFont="1" applyAlignment="1">
      <alignment horizontal="right"/>
    </xf>
    <xf numFmtId="0" fontId="0" fillId="0" borderId="11" xfId="5" applyFont="1" applyBorder="1" applyAlignment="1">
      <alignment horizontal="center"/>
    </xf>
    <xf numFmtId="187" fontId="0" fillId="0" borderId="0" xfId="5" applyNumberFormat="1" applyFont="1" applyFill="1" applyAlignment="1" applyProtection="1">
      <alignment horizontal="center"/>
    </xf>
    <xf numFmtId="165" fontId="0" fillId="0" borderId="0" xfId="0" applyNumberFormat="1" applyAlignment="1">
      <alignment horizontal="center"/>
    </xf>
    <xf numFmtId="166" fontId="4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0" fillId="0" borderId="4" xfId="5" applyFont="1" applyBorder="1" applyProtection="1"/>
    <xf numFmtId="166" fontId="0" fillId="0" borderId="0" xfId="0" applyNumberFormat="1" applyAlignment="1">
      <alignment horizontal="center"/>
    </xf>
    <xf numFmtId="164" fontId="0" fillId="0" borderId="0" xfId="5" applyNumberFormat="1" applyFont="1" applyBorder="1" applyAlignment="1" applyProtection="1">
      <alignment horizontal="center"/>
    </xf>
    <xf numFmtId="1" fontId="4" fillId="0" borderId="8" xfId="5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71" fontId="0" fillId="0" borderId="0" xfId="5" applyNumberFormat="1" applyFont="1" applyBorder="1" applyAlignment="1" applyProtection="1">
      <alignment horizontal="center"/>
    </xf>
    <xf numFmtId="164" fontId="0" fillId="0" borderId="1" xfId="5" applyNumberFormat="1" applyFont="1" applyBorder="1" applyAlignment="1" applyProtection="1">
      <alignment horizontal="center"/>
    </xf>
    <xf numFmtId="0" fontId="0" fillId="0" borderId="12" xfId="5" applyFont="1" applyBorder="1" applyAlignment="1" applyProtection="1">
      <alignment horizontal="center" vertical="center"/>
    </xf>
    <xf numFmtId="0" fontId="4" fillId="0" borderId="9" xfId="5" applyNumberFormat="1" applyFont="1" applyBorder="1" applyAlignment="1" applyProtection="1">
      <alignment horizontal="center"/>
      <protection locked="0"/>
    </xf>
    <xf numFmtId="166" fontId="4" fillId="0" borderId="0" xfId="5" applyNumberFormat="1" applyFont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1" xfId="5" applyFont="1" applyBorder="1" applyAlignment="1" applyProtection="1">
      <alignment horizontal="center"/>
    </xf>
    <xf numFmtId="166" fontId="0" fillId="0" borderId="0" xfId="5" applyNumberFormat="1" applyFont="1" applyAlignment="1" applyProtection="1">
      <alignment horizontal="right"/>
    </xf>
    <xf numFmtId="0" fontId="0" fillId="0" borderId="9" xfId="5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>
      <alignment horizontal="center"/>
    </xf>
    <xf numFmtId="14" fontId="0" fillId="0" borderId="0" xfId="0" applyNumberFormat="1" applyFont="1"/>
    <xf numFmtId="166" fontId="4" fillId="0" borderId="1" xfId="5" applyNumberFormat="1" applyFont="1" applyBorder="1" applyProtection="1">
      <protection locked="0"/>
    </xf>
    <xf numFmtId="0" fontId="0" fillId="0" borderId="12" xfId="5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166" fontId="4" fillId="0" borderId="0" xfId="5" applyNumberFormat="1" applyFont="1" applyFill="1" applyBorder="1" applyProtection="1">
      <protection locked="0"/>
    </xf>
    <xf numFmtId="166" fontId="0" fillId="0" borderId="0" xfId="5" applyNumberFormat="1" applyFont="1"/>
    <xf numFmtId="186" fontId="0" fillId="0" borderId="14" xfId="5" applyNumberFormat="1" applyFont="1" applyBorder="1" applyAlignment="1" applyProtection="1">
      <alignment horizontal="centerContinuous"/>
    </xf>
    <xf numFmtId="174" fontId="0" fillId="0" borderId="0" xfId="5" applyNumberFormat="1" applyFont="1" applyBorder="1" applyProtection="1"/>
    <xf numFmtId="0" fontId="0" fillId="0" borderId="0" xfId="5" applyFont="1" applyBorder="1"/>
    <xf numFmtId="0" fontId="0" fillId="0" borderId="7" xfId="5" applyFont="1" applyBorder="1" applyAlignment="1" applyProtection="1">
      <alignment horizontal="center" vertical="center"/>
    </xf>
    <xf numFmtId="186" fontId="0" fillId="0" borderId="0" xfId="5" applyNumberFormat="1" applyFont="1" applyAlignment="1" applyProtection="1">
      <alignment horizontal="center"/>
    </xf>
    <xf numFmtId="182" fontId="0" fillId="0" borderId="0" xfId="5" applyNumberFormat="1" applyFont="1" applyAlignment="1" applyProtection="1">
      <alignment horizontal="center"/>
    </xf>
    <xf numFmtId="2" fontId="0" fillId="0" borderId="0" xfId="5" applyNumberFormat="1" applyFont="1" applyAlignment="1" applyProtection="1">
      <alignment horizontal="right"/>
    </xf>
    <xf numFmtId="2" fontId="0" fillId="0" borderId="15" xfId="5" applyNumberFormat="1" applyFont="1" applyBorder="1" applyAlignment="1" applyProtection="1">
      <alignment horizontal="centerContinuous"/>
    </xf>
    <xf numFmtId="183" fontId="0" fillId="0" borderId="0" xfId="5" applyNumberFormat="1" applyFont="1" applyAlignment="1" applyProtection="1">
      <alignment horizontal="center"/>
    </xf>
    <xf numFmtId="165" fontId="0" fillId="0" borderId="0" xfId="5" applyNumberFormat="1" applyFont="1" applyProtection="1"/>
    <xf numFmtId="178" fontId="0" fillId="0" borderId="0" xfId="5" applyNumberFormat="1" applyFont="1" applyAlignment="1" applyProtection="1">
      <alignment horizontal="center"/>
    </xf>
    <xf numFmtId="173" fontId="0" fillId="0" borderId="0" xfId="5" applyNumberFormat="1" applyFont="1" applyBorder="1" applyAlignment="1" applyProtection="1">
      <alignment horizontal="center"/>
    </xf>
    <xf numFmtId="0" fontId="0" fillId="0" borderId="5" xfId="5" applyFont="1" applyBorder="1" applyAlignment="1" applyProtection="1">
      <alignment horizontal="centerContinuous" vertical="center"/>
    </xf>
    <xf numFmtId="0" fontId="0" fillId="0" borderId="0" xfId="5" applyFont="1" applyAlignment="1" applyProtection="1">
      <alignment horizontal="right"/>
    </xf>
    <xf numFmtId="0" fontId="0" fillId="0" borderId="0" xfId="5" applyFont="1" applyBorder="1" applyProtection="1"/>
    <xf numFmtId="0" fontId="0" fillId="0" borderId="0" xfId="5" applyNumberFormat="1" applyFont="1" applyAlignment="1" applyProtection="1">
      <alignment horizontal="left"/>
    </xf>
    <xf numFmtId="0" fontId="0" fillId="0" borderId="13" xfId="5" applyFont="1" applyBorder="1"/>
    <xf numFmtId="0" fontId="0" fillId="0" borderId="8" xfId="5" applyFont="1" applyBorder="1" applyAlignment="1" applyProtection="1">
      <alignment horizontal="centerContinuous" vertical="center"/>
    </xf>
    <xf numFmtId="0" fontId="0" fillId="0" borderId="0" xfId="5" applyFont="1" applyAlignment="1">
      <alignment horizontal="centerContinuous"/>
    </xf>
    <xf numFmtId="0" fontId="0" fillId="0" borderId="0" xfId="5" applyFont="1" applyAlignment="1" applyProtection="1">
      <alignment horizontal="left"/>
    </xf>
    <xf numFmtId="1" fontId="0" fillId="0" borderId="0" xfId="5" applyNumberFormat="1" applyFont="1" applyProtection="1"/>
    <xf numFmtId="0" fontId="0" fillId="0" borderId="5" xfId="5" applyFont="1" applyBorder="1" applyAlignment="1" applyProtection="1">
      <alignment horizontal="left"/>
    </xf>
    <xf numFmtId="1" fontId="0" fillId="0" borderId="0" xfId="0" quotePrefix="1" applyNumberFormat="1" applyFont="1" applyAlignment="1">
      <alignment horizontal="right"/>
    </xf>
    <xf numFmtId="0" fontId="0" fillId="0" borderId="0" xfId="5" applyNumberFormat="1" applyFont="1" applyProtection="1"/>
    <xf numFmtId="0" fontId="0" fillId="0" borderId="15" xfId="5" applyFont="1" applyBorder="1" applyAlignment="1" applyProtection="1">
      <alignment horizontal="center"/>
    </xf>
    <xf numFmtId="0" fontId="0" fillId="0" borderId="9" xfId="5" applyFont="1" applyBorder="1" applyAlignment="1" applyProtection="1">
      <alignment horizontal="center"/>
      <protection locked="0"/>
    </xf>
    <xf numFmtId="167" fontId="0" fillId="0" borderId="0" xfId="0" applyNumberFormat="1" applyBorder="1" applyAlignment="1">
      <alignment horizontal="center"/>
    </xf>
    <xf numFmtId="0" fontId="0" fillId="0" borderId="0" xfId="5" applyFont="1" applyAlignment="1" applyProtection="1">
      <alignment horizontal="centerContinuous"/>
    </xf>
    <xf numFmtId="0" fontId="0" fillId="0" borderId="0" xfId="0" applyFont="1"/>
    <xf numFmtId="167" fontId="0" fillId="0" borderId="14" xfId="5" applyNumberFormat="1" applyFont="1" applyBorder="1" applyAlignment="1" applyProtection="1">
      <alignment horizontal="centerContinuous"/>
    </xf>
    <xf numFmtId="0" fontId="0" fillId="0" borderId="3" xfId="5" applyFont="1" applyBorder="1"/>
    <xf numFmtId="180" fontId="0" fillId="0" borderId="0" xfId="0" applyNumberFormat="1" applyBorder="1" applyAlignment="1">
      <alignment horizontal="center"/>
    </xf>
    <xf numFmtId="166" fontId="0" fillId="0" borderId="0" xfId="5" applyNumberFormat="1" applyFont="1" applyBorder="1" applyAlignment="1">
      <alignment horizontal="center"/>
    </xf>
    <xf numFmtId="0" fontId="0" fillId="0" borderId="0" xfId="5" applyFont="1" applyAlignment="1"/>
    <xf numFmtId="188" fontId="0" fillId="0" borderId="0" xfId="5" applyNumberFormat="1" applyFont="1" applyAlignment="1" applyProtection="1">
      <alignment horizontal="center"/>
    </xf>
    <xf numFmtId="0" fontId="3" fillId="0" borderId="0" xfId="5" applyFont="1" applyAlignment="1">
      <alignment horizontal="centerContinuous"/>
    </xf>
    <xf numFmtId="166" fontId="0" fillId="0" borderId="0" xfId="0" applyNumberFormat="1" applyFont="1" applyBorder="1"/>
    <xf numFmtId="178" fontId="0" fillId="0" borderId="15" xfId="5" applyNumberFormat="1" applyFont="1" applyBorder="1" applyAlignment="1" applyProtection="1">
      <alignment horizontal="centerContinuous"/>
    </xf>
    <xf numFmtId="177" fontId="0" fillId="0" borderId="0" xfId="5" applyNumberFormat="1" applyFont="1" applyBorder="1" applyAlignment="1" applyProtection="1">
      <alignment horizontal="center"/>
    </xf>
    <xf numFmtId="0" fontId="0" fillId="0" borderId="9" xfId="5" applyFont="1" applyBorder="1" applyAlignment="1">
      <alignment horizontal="center"/>
    </xf>
    <xf numFmtId="165" fontId="0" fillId="0" borderId="0" xfId="5" applyNumberFormat="1" applyFont="1" applyAlignment="1" applyProtection="1">
      <alignment horizontal="right"/>
    </xf>
    <xf numFmtId="165" fontId="0" fillId="0" borderId="0" xfId="0" applyNumberFormat="1" applyFont="1" applyAlignment="1">
      <alignment horizontal="right"/>
    </xf>
    <xf numFmtId="0" fontId="2" fillId="0" borderId="0" xfId="5" applyFont="1" applyAlignment="1" applyProtection="1">
      <alignment horizontal="center"/>
    </xf>
    <xf numFmtId="186" fontId="0" fillId="0" borderId="4" xfId="5" applyNumberFormat="1" applyFont="1" applyBorder="1" applyAlignment="1" applyProtection="1">
      <alignment horizontal="center"/>
    </xf>
    <xf numFmtId="186" fontId="0" fillId="0" borderId="2" xfId="5" applyNumberFormat="1" applyFont="1" applyBorder="1" applyAlignment="1" applyProtection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vertical="center"/>
    </xf>
  </cellXfs>
  <cellStyles count="6">
    <cellStyle name="Normal" xfId="0" builtinId="0"/>
    <cellStyle name="Normal 2" xfId="1"/>
    <cellStyle name="Normal 2 2" xfId="2"/>
    <cellStyle name="Normal 3" xfId="3"/>
    <cellStyle name="Normal_Core Data H-3258" xfId="4"/>
    <cellStyle name="Normal_HG-DATA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492957746478872"/>
          <c:y val="7.0234113712374549E-2"/>
          <c:w val="0.76760563380283331"/>
          <c:h val="0.81605351170568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1.107684426055866E-3</c:v>
                </c:pt>
                <c:pt idx="25">
                  <c:v>4.1049482717017208E-3</c:v>
                </c:pt>
                <c:pt idx="26">
                  <c:v>1.1695509940445336E-2</c:v>
                </c:pt>
                <c:pt idx="27">
                  <c:v>3.2644295942787525E-2</c:v>
                </c:pt>
                <c:pt idx="28">
                  <c:v>8.669250054133458E-2</c:v>
                </c:pt>
                <c:pt idx="29">
                  <c:v>0.18912090643859283</c:v>
                </c:pt>
                <c:pt idx="30">
                  <c:v>0.26717999368338791</c:v>
                </c:pt>
                <c:pt idx="31">
                  <c:v>0.32529978546122129</c:v>
                </c:pt>
                <c:pt idx="32">
                  <c:v>0.36660553689426884</c:v>
                </c:pt>
                <c:pt idx="33">
                  <c:v>0.39681223177703689</c:v>
                </c:pt>
                <c:pt idx="34">
                  <c:v>0.42555927866516047</c:v>
                </c:pt>
                <c:pt idx="35">
                  <c:v>0.45284667755863955</c:v>
                </c:pt>
                <c:pt idx="36">
                  <c:v>0.4786744284574741</c:v>
                </c:pt>
                <c:pt idx="37">
                  <c:v>0.50160345510753557</c:v>
                </c:pt>
                <c:pt idx="38">
                  <c:v>0.52306597651611397</c:v>
                </c:pt>
                <c:pt idx="39">
                  <c:v>0.54306199268320909</c:v>
                </c:pt>
                <c:pt idx="40">
                  <c:v>0.56159150360882126</c:v>
                </c:pt>
                <c:pt idx="41">
                  <c:v>0.57805742758843537</c:v>
                </c:pt>
                <c:pt idx="42">
                  <c:v>0.59303226119482144</c:v>
                </c:pt>
                <c:pt idx="43">
                  <c:v>0.60518889076920079</c:v>
                </c:pt>
                <c:pt idx="44">
                  <c:v>0.61470733237166164</c:v>
                </c:pt>
                <c:pt idx="45">
                  <c:v>0.62294427575932221</c:v>
                </c:pt>
                <c:pt idx="46">
                  <c:v>0.63085201442161487</c:v>
                </c:pt>
                <c:pt idx="47">
                  <c:v>0.63863536283954325</c:v>
                </c:pt>
                <c:pt idx="48">
                  <c:v>0.64538428721803398</c:v>
                </c:pt>
                <c:pt idx="49">
                  <c:v>0.65141001911500218</c:v>
                </c:pt>
                <c:pt idx="50">
                  <c:v>0.65771388009058962</c:v>
                </c:pt>
                <c:pt idx="51">
                  <c:v>0.66370423442377424</c:v>
                </c:pt>
                <c:pt idx="52">
                  <c:v>0.66964647072004435</c:v>
                </c:pt>
                <c:pt idx="53">
                  <c:v>0.6754883189132953</c:v>
                </c:pt>
                <c:pt idx="54">
                  <c:v>0.68098623120912072</c:v>
                </c:pt>
                <c:pt idx="55">
                  <c:v>0.68674498194145905</c:v>
                </c:pt>
                <c:pt idx="56">
                  <c:v>0.69265206818239444</c:v>
                </c:pt>
                <c:pt idx="57">
                  <c:v>0.69855744810996401</c:v>
                </c:pt>
                <c:pt idx="58">
                  <c:v>0.70440214015882474</c:v>
                </c:pt>
                <c:pt idx="59">
                  <c:v>0.71043355976701206</c:v>
                </c:pt>
                <c:pt idx="60">
                  <c:v>0.71682677468585332</c:v>
                </c:pt>
                <c:pt idx="61">
                  <c:v>0.72333408509175201</c:v>
                </c:pt>
                <c:pt idx="62">
                  <c:v>0.73025193449345327</c:v>
                </c:pt>
                <c:pt idx="63">
                  <c:v>0.73755194121197332</c:v>
                </c:pt>
                <c:pt idx="64">
                  <c:v>0.74518160767275876</c:v>
                </c:pt>
                <c:pt idx="65">
                  <c:v>0.75321180275760091</c:v>
                </c:pt>
                <c:pt idx="66">
                  <c:v>0.76203338598148418</c:v>
                </c:pt>
                <c:pt idx="67">
                  <c:v>0.7709063861147889</c:v>
                </c:pt>
                <c:pt idx="68">
                  <c:v>0.78025510641446849</c:v>
                </c:pt>
                <c:pt idx="69">
                  <c:v>0.78975620049771078</c:v>
                </c:pt>
                <c:pt idx="70">
                  <c:v>0.7995787640190628</c:v>
                </c:pt>
                <c:pt idx="71">
                  <c:v>0.8094293679567256</c:v>
                </c:pt>
                <c:pt idx="72">
                  <c:v>0.81956486934935857</c:v>
                </c:pt>
                <c:pt idx="73">
                  <c:v>0.82905407611615256</c:v>
                </c:pt>
                <c:pt idx="74">
                  <c:v>0.83917951025992754</c:v>
                </c:pt>
                <c:pt idx="75">
                  <c:v>0.84902385771524924</c:v>
                </c:pt>
                <c:pt idx="76">
                  <c:v>0.85871901650529092</c:v>
                </c:pt>
                <c:pt idx="77">
                  <c:v>0.86796552863436127</c:v>
                </c:pt>
                <c:pt idx="78">
                  <c:v>0.87691571100891086</c:v>
                </c:pt>
                <c:pt idx="79">
                  <c:v>0.88589871147719523</c:v>
                </c:pt>
                <c:pt idx="80">
                  <c:v>0.89397975470033719</c:v>
                </c:pt>
                <c:pt idx="81">
                  <c:v>0.90166828897224149</c:v>
                </c:pt>
                <c:pt idx="82">
                  <c:v>0.90948411422123165</c:v>
                </c:pt>
                <c:pt idx="83">
                  <c:v>0.91623446052752722</c:v>
                </c:pt>
                <c:pt idx="84">
                  <c:v>0.92250231829109708</c:v>
                </c:pt>
                <c:pt idx="85">
                  <c:v>0.92875140660764355</c:v>
                </c:pt>
                <c:pt idx="86">
                  <c:v>0.93464558174411139</c:v>
                </c:pt>
                <c:pt idx="87">
                  <c:v>0.94023199482650766</c:v>
                </c:pt>
                <c:pt idx="88">
                  <c:v>0.94530264625554583</c:v>
                </c:pt>
                <c:pt idx="89">
                  <c:v>0.95072297817034124</c:v>
                </c:pt>
                <c:pt idx="90">
                  <c:v>0.95519977567098169</c:v>
                </c:pt>
                <c:pt idx="91">
                  <c:v>0.9594825653419351</c:v>
                </c:pt>
                <c:pt idx="92">
                  <c:v>0.96389719615894953</c:v>
                </c:pt>
                <c:pt idx="93">
                  <c:v>0.96813977371158311</c:v>
                </c:pt>
                <c:pt idx="94">
                  <c:v>0.97125208929073503</c:v>
                </c:pt>
                <c:pt idx="95">
                  <c:v>0.97467808214362639</c:v>
                </c:pt>
                <c:pt idx="96">
                  <c:v>0.97757272901441916</c:v>
                </c:pt>
                <c:pt idx="97">
                  <c:v>0.98023918491109718</c:v>
                </c:pt>
                <c:pt idx="98">
                  <c:v>0.98302206825643246</c:v>
                </c:pt>
                <c:pt idx="99">
                  <c:v>0.98530153228175543</c:v>
                </c:pt>
                <c:pt idx="100">
                  <c:v>0.98765840605677191</c:v>
                </c:pt>
                <c:pt idx="101">
                  <c:v>0.98926558261598418</c:v>
                </c:pt>
                <c:pt idx="102">
                  <c:v>0.99125241389907881</c:v>
                </c:pt>
                <c:pt idx="103">
                  <c:v>0.99284440426933573</c:v>
                </c:pt>
                <c:pt idx="104">
                  <c:v>0.99464416673043043</c:v>
                </c:pt>
                <c:pt idx="105">
                  <c:v>0.99556460903703536</c:v>
                </c:pt>
                <c:pt idx="106">
                  <c:v>0.99630816352472273</c:v>
                </c:pt>
                <c:pt idx="107">
                  <c:v>0.99725249421844819</c:v>
                </c:pt>
                <c:pt idx="108">
                  <c:v>0.99786437819141094</c:v>
                </c:pt>
                <c:pt idx="109">
                  <c:v>0.99845140686634559</c:v>
                </c:pt>
                <c:pt idx="110">
                  <c:v>0.99861578172058074</c:v>
                </c:pt>
                <c:pt idx="111">
                  <c:v>0.99954640503026793</c:v>
                </c:pt>
                <c:pt idx="112">
                  <c:v>0.99982368095220453</c:v>
                </c:pt>
                <c:pt idx="113">
                  <c:v>0.99992116832250177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Table!$A$18:$A$136</c:f>
              <c:numCache>
                <c:formatCode>????0.00</c:formatCode>
                <c:ptCount val="119"/>
                <c:pt idx="0">
                  <c:v>1.5110735893249512</c:v>
                </c:pt>
                <c:pt idx="1">
                  <c:v>1.588789701461792</c:v>
                </c:pt>
                <c:pt idx="2">
                  <c:v>1.8008730411529541</c:v>
                </c:pt>
                <c:pt idx="3">
                  <c:v>2.0034613609313965</c:v>
                </c:pt>
                <c:pt idx="4">
                  <c:v>2.1601700782775879</c:v>
                </c:pt>
                <c:pt idx="5">
                  <c:v>2.3577313423156738</c:v>
                </c:pt>
                <c:pt idx="6">
                  <c:v>2.5686178207397461</c:v>
                </c:pt>
                <c:pt idx="7">
                  <c:v>2.8085479736328125</c:v>
                </c:pt>
                <c:pt idx="8">
                  <c:v>3.092841625213623</c:v>
                </c:pt>
                <c:pt idx="9">
                  <c:v>3.3805665969848633</c:v>
                </c:pt>
                <c:pt idx="10">
                  <c:v>3.7120962142944336</c:v>
                </c:pt>
                <c:pt idx="11">
                  <c:v>4.0473761558532715</c:v>
                </c:pt>
                <c:pt idx="12">
                  <c:v>4.4245462417602539</c:v>
                </c:pt>
                <c:pt idx="13">
                  <c:v>4.8120889663696289</c:v>
                </c:pt>
                <c:pt idx="14">
                  <c:v>5.2726402282714844</c:v>
                </c:pt>
                <c:pt idx="15">
                  <c:v>5.7738046646118164</c:v>
                </c:pt>
                <c:pt idx="16">
                  <c:v>6.3101568222045898</c:v>
                </c:pt>
                <c:pt idx="17">
                  <c:v>6.9004478454589844</c:v>
                </c:pt>
                <c:pt idx="18">
                  <c:v>7.549065113067627</c:v>
                </c:pt>
                <c:pt idx="19">
                  <c:v>8.2571268081665039</c:v>
                </c:pt>
                <c:pt idx="20">
                  <c:v>9.0387554168701172</c:v>
                </c:pt>
                <c:pt idx="21">
                  <c:v>9.8886842727661133</c:v>
                </c:pt>
                <c:pt idx="22">
                  <c:v>10.793349266052246</c:v>
                </c:pt>
                <c:pt idx="23">
                  <c:v>11.889033317565918</c:v>
                </c:pt>
                <c:pt idx="24">
                  <c:v>12.888889312744141</c:v>
                </c:pt>
                <c:pt idx="25">
                  <c:v>14.186123847961426</c:v>
                </c:pt>
                <c:pt idx="26">
                  <c:v>15.484156608581543</c:v>
                </c:pt>
                <c:pt idx="27">
                  <c:v>16.876182556152344</c:v>
                </c:pt>
                <c:pt idx="28">
                  <c:v>18.474388122558594</c:v>
                </c:pt>
                <c:pt idx="29">
                  <c:v>20.266803741455078</c:v>
                </c:pt>
                <c:pt idx="30">
                  <c:v>22.161190032958984</c:v>
                </c:pt>
                <c:pt idx="31">
                  <c:v>24.307954788208008</c:v>
                </c:pt>
                <c:pt idx="32">
                  <c:v>26.609672546386719</c:v>
                </c:pt>
                <c:pt idx="33">
                  <c:v>29.00745964050293</c:v>
                </c:pt>
                <c:pt idx="34">
                  <c:v>30.988674163818299</c:v>
                </c:pt>
                <c:pt idx="35">
                  <c:v>34.353797912597599</c:v>
                </c:pt>
                <c:pt idx="36">
                  <c:v>37.643112182617187</c:v>
                </c:pt>
                <c:pt idx="37">
                  <c:v>40.977954864501953</c:v>
                </c:pt>
                <c:pt idx="38">
                  <c:v>45.460674285888672</c:v>
                </c:pt>
                <c:pt idx="39">
                  <c:v>48.356235504150391</c:v>
                </c:pt>
                <c:pt idx="40">
                  <c:v>54.441654205322266</c:v>
                </c:pt>
                <c:pt idx="41">
                  <c:v>58.928813934326172</c:v>
                </c:pt>
                <c:pt idx="42">
                  <c:v>64.640953063964844</c:v>
                </c:pt>
                <c:pt idx="43">
                  <c:v>70.702125549316406</c:v>
                </c:pt>
                <c:pt idx="44">
                  <c:v>77.531982421875</c:v>
                </c:pt>
                <c:pt idx="45">
                  <c:v>84.764518737792969</c:v>
                </c:pt>
                <c:pt idx="46">
                  <c:v>92.472999572753906</c:v>
                </c:pt>
                <c:pt idx="47">
                  <c:v>101.61772918701172</c:v>
                </c:pt>
                <c:pt idx="48">
                  <c:v>111.69001007080078</c:v>
                </c:pt>
                <c:pt idx="49">
                  <c:v>120.97763061523437</c:v>
                </c:pt>
                <c:pt idx="50">
                  <c:v>133.46841430664062</c:v>
                </c:pt>
                <c:pt idx="51">
                  <c:v>145.53147888183594</c:v>
                </c:pt>
                <c:pt idx="52">
                  <c:v>159.3995361328125</c:v>
                </c:pt>
                <c:pt idx="53">
                  <c:v>174.43290710449219</c:v>
                </c:pt>
                <c:pt idx="54">
                  <c:v>190.41134643554687</c:v>
                </c:pt>
                <c:pt idx="55">
                  <c:v>207.18046569824219</c:v>
                </c:pt>
                <c:pt idx="56">
                  <c:v>228.50035095214844</c:v>
                </c:pt>
                <c:pt idx="57">
                  <c:v>250.71632385253906</c:v>
                </c:pt>
                <c:pt idx="58">
                  <c:v>274.07962036132812</c:v>
                </c:pt>
                <c:pt idx="59">
                  <c:v>299.63546752929687</c:v>
                </c:pt>
                <c:pt idx="60">
                  <c:v>327.44985961914062</c:v>
                </c:pt>
                <c:pt idx="61">
                  <c:v>359.35833740234375</c:v>
                </c:pt>
                <c:pt idx="62">
                  <c:v>391.6820068359375</c:v>
                </c:pt>
                <c:pt idx="63">
                  <c:v>428.17318725585938</c:v>
                </c:pt>
                <c:pt idx="64">
                  <c:v>469.24533081054687</c:v>
                </c:pt>
                <c:pt idx="65">
                  <c:v>511.96231079101562</c:v>
                </c:pt>
                <c:pt idx="66">
                  <c:v>561.9442138671875</c:v>
                </c:pt>
                <c:pt idx="67">
                  <c:v>613.33770751953125</c:v>
                </c:pt>
                <c:pt idx="68">
                  <c:v>673.416259765625</c:v>
                </c:pt>
                <c:pt idx="69">
                  <c:v>735.20709228515625</c:v>
                </c:pt>
                <c:pt idx="70">
                  <c:v>804.4375</c:v>
                </c:pt>
                <c:pt idx="71">
                  <c:v>878.4713134765625</c:v>
                </c:pt>
                <c:pt idx="72">
                  <c:v>963.73516845703125</c:v>
                </c:pt>
                <c:pt idx="73">
                  <c:v>1047.3736572265625</c:v>
                </c:pt>
                <c:pt idx="74">
                  <c:v>1147.60498046875</c:v>
                </c:pt>
                <c:pt idx="75">
                  <c:v>1257.69873046875</c:v>
                </c:pt>
                <c:pt idx="76">
                  <c:v>1377.39111328125</c:v>
                </c:pt>
                <c:pt idx="77">
                  <c:v>1506.6187744140625</c:v>
                </c:pt>
                <c:pt idx="78">
                  <c:v>1648.274658203125</c:v>
                </c:pt>
                <c:pt idx="79">
                  <c:v>1809.197998046875</c:v>
                </c:pt>
                <c:pt idx="80">
                  <c:v>1978.277587890625</c:v>
                </c:pt>
                <c:pt idx="81">
                  <c:v>2158.394775390625</c:v>
                </c:pt>
                <c:pt idx="82">
                  <c:v>2368.03857421875</c:v>
                </c:pt>
                <c:pt idx="83">
                  <c:v>2588.29150390625</c:v>
                </c:pt>
                <c:pt idx="84">
                  <c:v>2829.26611328125</c:v>
                </c:pt>
                <c:pt idx="85">
                  <c:v>3098.591552734375</c:v>
                </c:pt>
                <c:pt idx="86">
                  <c:v>3388.222412109375</c:v>
                </c:pt>
                <c:pt idx="87">
                  <c:v>3707.71044921875</c:v>
                </c:pt>
                <c:pt idx="88">
                  <c:v>4059.138671875</c:v>
                </c:pt>
                <c:pt idx="89">
                  <c:v>4436.59912109375</c:v>
                </c:pt>
                <c:pt idx="90">
                  <c:v>4846.0673828125</c:v>
                </c:pt>
                <c:pt idx="91">
                  <c:v>5307.00390625</c:v>
                </c:pt>
                <c:pt idx="92">
                  <c:v>5806.4521484375</c:v>
                </c:pt>
                <c:pt idx="93">
                  <c:v>6356.62158203125</c:v>
                </c:pt>
                <c:pt idx="94">
                  <c:v>6946.20654296875</c:v>
                </c:pt>
                <c:pt idx="95">
                  <c:v>7605.62109375</c:v>
                </c:pt>
                <c:pt idx="96">
                  <c:v>8316.7763671875</c:v>
                </c:pt>
                <c:pt idx="97">
                  <c:v>9097.396484375</c:v>
                </c:pt>
                <c:pt idx="98">
                  <c:v>9956.7275390625</c:v>
                </c:pt>
                <c:pt idx="99">
                  <c:v>10896.4423828125</c:v>
                </c:pt>
                <c:pt idx="100">
                  <c:v>11895.58984375</c:v>
                </c:pt>
                <c:pt idx="101">
                  <c:v>12996.1123046875</c:v>
                </c:pt>
                <c:pt idx="102">
                  <c:v>14296.1533203125</c:v>
                </c:pt>
                <c:pt idx="103">
                  <c:v>15595.4013671875</c:v>
                </c:pt>
                <c:pt idx="104">
                  <c:v>17096.5859375</c:v>
                </c:pt>
                <c:pt idx="105">
                  <c:v>18695.119140625</c:v>
                </c:pt>
                <c:pt idx="106">
                  <c:v>20395.5078125</c:v>
                </c:pt>
                <c:pt idx="107">
                  <c:v>22296.91015625</c:v>
                </c:pt>
                <c:pt idx="108">
                  <c:v>24397.017578125</c:v>
                </c:pt>
                <c:pt idx="109">
                  <c:v>26699.923828125</c:v>
                </c:pt>
                <c:pt idx="110">
                  <c:v>29296.9375</c:v>
                </c:pt>
                <c:pt idx="111">
                  <c:v>31994.310546875</c:v>
                </c:pt>
                <c:pt idx="112">
                  <c:v>34990.04296875</c:v>
                </c:pt>
                <c:pt idx="113">
                  <c:v>38289.6875</c:v>
                </c:pt>
                <c:pt idx="114">
                  <c:v>41888.40234375</c:v>
                </c:pt>
                <c:pt idx="115">
                  <c:v>45782.06640625</c:v>
                </c:pt>
                <c:pt idx="116">
                  <c:v>50080.21875</c:v>
                </c:pt>
                <c:pt idx="117">
                  <c:v>54776.875</c:v>
                </c:pt>
                <c:pt idx="118">
                  <c:v>59462.98828125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84032"/>
        <c:axId val="99915264"/>
      </c:scatterChart>
      <c:valAx>
        <c:axId val="99884032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 sz="700" b="0"/>
                  <a:t>Mercury Saturation</a:t>
                </a:r>
              </a:p>
            </c:rich>
          </c:tx>
          <c:layout>
            <c:manualLayout>
              <c:xMode val="edge"/>
              <c:yMode val="edge"/>
              <c:x val="0.39370372327620123"/>
              <c:y val="0.9364548771026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99915264"/>
        <c:crossesAt val="1.0000000000000041E-3"/>
        <c:crossBetween val="midCat"/>
        <c:majorUnit val="0.2"/>
        <c:minorUnit val="0.1"/>
      </c:valAx>
      <c:valAx>
        <c:axId val="99915264"/>
        <c:scaling>
          <c:logBase val="10"/>
          <c:orientation val="minMax"/>
          <c:max val="100000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Injection Pressure, psia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3377926421404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/>
            </a:pPr>
            <a:endParaRPr lang="en-US"/>
          </a:p>
        </c:txPr>
        <c:crossAx val="99884032"/>
        <c:crosses val="max"/>
        <c:crossBetween val="midCat"/>
        <c:majorUnit val="10"/>
        <c:minorUnit val="1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dk1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041119369915644"/>
          <c:y val="5.3511705685618735E-2"/>
          <c:w val="0.71747821581027194"/>
          <c:h val="0.8104070436011552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660066"/>
              </a:solidFill>
            </a:ln>
          </c:spPr>
          <c:marker>
            <c:symbol val="circ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0.99889231557394409</c:v>
                </c:pt>
                <c:pt idx="25">
                  <c:v>0.99589505172829829</c:v>
                </c:pt>
                <c:pt idx="26">
                  <c:v>0.98830449005955467</c:v>
                </c:pt>
                <c:pt idx="27">
                  <c:v>0.9673557040572125</c:v>
                </c:pt>
                <c:pt idx="28">
                  <c:v>0.91330749945866541</c:v>
                </c:pt>
                <c:pt idx="29">
                  <c:v>0.81087909356140719</c:v>
                </c:pt>
                <c:pt idx="30">
                  <c:v>0.73282000631661215</c:v>
                </c:pt>
                <c:pt idx="31">
                  <c:v>0.67470021453877871</c:v>
                </c:pt>
                <c:pt idx="32">
                  <c:v>0.63339446310573111</c:v>
                </c:pt>
                <c:pt idx="33">
                  <c:v>0.60318776822296316</c:v>
                </c:pt>
                <c:pt idx="34">
                  <c:v>0.57444072133483948</c:v>
                </c:pt>
                <c:pt idx="35">
                  <c:v>0.5471533224413605</c:v>
                </c:pt>
                <c:pt idx="36">
                  <c:v>0.5213255715425259</c:v>
                </c:pt>
                <c:pt idx="37">
                  <c:v>0.49839654489246443</c:v>
                </c:pt>
                <c:pt idx="38">
                  <c:v>0.47693402348388603</c:v>
                </c:pt>
                <c:pt idx="39">
                  <c:v>0.45693800731679091</c:v>
                </c:pt>
                <c:pt idx="40">
                  <c:v>0.43840849639117874</c:v>
                </c:pt>
                <c:pt idx="41">
                  <c:v>0.42194257241156463</c:v>
                </c:pt>
                <c:pt idx="42">
                  <c:v>0.40696773880517856</c:v>
                </c:pt>
                <c:pt idx="43">
                  <c:v>0.39481110923079921</c:v>
                </c:pt>
                <c:pt idx="44">
                  <c:v>0.38529266762833836</c:v>
                </c:pt>
                <c:pt idx="45">
                  <c:v>0.37705572424067779</c:v>
                </c:pt>
                <c:pt idx="46">
                  <c:v>0.36914798557838513</c:v>
                </c:pt>
                <c:pt idx="47">
                  <c:v>0.36136463716045675</c:v>
                </c:pt>
                <c:pt idx="48">
                  <c:v>0.35461571278196602</c:v>
                </c:pt>
                <c:pt idx="49">
                  <c:v>0.34858998088499782</c:v>
                </c:pt>
                <c:pt idx="50">
                  <c:v>0.34228611990941038</c:v>
                </c:pt>
                <c:pt idx="51">
                  <c:v>0.33629576557622576</c:v>
                </c:pt>
                <c:pt idx="52">
                  <c:v>0.33035352927995565</c:v>
                </c:pt>
                <c:pt idx="53">
                  <c:v>0.3245116810867047</c:v>
                </c:pt>
                <c:pt idx="54">
                  <c:v>0.31901376879087928</c:v>
                </c:pt>
                <c:pt idx="55">
                  <c:v>0.31325501805854095</c:v>
                </c:pt>
                <c:pt idx="56">
                  <c:v>0.30734793181760556</c:v>
                </c:pt>
                <c:pt idx="57">
                  <c:v>0.30144255189003599</c:v>
                </c:pt>
                <c:pt idx="58">
                  <c:v>0.29559785984117526</c:v>
                </c:pt>
                <c:pt idx="59">
                  <c:v>0.28956644023298794</c:v>
                </c:pt>
                <c:pt idx="60">
                  <c:v>0.28317322531414668</c:v>
                </c:pt>
                <c:pt idx="61">
                  <c:v>0.27666591490824799</c:v>
                </c:pt>
                <c:pt idx="62">
                  <c:v>0.26974806550654673</c:v>
                </c:pt>
                <c:pt idx="63">
                  <c:v>0.26244805878802668</c:v>
                </c:pt>
                <c:pt idx="64">
                  <c:v>0.25481839232724124</c:v>
                </c:pt>
                <c:pt idx="65">
                  <c:v>0.24678819724239909</c:v>
                </c:pt>
                <c:pt idx="66">
                  <c:v>0.23796661401851582</c:v>
                </c:pt>
                <c:pt idx="67">
                  <c:v>0.2290936138852111</c:v>
                </c:pt>
                <c:pt idx="68">
                  <c:v>0.21974489358553151</c:v>
                </c:pt>
                <c:pt idx="69">
                  <c:v>0.21024379950228922</c:v>
                </c:pt>
                <c:pt idx="70">
                  <c:v>0.2004212359809372</c:v>
                </c:pt>
                <c:pt idx="71">
                  <c:v>0.1905706320432744</c:v>
                </c:pt>
                <c:pt idx="72">
                  <c:v>0.18043513065064143</c:v>
                </c:pt>
                <c:pt idx="73">
                  <c:v>0.17094592388384744</c:v>
                </c:pt>
                <c:pt idx="74">
                  <c:v>0.16082048974007246</c:v>
                </c:pt>
                <c:pt idx="75">
                  <c:v>0.15097614228475076</c:v>
                </c:pt>
                <c:pt idx="76">
                  <c:v>0.14128098349470908</c:v>
                </c:pt>
                <c:pt idx="77">
                  <c:v>0.13203447136563873</c:v>
                </c:pt>
                <c:pt idx="78">
                  <c:v>0.12308428899108914</c:v>
                </c:pt>
                <c:pt idx="79">
                  <c:v>0.11410128852280477</c:v>
                </c:pt>
                <c:pt idx="80">
                  <c:v>0.10602024529966281</c:v>
                </c:pt>
                <c:pt idx="81">
                  <c:v>9.8331711027758506E-2</c:v>
                </c:pt>
                <c:pt idx="82">
                  <c:v>9.0515885778768346E-2</c:v>
                </c:pt>
                <c:pt idx="83">
                  <c:v>8.3765539472472783E-2</c:v>
                </c:pt>
                <c:pt idx="84">
                  <c:v>7.7497681708902921E-2</c:v>
                </c:pt>
                <c:pt idx="85">
                  <c:v>7.1248593392356452E-2</c:v>
                </c:pt>
                <c:pt idx="86">
                  <c:v>6.5354418255888613E-2</c:v>
                </c:pt>
                <c:pt idx="87">
                  <c:v>5.9768005173492345E-2</c:v>
                </c:pt>
                <c:pt idx="88">
                  <c:v>5.4697353744454169E-2</c:v>
                </c:pt>
                <c:pt idx="89">
                  <c:v>4.9277021829658763E-2</c:v>
                </c:pt>
                <c:pt idx="90">
                  <c:v>4.4800224329018312E-2</c:v>
                </c:pt>
                <c:pt idx="91">
                  <c:v>4.0517434658064899E-2</c:v>
                </c:pt>
                <c:pt idx="92">
                  <c:v>3.6102803841050468E-2</c:v>
                </c:pt>
                <c:pt idx="93">
                  <c:v>3.1860226288416893E-2</c:v>
                </c:pt>
                <c:pt idx="94">
                  <c:v>2.8747910709264968E-2</c:v>
                </c:pt>
                <c:pt idx="95">
                  <c:v>2.532191785637361E-2</c:v>
                </c:pt>
                <c:pt idx="96">
                  <c:v>2.2427270985580838E-2</c:v>
                </c:pt>
                <c:pt idx="97">
                  <c:v>1.9760815088902817E-2</c:v>
                </c:pt>
                <c:pt idx="98">
                  <c:v>1.6977931743567543E-2</c:v>
                </c:pt>
                <c:pt idx="99">
                  <c:v>1.4698467718244568E-2</c:v>
                </c:pt>
                <c:pt idx="100">
                  <c:v>1.2341593943228091E-2</c:v>
                </c:pt>
                <c:pt idx="101">
                  <c:v>1.0734417384015815E-2</c:v>
                </c:pt>
                <c:pt idx="102">
                  <c:v>8.7475861009211897E-3</c:v>
                </c:pt>
                <c:pt idx="103">
                  <c:v>7.1555957306642659E-3</c:v>
                </c:pt>
                <c:pt idx="104">
                  <c:v>5.3558332695695654E-3</c:v>
                </c:pt>
                <c:pt idx="105">
                  <c:v>4.435390962964636E-3</c:v>
                </c:pt>
                <c:pt idx="106">
                  <c:v>3.6918364752772659E-3</c:v>
                </c:pt>
                <c:pt idx="107">
                  <c:v>2.7475057815518067E-3</c:v>
                </c:pt>
                <c:pt idx="108">
                  <c:v>2.135621808589061E-3</c:v>
                </c:pt>
                <c:pt idx="109">
                  <c:v>1.5485931336544079E-3</c:v>
                </c:pt>
                <c:pt idx="110">
                  <c:v>1.3842182794192581E-3</c:v>
                </c:pt>
                <c:pt idx="111">
                  <c:v>4.5359496973207403E-4</c:v>
                </c:pt>
                <c:pt idx="112">
                  <c:v>1.7631904779547014E-4</c:v>
                </c:pt>
                <c:pt idx="113">
                  <c:v>7.8831677498225616E-5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Table!$L$18:$L$136</c:f>
              <c:numCache>
                <c:formatCode>????0.00</c:formatCode>
                <c:ptCount val="119"/>
                <c:pt idx="0">
                  <c:v>0.28470031644445304</c:v>
                </c:pt>
                <c:pt idx="1">
                  <c:v>0.29934275469133914</c:v>
                </c:pt>
                <c:pt idx="2">
                  <c:v>0.33930122815631725</c:v>
                </c:pt>
                <c:pt idx="3">
                  <c:v>0.37747075157088428</c:v>
                </c:pt>
                <c:pt idx="4">
                  <c:v>0.40699613123025358</c:v>
                </c:pt>
                <c:pt idx="5">
                  <c:v>0.44421851059427653</c:v>
                </c:pt>
                <c:pt idx="6">
                  <c:v>0.48395148426633405</c:v>
                </c:pt>
                <c:pt idx="7">
                  <c:v>0.52915655629974678</c:v>
                </c:pt>
                <c:pt idx="8">
                  <c:v>0.58272012404389872</c:v>
                </c:pt>
                <c:pt idx="9">
                  <c:v>0.63693018442145977</c:v>
                </c:pt>
                <c:pt idx="10">
                  <c:v>0.69939344737936027</c:v>
                </c:pt>
                <c:pt idx="11">
                  <c:v>0.76256330630193048</c:v>
                </c:pt>
                <c:pt idx="12">
                  <c:v>0.83362565797672217</c:v>
                </c:pt>
                <c:pt idx="13">
                  <c:v>0.90664231124330752</c:v>
                </c:pt>
                <c:pt idx="14">
                  <c:v>0.99341445187805044</c:v>
                </c:pt>
                <c:pt idx="15">
                  <c:v>1.0878384922588629</c:v>
                </c:pt>
                <c:pt idx="16">
                  <c:v>1.1888922265515414</c:v>
                </c:pt>
                <c:pt idx="17">
                  <c:v>1.3001085447388792</c:v>
                </c:pt>
                <c:pt idx="18">
                  <c:v>1.4223140697669565</c:v>
                </c:pt>
                <c:pt idx="19">
                  <c:v>1.5557194777371277</c:v>
                </c:pt>
                <c:pt idx="20">
                  <c:v>1.702985576365301</c:v>
                </c:pt>
                <c:pt idx="21">
                  <c:v>1.863120076722071</c:v>
                </c:pt>
                <c:pt idx="22">
                  <c:v>2.0335673743813736</c:v>
                </c:pt>
                <c:pt idx="23">
                  <c:v>2.2400044389908067</c:v>
                </c:pt>
                <c:pt idx="24">
                  <c:v>2.428386606634469</c:v>
                </c:pt>
                <c:pt idx="25">
                  <c:v>2.6727976566906237</c:v>
                </c:pt>
                <c:pt idx="26">
                  <c:v>2.9173590998357621</c:v>
                </c:pt>
                <c:pt idx="27">
                  <c:v>3.1796297334912298</c:v>
                </c:pt>
                <c:pt idx="28">
                  <c:v>3.4807465247008582</c:v>
                </c:pt>
                <c:pt idx="29">
                  <c:v>3.8184542958543326</c:v>
                </c:pt>
                <c:pt idx="30">
                  <c:v>4.1753742900024235</c:v>
                </c:pt>
                <c:pt idx="31">
                  <c:v>4.5798447337114112</c:v>
                </c:pt>
                <c:pt idx="32">
                  <c:v>5.0135097641564474</c:v>
                </c:pt>
                <c:pt idx="33">
                  <c:v>5.4652751508880595</c:v>
                </c:pt>
                <c:pt idx="34">
                  <c:v>5.8385543913678122</c:v>
                </c:pt>
                <c:pt idx="35">
                  <c:v>6.472574999576711</c:v>
                </c:pt>
                <c:pt idx="36">
                  <c:v>7.0923123969976967</c:v>
                </c:pt>
                <c:pt idx="37">
                  <c:v>7.7206277706051498</c:v>
                </c:pt>
                <c:pt idx="38">
                  <c:v>8.565213796604473</c:v>
                </c:pt>
                <c:pt idx="39">
                  <c:v>9.1107644573712125</c:v>
                </c:pt>
                <c:pt idx="40">
                  <c:v>10.25731393197</c:v>
                </c:pt>
                <c:pt idx="41">
                  <c:v>11.102736553217003</c:v>
                </c:pt>
                <c:pt idx="42">
                  <c:v>12.178956685228822</c:v>
                </c:pt>
                <c:pt idx="43">
                  <c:v>13.32093794728959</c:v>
                </c:pt>
                <c:pt idx="44">
                  <c:v>14.607746496273901</c:v>
                </c:pt>
                <c:pt idx="45">
                  <c:v>15.97042359710108</c:v>
                </c:pt>
                <c:pt idx="46">
                  <c:v>17.422773071357849</c:v>
                </c:pt>
                <c:pt idx="47">
                  <c:v>19.145725172017112</c:v>
                </c:pt>
                <c:pt idx="48">
                  <c:v>21.043436557610985</c:v>
                </c:pt>
                <c:pt idx="49">
                  <c:v>22.793310638328325</c:v>
                </c:pt>
                <c:pt idx="50">
                  <c:v>25.146690443722989</c:v>
                </c:pt>
                <c:pt idx="51">
                  <c:v>27.419483990053333</c:v>
                </c:pt>
                <c:pt idx="52">
                  <c:v>30.032354942014472</c:v>
                </c:pt>
                <c:pt idx="53">
                  <c:v>32.864781835780832</c:v>
                </c:pt>
                <c:pt idx="54">
                  <c:v>35.875268397108393</c:v>
                </c:pt>
                <c:pt idx="55">
                  <c:v>39.034726410478157</c:v>
                </c:pt>
                <c:pt idx="56">
                  <c:v>43.051591056400611</c:v>
                </c:pt>
                <c:pt idx="57">
                  <c:v>47.237286948079948</c:v>
                </c:pt>
                <c:pt idx="58">
                  <c:v>51.639149277107421</c:v>
                </c:pt>
                <c:pt idx="59">
                  <c:v>56.454108539930026</c:v>
                </c:pt>
                <c:pt idx="60">
                  <c:v>61.694598669352644</c:v>
                </c:pt>
                <c:pt idx="61">
                  <c:v>67.706452616318273</c:v>
                </c:pt>
                <c:pt idx="62">
                  <c:v>73.796532531288619</c:v>
                </c:pt>
                <c:pt idx="63">
                  <c:v>80.671810271815161</c:v>
                </c:pt>
                <c:pt idx="64">
                  <c:v>88.410184067558177</c:v>
                </c:pt>
                <c:pt idx="65">
                  <c:v>96.45846034206032</c:v>
                </c:pt>
                <c:pt idx="66">
                  <c:v>105.87551568788176</c:v>
                </c:pt>
                <c:pt idx="67">
                  <c:v>115.5585278253282</c:v>
                </c:pt>
                <c:pt idx="68">
                  <c:v>126.87788576846359</c:v>
                </c:pt>
                <c:pt idx="69">
                  <c:v>138.51985323845003</c:v>
                </c:pt>
                <c:pt idx="70">
                  <c:v>151.56350585949784</c:v>
                </c:pt>
                <c:pt idx="71">
                  <c:v>165.51216479528335</c:v>
                </c:pt>
                <c:pt idx="72">
                  <c:v>181.57666798407757</c:v>
                </c:pt>
                <c:pt idx="73">
                  <c:v>197.33493706365229</c:v>
                </c:pt>
                <c:pt idx="74">
                  <c:v>216.21945046279455</c:v>
                </c:pt>
                <c:pt idx="75">
                  <c:v>236.9621367786601</c:v>
                </c:pt>
                <c:pt idx="76">
                  <c:v>259.51329477880256</c:v>
                </c:pt>
                <c:pt idx="77">
                  <c:v>283.86098788772927</c:v>
                </c:pt>
                <c:pt idx="78">
                  <c:v>310.55027372124141</c:v>
                </c:pt>
                <c:pt idx="79">
                  <c:v>340.86972745299579</c:v>
                </c:pt>
                <c:pt idx="80">
                  <c:v>372.72589453372575</c:v>
                </c:pt>
                <c:pt idx="81">
                  <c:v>406.66164765693611</c:v>
                </c:pt>
                <c:pt idx="82">
                  <c:v>446.1604889368291</c:v>
                </c:pt>
                <c:pt idx="83">
                  <c:v>487.65818913014795</c:v>
                </c:pt>
                <c:pt idx="84">
                  <c:v>533.06004647767099</c:v>
                </c:pt>
                <c:pt idx="85">
                  <c:v>583.80346386020915</c:v>
                </c:pt>
                <c:pt idx="86">
                  <c:v>638.37261118610354</c:v>
                </c:pt>
                <c:pt idx="87">
                  <c:v>698.56712845371749</c:v>
                </c:pt>
                <c:pt idx="88">
                  <c:v>764.779473705839</c:v>
                </c:pt>
                <c:pt idx="89">
                  <c:v>835.89653252879873</c:v>
                </c:pt>
                <c:pt idx="90">
                  <c:v>913.04416088313098</c:v>
                </c:pt>
                <c:pt idx="91">
                  <c:v>999.88888837392562</c:v>
                </c:pt>
                <c:pt idx="92">
                  <c:v>1093.9895818166121</c:v>
                </c:pt>
                <c:pt idx="93">
                  <c:v>1197.646619401512</c:v>
                </c:pt>
                <c:pt idx="94">
                  <c:v>1308.7299088823263</c:v>
                </c:pt>
                <c:pt idx="95">
                  <c:v>1432.9697424693634</c:v>
                </c:pt>
                <c:pt idx="96">
                  <c:v>1566.9580093672359</c:v>
                </c:pt>
                <c:pt idx="97">
                  <c:v>1714.0340988153155</c:v>
                </c:pt>
                <c:pt idx="98">
                  <c:v>1875.9400608600702</c:v>
                </c:pt>
                <c:pt idx="99">
                  <c:v>2052.9910762925433</c:v>
                </c:pt>
                <c:pt idx="100">
                  <c:v>2241.2397494962456</c:v>
                </c:pt>
                <c:pt idx="101">
                  <c:v>2448.5884154358741</c:v>
                </c:pt>
                <c:pt idx="102">
                  <c:v>2693.5282324996824</c:v>
                </c:pt>
                <c:pt idx="103">
                  <c:v>2938.3186468767844</c:v>
                </c:pt>
                <c:pt idx="104">
                  <c:v>3221.1557801764457</c:v>
                </c:pt>
                <c:pt idx="105">
                  <c:v>3522.3343011907418</c:v>
                </c:pt>
                <c:pt idx="106">
                  <c:v>3842.7033397215791</c:v>
                </c:pt>
                <c:pt idx="107">
                  <c:v>4200.9452233585507</c:v>
                </c:pt>
                <c:pt idx="108">
                  <c:v>4596.6249915704084</c:v>
                </c:pt>
                <c:pt idx="109">
                  <c:v>5030.5139449269454</c:v>
                </c:pt>
                <c:pt idx="110">
                  <c:v>5519.8154716141307</c:v>
                </c:pt>
                <c:pt idx="111">
                  <c:v>6028.0256378424465</c:v>
                </c:pt>
                <c:pt idx="112">
                  <c:v>6592.4494849111607</c:v>
                </c:pt>
                <c:pt idx="113">
                  <c:v>7214.1331996141298</c:v>
                </c:pt>
                <c:pt idx="114">
                  <c:v>7892.1645423938544</c:v>
                </c:pt>
                <c:pt idx="115">
                  <c:v>8625.76706086376</c:v>
                </c:pt>
                <c:pt idx="116">
                  <c:v>9435.5789330564021</c:v>
                </c:pt>
                <c:pt idx="117">
                  <c:v>10320.472647070133</c:v>
                </c:pt>
                <c:pt idx="118">
                  <c:v>11203.379967727122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19200"/>
        <c:axId val="100033664"/>
      </c:scatterChart>
      <c:scatterChart>
        <c:scatterStyle val="lineMarker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0.99889231557394409</c:v>
                </c:pt>
                <c:pt idx="25">
                  <c:v>0.99589505172829829</c:v>
                </c:pt>
                <c:pt idx="26">
                  <c:v>0.98830449005955467</c:v>
                </c:pt>
                <c:pt idx="27">
                  <c:v>0.9673557040572125</c:v>
                </c:pt>
                <c:pt idx="28">
                  <c:v>0.91330749945866541</c:v>
                </c:pt>
                <c:pt idx="29">
                  <c:v>0.81087909356140719</c:v>
                </c:pt>
                <c:pt idx="30">
                  <c:v>0.73282000631661215</c:v>
                </c:pt>
                <c:pt idx="31">
                  <c:v>0.67470021453877871</c:v>
                </c:pt>
                <c:pt idx="32">
                  <c:v>0.63339446310573111</c:v>
                </c:pt>
                <c:pt idx="33">
                  <c:v>0.60318776822296316</c:v>
                </c:pt>
                <c:pt idx="34">
                  <c:v>0.57444072133483948</c:v>
                </c:pt>
                <c:pt idx="35">
                  <c:v>0.5471533224413605</c:v>
                </c:pt>
                <c:pt idx="36">
                  <c:v>0.5213255715425259</c:v>
                </c:pt>
                <c:pt idx="37">
                  <c:v>0.49839654489246443</c:v>
                </c:pt>
                <c:pt idx="38">
                  <c:v>0.47693402348388603</c:v>
                </c:pt>
                <c:pt idx="39">
                  <c:v>0.45693800731679091</c:v>
                </c:pt>
                <c:pt idx="40">
                  <c:v>0.43840849639117874</c:v>
                </c:pt>
                <c:pt idx="41">
                  <c:v>0.42194257241156463</c:v>
                </c:pt>
                <c:pt idx="42">
                  <c:v>0.40696773880517856</c:v>
                </c:pt>
                <c:pt idx="43">
                  <c:v>0.39481110923079921</c:v>
                </c:pt>
                <c:pt idx="44">
                  <c:v>0.38529266762833836</c:v>
                </c:pt>
                <c:pt idx="45">
                  <c:v>0.37705572424067779</c:v>
                </c:pt>
                <c:pt idx="46">
                  <c:v>0.36914798557838513</c:v>
                </c:pt>
                <c:pt idx="47">
                  <c:v>0.36136463716045675</c:v>
                </c:pt>
                <c:pt idx="48">
                  <c:v>0.35461571278196602</c:v>
                </c:pt>
                <c:pt idx="49">
                  <c:v>0.34858998088499782</c:v>
                </c:pt>
                <c:pt idx="50">
                  <c:v>0.34228611990941038</c:v>
                </c:pt>
                <c:pt idx="51">
                  <c:v>0.33629576557622576</c:v>
                </c:pt>
                <c:pt idx="52">
                  <c:v>0.33035352927995565</c:v>
                </c:pt>
                <c:pt idx="53">
                  <c:v>0.3245116810867047</c:v>
                </c:pt>
                <c:pt idx="54">
                  <c:v>0.31901376879087928</c:v>
                </c:pt>
                <c:pt idx="55">
                  <c:v>0.31325501805854095</c:v>
                </c:pt>
                <c:pt idx="56">
                  <c:v>0.30734793181760556</c:v>
                </c:pt>
                <c:pt idx="57">
                  <c:v>0.30144255189003599</c:v>
                </c:pt>
                <c:pt idx="58">
                  <c:v>0.29559785984117526</c:v>
                </c:pt>
                <c:pt idx="59">
                  <c:v>0.28956644023298794</c:v>
                </c:pt>
                <c:pt idx="60">
                  <c:v>0.28317322531414668</c:v>
                </c:pt>
                <c:pt idx="61">
                  <c:v>0.27666591490824799</c:v>
                </c:pt>
                <c:pt idx="62">
                  <c:v>0.26974806550654673</c:v>
                </c:pt>
                <c:pt idx="63">
                  <c:v>0.26244805878802668</c:v>
                </c:pt>
                <c:pt idx="64">
                  <c:v>0.25481839232724124</c:v>
                </c:pt>
                <c:pt idx="65">
                  <c:v>0.24678819724239909</c:v>
                </c:pt>
                <c:pt idx="66">
                  <c:v>0.23796661401851582</c:v>
                </c:pt>
                <c:pt idx="67">
                  <c:v>0.2290936138852111</c:v>
                </c:pt>
                <c:pt idx="68">
                  <c:v>0.21974489358553151</c:v>
                </c:pt>
                <c:pt idx="69">
                  <c:v>0.21024379950228922</c:v>
                </c:pt>
                <c:pt idx="70">
                  <c:v>0.2004212359809372</c:v>
                </c:pt>
                <c:pt idx="71">
                  <c:v>0.1905706320432744</c:v>
                </c:pt>
                <c:pt idx="72">
                  <c:v>0.18043513065064143</c:v>
                </c:pt>
                <c:pt idx="73">
                  <c:v>0.17094592388384744</c:v>
                </c:pt>
                <c:pt idx="74">
                  <c:v>0.16082048974007246</c:v>
                </c:pt>
                <c:pt idx="75">
                  <c:v>0.15097614228475076</c:v>
                </c:pt>
                <c:pt idx="76">
                  <c:v>0.14128098349470908</c:v>
                </c:pt>
                <c:pt idx="77">
                  <c:v>0.13203447136563873</c:v>
                </c:pt>
                <c:pt idx="78">
                  <c:v>0.12308428899108914</c:v>
                </c:pt>
                <c:pt idx="79">
                  <c:v>0.11410128852280477</c:v>
                </c:pt>
                <c:pt idx="80">
                  <c:v>0.10602024529966281</c:v>
                </c:pt>
                <c:pt idx="81">
                  <c:v>9.8331711027758506E-2</c:v>
                </c:pt>
                <c:pt idx="82">
                  <c:v>9.0515885778768346E-2</c:v>
                </c:pt>
                <c:pt idx="83">
                  <c:v>8.3765539472472783E-2</c:v>
                </c:pt>
                <c:pt idx="84">
                  <c:v>7.7497681708902921E-2</c:v>
                </c:pt>
                <c:pt idx="85">
                  <c:v>7.1248593392356452E-2</c:v>
                </c:pt>
                <c:pt idx="86">
                  <c:v>6.5354418255888613E-2</c:v>
                </c:pt>
                <c:pt idx="87">
                  <c:v>5.9768005173492345E-2</c:v>
                </c:pt>
                <c:pt idx="88">
                  <c:v>5.4697353744454169E-2</c:v>
                </c:pt>
                <c:pt idx="89">
                  <c:v>4.9277021829658763E-2</c:v>
                </c:pt>
                <c:pt idx="90">
                  <c:v>4.4800224329018312E-2</c:v>
                </c:pt>
                <c:pt idx="91">
                  <c:v>4.0517434658064899E-2</c:v>
                </c:pt>
                <c:pt idx="92">
                  <c:v>3.6102803841050468E-2</c:v>
                </c:pt>
                <c:pt idx="93">
                  <c:v>3.1860226288416893E-2</c:v>
                </c:pt>
                <c:pt idx="94">
                  <c:v>2.8747910709264968E-2</c:v>
                </c:pt>
                <c:pt idx="95">
                  <c:v>2.532191785637361E-2</c:v>
                </c:pt>
                <c:pt idx="96">
                  <c:v>2.2427270985580838E-2</c:v>
                </c:pt>
                <c:pt idx="97">
                  <c:v>1.9760815088902817E-2</c:v>
                </c:pt>
                <c:pt idx="98">
                  <c:v>1.6977931743567543E-2</c:v>
                </c:pt>
                <c:pt idx="99">
                  <c:v>1.4698467718244568E-2</c:v>
                </c:pt>
                <c:pt idx="100">
                  <c:v>1.2341593943228091E-2</c:v>
                </c:pt>
                <c:pt idx="101">
                  <c:v>1.0734417384015815E-2</c:v>
                </c:pt>
                <c:pt idx="102">
                  <c:v>8.7475861009211897E-3</c:v>
                </c:pt>
                <c:pt idx="103">
                  <c:v>7.1555957306642659E-3</c:v>
                </c:pt>
                <c:pt idx="104">
                  <c:v>5.3558332695695654E-3</c:v>
                </c:pt>
                <c:pt idx="105">
                  <c:v>4.435390962964636E-3</c:v>
                </c:pt>
                <c:pt idx="106">
                  <c:v>3.6918364752772659E-3</c:v>
                </c:pt>
                <c:pt idx="107">
                  <c:v>2.7475057815518067E-3</c:v>
                </c:pt>
                <c:pt idx="108">
                  <c:v>2.135621808589061E-3</c:v>
                </c:pt>
                <c:pt idx="109">
                  <c:v>1.5485931336544079E-3</c:v>
                </c:pt>
                <c:pt idx="110">
                  <c:v>1.3842182794192581E-3</c:v>
                </c:pt>
                <c:pt idx="111">
                  <c:v>4.5359496973207403E-4</c:v>
                </c:pt>
                <c:pt idx="112">
                  <c:v>1.7631904779547014E-4</c:v>
                </c:pt>
                <c:pt idx="113">
                  <c:v>7.8831677498225616E-5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Table!$O$18:$O$136</c:f>
              <c:numCache>
                <c:formatCode>????0.00</c:formatCode>
                <c:ptCount val="119"/>
                <c:pt idx="0">
                  <c:v>0.6106827894561413</c:v>
                </c:pt>
                <c:pt idx="1">
                  <c:v>0.64209085090377338</c:v>
                </c:pt>
                <c:pt idx="2">
                  <c:v>0.72780186219716281</c:v>
                </c:pt>
                <c:pt idx="3">
                  <c:v>0.80967557179511873</c:v>
                </c:pt>
                <c:pt idx="4">
                  <c:v>0.8730075744964686</c:v>
                </c:pt>
                <c:pt idx="5">
                  <c:v>0.95284965807438138</c:v>
                </c:pt>
                <c:pt idx="6">
                  <c:v>1.0380769718282585</c:v>
                </c:pt>
                <c:pt idx="7">
                  <c:v>1.1350419483049052</c:v>
                </c:pt>
                <c:pt idx="8">
                  <c:v>1.2499359160100789</c:v>
                </c:pt>
                <c:pt idx="9">
                  <c:v>1.3662166118006431</c:v>
                </c:pt>
                <c:pt idx="10">
                  <c:v>1.5002004448291728</c:v>
                </c:pt>
                <c:pt idx="11">
                  <c:v>1.635699927717569</c:v>
                </c:pt>
                <c:pt idx="12">
                  <c:v>1.788128824488894</c:v>
                </c:pt>
                <c:pt idx="13">
                  <c:v>1.9447497023665974</c:v>
                </c:pt>
                <c:pt idx="14">
                  <c:v>2.1308761301545487</c:v>
                </c:pt>
                <c:pt idx="15">
                  <c:v>2.3334158993111607</c:v>
                </c:pt>
                <c:pt idx="16">
                  <c:v>2.5501763761294329</c:v>
                </c:pt>
                <c:pt idx="17">
                  <c:v>2.7887356172005133</c:v>
                </c:pt>
                <c:pt idx="18">
                  <c:v>3.0508667305168524</c:v>
                </c:pt>
                <c:pt idx="19">
                  <c:v>3.3370216167677564</c:v>
                </c:pt>
                <c:pt idx="20">
                  <c:v>3.6529077142112856</c:v>
                </c:pt>
                <c:pt idx="21">
                  <c:v>3.9963965609654037</c:v>
                </c:pt>
                <c:pt idx="22">
                  <c:v>4.3620063800544271</c:v>
                </c:pt>
                <c:pt idx="23">
                  <c:v>4.8048143264496073</c:v>
                </c:pt>
                <c:pt idx="24">
                  <c:v>5.2088944801254167</c:v>
                </c:pt>
                <c:pt idx="25">
                  <c:v>5.7331567067580949</c:v>
                </c:pt>
                <c:pt idx="26">
                  <c:v>6.2577415268892373</c:v>
                </c:pt>
                <c:pt idx="27">
                  <c:v>6.8203125986512871</c:v>
                </c:pt>
                <c:pt idx="28">
                  <c:v>7.466208761692104</c:v>
                </c:pt>
                <c:pt idx="29">
                  <c:v>8.1905926552001986</c:v>
                </c:pt>
                <c:pt idx="30">
                  <c:v>8.9561868082420073</c:v>
                </c:pt>
                <c:pt idx="31">
                  <c:v>9.8237767775877565</c:v>
                </c:pt>
                <c:pt idx="32">
                  <c:v>10.753989198104779</c:v>
                </c:pt>
                <c:pt idx="33">
                  <c:v>11.723026921681811</c:v>
                </c:pt>
                <c:pt idx="34">
                  <c:v>12.523711693195652</c:v>
                </c:pt>
                <c:pt idx="35">
                  <c:v>13.883687257779306</c:v>
                </c:pt>
                <c:pt idx="36">
                  <c:v>15.213025304585367</c:v>
                </c:pt>
                <c:pt idx="37">
                  <c:v>16.560763128711177</c:v>
                </c:pt>
                <c:pt idx="38">
                  <c:v>18.372401966118563</c:v>
                </c:pt>
                <c:pt idx="39">
                  <c:v>19.542609303670556</c:v>
                </c:pt>
                <c:pt idx="40">
                  <c:v>22.001960386036036</c:v>
                </c:pt>
                <c:pt idx="41">
                  <c:v>23.815393722044195</c:v>
                </c:pt>
                <c:pt idx="42">
                  <c:v>26.123888213704038</c:v>
                </c:pt>
                <c:pt idx="43">
                  <c:v>28.573440470376646</c:v>
                </c:pt>
                <c:pt idx="44">
                  <c:v>31.33364756815509</c:v>
                </c:pt>
                <c:pt idx="45">
                  <c:v>34.256592872374696</c:v>
                </c:pt>
                <c:pt idx="46">
                  <c:v>37.371885609948201</c:v>
                </c:pt>
                <c:pt idx="47">
                  <c:v>41.067621561598273</c:v>
                </c:pt>
                <c:pt idx="48">
                  <c:v>45.138216554292121</c:v>
                </c:pt>
                <c:pt idx="49">
                  <c:v>48.891700210914479</c:v>
                </c:pt>
                <c:pt idx="50">
                  <c:v>53.93970494149076</c:v>
                </c:pt>
                <c:pt idx="51">
                  <c:v>58.814851973516383</c:v>
                </c:pt>
                <c:pt idx="52">
                  <c:v>64.419465770086816</c:v>
                </c:pt>
                <c:pt idx="53">
                  <c:v>70.495027532777428</c:v>
                </c:pt>
                <c:pt idx="54">
                  <c:v>76.952527664325174</c:v>
                </c:pt>
                <c:pt idx="55">
                  <c:v>83.729571880047544</c:v>
                </c:pt>
                <c:pt idx="56">
                  <c:v>92.345755161734488</c:v>
                </c:pt>
                <c:pt idx="57">
                  <c:v>101.32408182771333</c:v>
                </c:pt>
                <c:pt idx="58">
                  <c:v>110.76608596548141</c:v>
                </c:pt>
                <c:pt idx="59">
                  <c:v>121.09418391233382</c:v>
                </c:pt>
                <c:pt idx="60">
                  <c:v>132.33504648080793</c:v>
                </c:pt>
                <c:pt idx="61">
                  <c:v>145.2304860924888</c:v>
                </c:pt>
                <c:pt idx="62">
                  <c:v>158.29372057333467</c:v>
                </c:pt>
                <c:pt idx="63">
                  <c:v>173.04120607424963</c:v>
                </c:pt>
                <c:pt idx="64">
                  <c:v>189.64003446494678</c:v>
                </c:pt>
                <c:pt idx="65">
                  <c:v>206.90360433732374</c:v>
                </c:pt>
                <c:pt idx="66">
                  <c:v>227.10320825371466</c:v>
                </c:pt>
                <c:pt idx="67">
                  <c:v>247.87329005861906</c:v>
                </c:pt>
                <c:pt idx="68">
                  <c:v>272.15333712669155</c:v>
                </c:pt>
                <c:pt idx="69">
                  <c:v>297.12538232185767</c:v>
                </c:pt>
                <c:pt idx="70">
                  <c:v>325.10404517266807</c:v>
                </c:pt>
                <c:pt idx="71">
                  <c:v>355.02394850983131</c:v>
                </c:pt>
                <c:pt idx="72">
                  <c:v>389.48234230818878</c:v>
                </c:pt>
                <c:pt idx="73">
                  <c:v>423.2838632853975</c:v>
                </c:pt>
                <c:pt idx="74">
                  <c:v>463.7911850338794</c:v>
                </c:pt>
                <c:pt idx="75">
                  <c:v>508.28429167451765</c:v>
                </c:pt>
                <c:pt idx="76">
                  <c:v>556.65657395710559</c:v>
                </c:pt>
                <c:pt idx="77">
                  <c:v>608.88242790160723</c:v>
                </c:pt>
                <c:pt idx="78">
                  <c:v>666.13100326306619</c:v>
                </c:pt>
                <c:pt idx="79">
                  <c:v>731.16629655297265</c:v>
                </c:pt>
                <c:pt idx="80">
                  <c:v>799.49784327268515</c:v>
                </c:pt>
                <c:pt idx="81">
                  <c:v>872.29010651423459</c:v>
                </c:pt>
                <c:pt idx="82">
                  <c:v>957.01520578470434</c:v>
                </c:pt>
                <c:pt idx="83">
                  <c:v>1046.0278617120291</c:v>
                </c:pt>
                <c:pt idx="84">
                  <c:v>1143.4149431095475</c:v>
                </c:pt>
                <c:pt idx="85">
                  <c:v>1252.2596822398309</c:v>
                </c:pt>
                <c:pt idx="86">
                  <c:v>1369.3106203048126</c:v>
                </c:pt>
                <c:pt idx="87">
                  <c:v>1498.4279889612133</c:v>
                </c:pt>
                <c:pt idx="88">
                  <c:v>1640.4536115526364</c:v>
                </c:pt>
                <c:pt idx="89">
                  <c:v>1792.999855274129</c:v>
                </c:pt>
                <c:pt idx="90">
                  <c:v>1958.4816835759998</c:v>
                </c:pt>
                <c:pt idx="91">
                  <c:v>2144.763810325881</c:v>
                </c:pt>
                <c:pt idx="92">
                  <c:v>2346.6099996066332</c:v>
                </c:pt>
                <c:pt idx="93">
                  <c:v>2568.9545675708109</c:v>
                </c:pt>
                <c:pt idx="94">
                  <c:v>2807.2284617810519</c:v>
                </c:pt>
                <c:pt idx="95">
                  <c:v>3073.7231713199562</c:v>
                </c:pt>
                <c:pt idx="96">
                  <c:v>3361.1282912210127</c:v>
                </c:pt>
                <c:pt idx="97">
                  <c:v>3676.6068185656709</c:v>
                </c:pt>
                <c:pt idx="98">
                  <c:v>4023.8954544403059</c:v>
                </c:pt>
                <c:pt idx="99">
                  <c:v>4403.6702623177689</c:v>
                </c:pt>
                <c:pt idx="100">
                  <c:v>4807.4640701335175</c:v>
                </c:pt>
                <c:pt idx="101">
                  <c:v>5252.2274033373542</c:v>
                </c:pt>
                <c:pt idx="102">
                  <c:v>5777.6238363356561</c:v>
                </c:pt>
                <c:pt idx="103">
                  <c:v>6302.6998002505043</c:v>
                </c:pt>
                <c:pt idx="104">
                  <c:v>6909.3860578645354</c:v>
                </c:pt>
                <c:pt idx="105">
                  <c:v>7555.4146314687741</c:v>
                </c:pt>
                <c:pt idx="106">
                  <c:v>8242.6069063096948</c:v>
                </c:pt>
                <c:pt idx="107">
                  <c:v>9011.0365151406077</c:v>
                </c:pt>
                <c:pt idx="108">
                  <c:v>9859.7704666889949</c:v>
                </c:pt>
                <c:pt idx="109">
                  <c:v>10790.463202331501</c:v>
                </c:pt>
                <c:pt idx="110">
                  <c:v>11840.016026628338</c:v>
                </c:pt>
                <c:pt idx="111">
                  <c:v>12930.127923299973</c:v>
                </c:pt>
                <c:pt idx="112">
                  <c:v>14140.818285952728</c:v>
                </c:pt>
                <c:pt idx="113">
                  <c:v>15474.331187503498</c:v>
                </c:pt>
                <c:pt idx="114">
                  <c:v>16928.709872144693</c:v>
                </c:pt>
                <c:pt idx="115">
                  <c:v>18502.288847841613</c:v>
                </c:pt>
                <c:pt idx="116">
                  <c:v>20239.337050743037</c:v>
                </c:pt>
                <c:pt idx="117">
                  <c:v>22137.435965401404</c:v>
                </c:pt>
                <c:pt idx="118">
                  <c:v>24031.274062048742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45952"/>
        <c:axId val="100035584"/>
      </c:scatterChart>
      <c:valAx>
        <c:axId val="1000192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14857000438896698"/>
              <c:y val="0.91764901989874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0033664"/>
        <c:crossesAt val="0"/>
        <c:crossBetween val="midCat"/>
        <c:majorUnit val="0.2"/>
        <c:minorUnit val="0.1"/>
      </c:valAx>
      <c:valAx>
        <c:axId val="10003366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Equivalent Gas-Water Capillary Pressure, psia</a:t>
                </a:r>
              </a:p>
            </c:rich>
          </c:tx>
          <c:layout>
            <c:manualLayout>
              <c:xMode val="edge"/>
              <c:yMode val="edge"/>
              <c:x val="3.1998164015806128E-3"/>
              <c:y val="0.14119338136716139"/>
            </c:manualLayout>
          </c:layout>
          <c:overlay val="0"/>
          <c:spPr>
            <a:noFill/>
            <a:ln w="25400">
              <a:noFill/>
            </a:ln>
          </c:spPr>
        </c:title>
        <c:numFmt formatCode="????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50"/>
            </a:pPr>
            <a:endParaRPr lang="en-US"/>
          </a:p>
        </c:txPr>
        <c:crossAx val="100019200"/>
        <c:crossesAt val="0"/>
        <c:crossBetween val="midCat"/>
        <c:majorUnit val="40"/>
        <c:minorUnit val="20"/>
      </c:valAx>
      <c:valAx>
        <c:axId val="100035584"/>
        <c:scaling>
          <c:orientation val="minMax"/>
          <c:max val="429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Estimated Height Above Free Water, ft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045952"/>
        <c:crosses val="max"/>
        <c:crossBetween val="midCat"/>
        <c:majorUnit val="85.8"/>
        <c:minorUnit val="42.9"/>
      </c:valAx>
      <c:valAx>
        <c:axId val="10004595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100035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575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1199" r="0.75000000000001199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9031174022717789"/>
          <c:y val="7.0234113712374549E-2"/>
          <c:w val="0.73356525323931165"/>
          <c:h val="0.7915273132664436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FF00"/>
              </a:solidFill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xVal>
            <c:numRef>
              <c:f>Table!$C$18:$C$136</c:f>
              <c:numCache>
                <c:formatCode>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0.99889231557394409</c:v>
                </c:pt>
                <c:pt idx="25">
                  <c:v>0.99589505172829829</c:v>
                </c:pt>
                <c:pt idx="26">
                  <c:v>0.98830449005955467</c:v>
                </c:pt>
                <c:pt idx="27">
                  <c:v>0.9673557040572125</c:v>
                </c:pt>
                <c:pt idx="28">
                  <c:v>0.91330749945866541</c:v>
                </c:pt>
                <c:pt idx="29">
                  <c:v>0.81087909356140719</c:v>
                </c:pt>
                <c:pt idx="30">
                  <c:v>0.73282000631661215</c:v>
                </c:pt>
                <c:pt idx="31">
                  <c:v>0.67470021453877871</c:v>
                </c:pt>
                <c:pt idx="32">
                  <c:v>0.63339446310573111</c:v>
                </c:pt>
                <c:pt idx="33">
                  <c:v>0.60318776822296316</c:v>
                </c:pt>
                <c:pt idx="34">
                  <c:v>0.57444072133483948</c:v>
                </c:pt>
                <c:pt idx="35">
                  <c:v>0.5471533224413605</c:v>
                </c:pt>
                <c:pt idx="36">
                  <c:v>0.5213255715425259</c:v>
                </c:pt>
                <c:pt idx="37">
                  <c:v>0.49839654489246443</c:v>
                </c:pt>
                <c:pt idx="38">
                  <c:v>0.47693402348388603</c:v>
                </c:pt>
                <c:pt idx="39">
                  <c:v>0.45693800731679091</c:v>
                </c:pt>
                <c:pt idx="40">
                  <c:v>0.43840849639117874</c:v>
                </c:pt>
                <c:pt idx="41">
                  <c:v>0.42194257241156463</c:v>
                </c:pt>
                <c:pt idx="42">
                  <c:v>0.40696773880517856</c:v>
                </c:pt>
                <c:pt idx="43">
                  <c:v>0.39481110923079921</c:v>
                </c:pt>
                <c:pt idx="44">
                  <c:v>0.38529266762833836</c:v>
                </c:pt>
                <c:pt idx="45">
                  <c:v>0.37705572424067779</c:v>
                </c:pt>
                <c:pt idx="46">
                  <c:v>0.36914798557838513</c:v>
                </c:pt>
                <c:pt idx="47">
                  <c:v>0.36136463716045675</c:v>
                </c:pt>
                <c:pt idx="48">
                  <c:v>0.35461571278196602</c:v>
                </c:pt>
                <c:pt idx="49">
                  <c:v>0.34858998088499782</c:v>
                </c:pt>
                <c:pt idx="50">
                  <c:v>0.34228611990941038</c:v>
                </c:pt>
                <c:pt idx="51">
                  <c:v>0.33629576557622576</c:v>
                </c:pt>
                <c:pt idx="52">
                  <c:v>0.33035352927995565</c:v>
                </c:pt>
                <c:pt idx="53">
                  <c:v>0.3245116810867047</c:v>
                </c:pt>
                <c:pt idx="54">
                  <c:v>0.31901376879087928</c:v>
                </c:pt>
                <c:pt idx="55">
                  <c:v>0.31325501805854095</c:v>
                </c:pt>
                <c:pt idx="56">
                  <c:v>0.30734793181760556</c:v>
                </c:pt>
                <c:pt idx="57">
                  <c:v>0.30144255189003599</c:v>
                </c:pt>
                <c:pt idx="58">
                  <c:v>0.29559785984117526</c:v>
                </c:pt>
                <c:pt idx="59">
                  <c:v>0.28956644023298794</c:v>
                </c:pt>
                <c:pt idx="60">
                  <c:v>0.28317322531414668</c:v>
                </c:pt>
                <c:pt idx="61">
                  <c:v>0.27666591490824799</c:v>
                </c:pt>
                <c:pt idx="62">
                  <c:v>0.26974806550654673</c:v>
                </c:pt>
                <c:pt idx="63">
                  <c:v>0.26244805878802668</c:v>
                </c:pt>
                <c:pt idx="64">
                  <c:v>0.25481839232724124</c:v>
                </c:pt>
                <c:pt idx="65">
                  <c:v>0.24678819724239909</c:v>
                </c:pt>
                <c:pt idx="66">
                  <c:v>0.23796661401851582</c:v>
                </c:pt>
                <c:pt idx="67">
                  <c:v>0.2290936138852111</c:v>
                </c:pt>
                <c:pt idx="68">
                  <c:v>0.21974489358553151</c:v>
                </c:pt>
                <c:pt idx="69">
                  <c:v>0.21024379950228922</c:v>
                </c:pt>
                <c:pt idx="70">
                  <c:v>0.2004212359809372</c:v>
                </c:pt>
                <c:pt idx="71">
                  <c:v>0.1905706320432744</c:v>
                </c:pt>
                <c:pt idx="72">
                  <c:v>0.18043513065064143</c:v>
                </c:pt>
                <c:pt idx="73">
                  <c:v>0.17094592388384744</c:v>
                </c:pt>
                <c:pt idx="74">
                  <c:v>0.16082048974007246</c:v>
                </c:pt>
                <c:pt idx="75">
                  <c:v>0.15097614228475076</c:v>
                </c:pt>
                <c:pt idx="76">
                  <c:v>0.14128098349470908</c:v>
                </c:pt>
                <c:pt idx="77">
                  <c:v>0.13203447136563873</c:v>
                </c:pt>
                <c:pt idx="78">
                  <c:v>0.12308428899108914</c:v>
                </c:pt>
                <c:pt idx="79">
                  <c:v>0.11410128852280477</c:v>
                </c:pt>
                <c:pt idx="80">
                  <c:v>0.10602024529966281</c:v>
                </c:pt>
                <c:pt idx="81">
                  <c:v>9.8331711027758506E-2</c:v>
                </c:pt>
                <c:pt idx="82">
                  <c:v>9.0515885778768346E-2</c:v>
                </c:pt>
                <c:pt idx="83">
                  <c:v>8.3765539472472783E-2</c:v>
                </c:pt>
                <c:pt idx="84">
                  <c:v>7.7497681708902921E-2</c:v>
                </c:pt>
                <c:pt idx="85">
                  <c:v>7.1248593392356452E-2</c:v>
                </c:pt>
                <c:pt idx="86">
                  <c:v>6.5354418255888613E-2</c:v>
                </c:pt>
                <c:pt idx="87">
                  <c:v>5.9768005173492345E-2</c:v>
                </c:pt>
                <c:pt idx="88">
                  <c:v>5.4697353744454169E-2</c:v>
                </c:pt>
                <c:pt idx="89">
                  <c:v>4.9277021829658763E-2</c:v>
                </c:pt>
                <c:pt idx="90">
                  <c:v>4.4800224329018312E-2</c:v>
                </c:pt>
                <c:pt idx="91">
                  <c:v>4.0517434658064899E-2</c:v>
                </c:pt>
                <c:pt idx="92">
                  <c:v>3.6102803841050468E-2</c:v>
                </c:pt>
                <c:pt idx="93">
                  <c:v>3.1860226288416893E-2</c:v>
                </c:pt>
                <c:pt idx="94">
                  <c:v>2.8747910709264968E-2</c:v>
                </c:pt>
                <c:pt idx="95">
                  <c:v>2.532191785637361E-2</c:v>
                </c:pt>
                <c:pt idx="96">
                  <c:v>2.2427270985580838E-2</c:v>
                </c:pt>
                <c:pt idx="97">
                  <c:v>1.9760815088902817E-2</c:v>
                </c:pt>
                <c:pt idx="98">
                  <c:v>1.6977931743567543E-2</c:v>
                </c:pt>
                <c:pt idx="99">
                  <c:v>1.4698467718244568E-2</c:v>
                </c:pt>
                <c:pt idx="100">
                  <c:v>1.2341593943228091E-2</c:v>
                </c:pt>
                <c:pt idx="101">
                  <c:v>1.0734417384015815E-2</c:v>
                </c:pt>
                <c:pt idx="102">
                  <c:v>8.7475861009211897E-3</c:v>
                </c:pt>
                <c:pt idx="103">
                  <c:v>7.1555957306642659E-3</c:v>
                </c:pt>
                <c:pt idx="104">
                  <c:v>5.3558332695695654E-3</c:v>
                </c:pt>
                <c:pt idx="105">
                  <c:v>4.435390962964636E-3</c:v>
                </c:pt>
                <c:pt idx="106">
                  <c:v>3.6918364752772659E-3</c:v>
                </c:pt>
                <c:pt idx="107">
                  <c:v>2.7475057815518067E-3</c:v>
                </c:pt>
                <c:pt idx="108">
                  <c:v>2.135621808589061E-3</c:v>
                </c:pt>
                <c:pt idx="109">
                  <c:v>1.5485931336544079E-3</c:v>
                </c:pt>
                <c:pt idx="110">
                  <c:v>1.3842182794192581E-3</c:v>
                </c:pt>
                <c:pt idx="111">
                  <c:v>4.5359496973207403E-4</c:v>
                </c:pt>
                <c:pt idx="112">
                  <c:v>1.7631904779547014E-4</c:v>
                </c:pt>
                <c:pt idx="113">
                  <c:v>7.8831677498225616E-5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xVal>
          <c:yVal>
            <c:numRef>
              <c:f>Table!$K$18:$K$136</c:f>
              <c:numCache>
                <c:formatCode>??0.000</c:formatCode>
                <c:ptCount val="119"/>
                <c:pt idx="0">
                  <c:v>1.4501348430897778E-2</c:v>
                </c:pt>
                <c:pt idx="1">
                  <c:v>1.5247168110860894E-2</c:v>
                </c:pt>
                <c:pt idx="2">
                  <c:v>1.7282472299205501E-2</c:v>
                </c:pt>
                <c:pt idx="3">
                  <c:v>1.9226655450768459E-2</c:v>
                </c:pt>
                <c:pt idx="4">
                  <c:v>2.073054495585298E-2</c:v>
                </c:pt>
                <c:pt idx="5">
                  <c:v>2.2626484866724385E-2</c:v>
                </c:pt>
                <c:pt idx="6">
                  <c:v>2.4650303113960544E-2</c:v>
                </c:pt>
                <c:pt idx="7">
                  <c:v>2.6952845340070964E-2</c:v>
                </c:pt>
                <c:pt idx="8">
                  <c:v>2.9681131591243758E-2</c:v>
                </c:pt>
                <c:pt idx="9">
                  <c:v>3.2442347257642203E-2</c:v>
                </c:pt>
                <c:pt idx="10">
                  <c:v>3.5623943792537645E-2</c:v>
                </c:pt>
                <c:pt idx="11">
                  <c:v>3.884153113493026E-2</c:v>
                </c:pt>
                <c:pt idx="12">
                  <c:v>4.2461126416118523E-2</c:v>
                </c:pt>
                <c:pt idx="13">
                  <c:v>4.6180264994889267E-2</c:v>
                </c:pt>
                <c:pt idx="14">
                  <c:v>5.0600045981275259E-2</c:v>
                </c:pt>
                <c:pt idx="15">
                  <c:v>5.5409580185226452E-2</c:v>
                </c:pt>
                <c:pt idx="16">
                  <c:v>6.0556801057765973E-2</c:v>
                </c:pt>
                <c:pt idx="17">
                  <c:v>6.6221658060307595E-2</c:v>
                </c:pt>
                <c:pt idx="18">
                  <c:v>7.2446255632747272E-2</c:v>
                </c:pt>
                <c:pt idx="19">
                  <c:v>7.9241324664287904E-2</c:v>
                </c:pt>
                <c:pt idx="20">
                  <c:v>8.6742394683937005E-2</c:v>
                </c:pt>
                <c:pt idx="21">
                  <c:v>9.4898922974745267E-2</c:v>
                </c:pt>
                <c:pt idx="22">
                  <c:v>0.10358073858819841</c:v>
                </c:pt>
                <c:pt idx="23">
                  <c:v>0.11409571040255961</c:v>
                </c:pt>
                <c:pt idx="24">
                  <c:v>0.12369104730026741</c:v>
                </c:pt>
                <c:pt idx="25">
                  <c:v>0.13614024244514675</c:v>
                </c:pt>
                <c:pt idx="26">
                  <c:v>0.14859709793481315</c:v>
                </c:pt>
                <c:pt idx="27">
                  <c:v>0.16195597961548147</c:v>
                </c:pt>
                <c:pt idx="28">
                  <c:v>0.17729350913514633</c:v>
                </c:pt>
                <c:pt idx="29">
                  <c:v>0.19449481793057893</c:v>
                </c:pt>
                <c:pt idx="30">
                  <c:v>0.2126747106041626</c:v>
                </c:pt>
                <c:pt idx="31">
                  <c:v>0.23327660844352879</c:v>
                </c:pt>
                <c:pt idx="32">
                  <c:v>0.25536554669030576</c:v>
                </c:pt>
                <c:pt idx="33">
                  <c:v>0.2783764353462464</c:v>
                </c:pt>
                <c:pt idx="34">
                  <c:v>0.29738959415063398</c:v>
                </c:pt>
                <c:pt idx="35">
                  <c:v>0.32968374073547213</c:v>
                </c:pt>
                <c:pt idx="36">
                  <c:v>0.36125036506485853</c:v>
                </c:pt>
                <c:pt idx="37">
                  <c:v>0.39325391276358085</c:v>
                </c:pt>
                <c:pt idx="38">
                  <c:v>0.43627331083043575</c:v>
                </c:pt>
                <c:pt idx="39">
                  <c:v>0.46406119781730726</c:v>
                </c:pt>
                <c:pt idx="40">
                  <c:v>0.52246125030781343</c:v>
                </c:pt>
                <c:pt idx="41">
                  <c:v>0.5655232607585734</c:v>
                </c:pt>
                <c:pt idx="42">
                  <c:v>0.62034105414060203</c:v>
                </c:pt>
                <c:pt idx="43">
                  <c:v>0.67850842251418308</c:v>
                </c:pt>
                <c:pt idx="44">
                  <c:v>0.74405263885270012</c:v>
                </c:pt>
                <c:pt idx="45">
                  <c:v>0.81346125660446844</c:v>
                </c:pt>
                <c:pt idx="46">
                  <c:v>0.88743738010392281</c:v>
                </c:pt>
                <c:pt idx="47">
                  <c:v>0.97519677936782223</c:v>
                </c:pt>
                <c:pt idx="48">
                  <c:v>1.0718576274043146</c:v>
                </c:pt>
                <c:pt idx="49">
                  <c:v>1.1609883107543979</c:v>
                </c:pt>
                <c:pt idx="50">
                  <c:v>1.2808588503255225</c:v>
                </c:pt>
                <c:pt idx="51">
                  <c:v>1.3966246897824044</c:v>
                </c:pt>
                <c:pt idx="52">
                  <c:v>1.5297125365138733</c:v>
                </c:pt>
                <c:pt idx="53">
                  <c:v>1.6739835714200297</c:v>
                </c:pt>
                <c:pt idx="54">
                  <c:v>1.8273241616854572</c:v>
                </c:pt>
                <c:pt idx="55">
                  <c:v>1.9882526849721744</c:v>
                </c:pt>
                <c:pt idx="56">
                  <c:v>2.1928536301265193</c:v>
                </c:pt>
                <c:pt idx="57">
                  <c:v>2.4060540765083984</c:v>
                </c:pt>
                <c:pt idx="58">
                  <c:v>2.6302650650147101</c:v>
                </c:pt>
                <c:pt idx="59">
                  <c:v>2.8755173458086882</c:v>
                </c:pt>
                <c:pt idx="60">
                  <c:v>3.1424442472765506</c:v>
                </c:pt>
                <c:pt idx="61">
                  <c:v>3.4486609381794082</c:v>
                </c:pt>
                <c:pt idx="62">
                  <c:v>3.7588621066288574</c:v>
                </c:pt>
                <c:pt idx="63">
                  <c:v>4.1090577064079792</c:v>
                </c:pt>
                <c:pt idx="64">
                  <c:v>4.5032155215521454</c:v>
                </c:pt>
                <c:pt idx="65">
                  <c:v>4.913158369464135</c:v>
                </c:pt>
                <c:pt idx="66">
                  <c:v>5.3928206419486431</c:v>
                </c:pt>
                <c:pt idx="67">
                  <c:v>5.8860295523543309</c:v>
                </c:pt>
                <c:pt idx="68">
                  <c:v>6.462586528466729</c:v>
                </c:pt>
                <c:pt idx="69">
                  <c:v>7.0555757769925194</c:v>
                </c:pt>
                <c:pt idx="70">
                  <c:v>7.7199605371910982</c:v>
                </c:pt>
                <c:pt idx="71">
                  <c:v>8.4304422321106269</c:v>
                </c:pt>
                <c:pt idx="72">
                  <c:v>9.248695478258405</c:v>
                </c:pt>
                <c:pt idx="73">
                  <c:v>10.051350541816584</c:v>
                </c:pt>
                <c:pt idx="74">
                  <c:v>11.013242373090154</c:v>
                </c:pt>
                <c:pt idx="75">
                  <c:v>12.069781141349196</c:v>
                </c:pt>
                <c:pt idx="76">
                  <c:v>13.21843529026054</c:v>
                </c:pt>
                <c:pt idx="77">
                  <c:v>14.458596824573418</c:v>
                </c:pt>
                <c:pt idx="78">
                  <c:v>15.818028517790717</c:v>
                </c:pt>
                <c:pt idx="79">
                  <c:v>17.362364570133803</c:v>
                </c:pt>
                <c:pt idx="80">
                  <c:v>18.984973860772552</c:v>
                </c:pt>
                <c:pt idx="81">
                  <c:v>20.71350787313504</c:v>
                </c:pt>
                <c:pt idx="82">
                  <c:v>22.72540047364155</c:v>
                </c:pt>
                <c:pt idx="83">
                  <c:v>24.839105920476413</c:v>
                </c:pt>
                <c:pt idx="84">
                  <c:v>27.151671501817464</c:v>
                </c:pt>
                <c:pt idx="85">
                  <c:v>29.736312029191904</c:v>
                </c:pt>
                <c:pt idx="86">
                  <c:v>32.515817963124306</c:v>
                </c:pt>
                <c:pt idx="87">
                  <c:v>35.581854838069866</c:v>
                </c:pt>
                <c:pt idx="88">
                  <c:v>38.954412694412291</c:v>
                </c:pt>
                <c:pt idx="89">
                  <c:v>42.576794510674183</c:v>
                </c:pt>
                <c:pt idx="90">
                  <c:v>46.506346305190206</c:v>
                </c:pt>
                <c:pt idx="91">
                  <c:v>50.929824538225787</c:v>
                </c:pt>
                <c:pt idx="92">
                  <c:v>55.722888909363334</c:v>
                </c:pt>
                <c:pt idx="93">
                  <c:v>61.002710295254133</c:v>
                </c:pt>
                <c:pt idx="94">
                  <c:v>66.660791416234758</c:v>
                </c:pt>
                <c:pt idx="95">
                  <c:v>72.989007479857904</c:v>
                </c:pt>
                <c:pt idx="96">
                  <c:v>79.813764713021271</c:v>
                </c:pt>
                <c:pt idx="97">
                  <c:v>87.305156523105936</c:v>
                </c:pt>
                <c:pt idx="98">
                  <c:v>95.551915072490189</c:v>
                </c:pt>
                <c:pt idx="99">
                  <c:v>104.5700942473331</c:v>
                </c:pt>
                <c:pt idx="100">
                  <c:v>114.15863154112186</c:v>
                </c:pt>
                <c:pt idx="101">
                  <c:v>124.72003621050878</c:v>
                </c:pt>
                <c:pt idx="102">
                  <c:v>137.19616435887934</c:v>
                </c:pt>
                <c:pt idx="103">
                  <c:v>149.66468260908223</c:v>
                </c:pt>
                <c:pt idx="104">
                  <c:v>164.07112890460263</c:v>
                </c:pt>
                <c:pt idx="105">
                  <c:v>179.41180266174931</c:v>
                </c:pt>
                <c:pt idx="106">
                  <c:v>195.72995471801445</c:v>
                </c:pt>
                <c:pt idx="107">
                  <c:v>213.97717847259159</c:v>
                </c:pt>
                <c:pt idx="108">
                  <c:v>234.13131900027352</c:v>
                </c:pt>
                <c:pt idx="109">
                  <c:v>256.23166286894042</c:v>
                </c:pt>
                <c:pt idx="110">
                  <c:v>281.15447298336295</c:v>
                </c:pt>
                <c:pt idx="111">
                  <c:v>307.04040380577976</c:v>
                </c:pt>
                <c:pt idx="112">
                  <c:v>335.78960567274754</c:v>
                </c:pt>
                <c:pt idx="113">
                  <c:v>367.45536661503138</c:v>
                </c:pt>
                <c:pt idx="114">
                  <c:v>401.99122126918883</c:v>
                </c:pt>
                <c:pt idx="115">
                  <c:v>439.35762065705819</c:v>
                </c:pt>
                <c:pt idx="116">
                  <c:v>480.60578036689947</c:v>
                </c:pt>
                <c:pt idx="117">
                  <c:v>525.67827003421598</c:v>
                </c:pt>
                <c:pt idx="118">
                  <c:v>570.64958179436769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69376"/>
        <c:axId val="100071680"/>
      </c:scatterChart>
      <c:valAx>
        <c:axId val="10006937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Wetting Phase Saturation (1- Hg), fraction pore space</a:t>
                </a:r>
              </a:p>
            </c:rich>
          </c:tx>
          <c:layout>
            <c:manualLayout>
              <c:xMode val="edge"/>
              <c:yMode val="edge"/>
              <c:x val="0.2027230117574878"/>
              <c:y val="0.916579315164220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0071680"/>
        <c:crossesAt val="0"/>
        <c:crossBetween val="midCat"/>
        <c:majorUnit val="0.2"/>
        <c:minorUnit val="0.1"/>
      </c:valAx>
      <c:valAx>
        <c:axId val="100071680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Leverett J Function.</a:t>
                </a:r>
              </a:p>
            </c:rich>
          </c:tx>
          <c:layout>
            <c:manualLayout>
              <c:xMode val="edge"/>
              <c:yMode val="edge"/>
              <c:x val="5.5363321799309036E-2"/>
              <c:y val="0.331103678929774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0069376"/>
        <c:crosses val="autoZero"/>
        <c:crossBetween val="midCat"/>
        <c:majorUnit val="0.4"/>
        <c:minorUnit val="0.2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619718309859155"/>
          <c:y val="5.369136314257017E-2"/>
          <c:w val="0.79577464788732399"/>
          <c:h val="0.81320051436523455"/>
        </c:manualLayout>
      </c:layout>
      <c:scatterChart>
        <c:scatterStyle val="lineMarker"/>
        <c:varyColors val="0"/>
        <c:ser>
          <c:idx val="2"/>
          <c:order val="0"/>
          <c:tx>
            <c:v>Uncorrected</c:v>
          </c:tx>
          <c:spPr>
            <a:ln w="12700">
              <a:solidFill>
                <a:srgbClr val="99CCFF"/>
              </a:solidFill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xVal>
            <c:numRef>
              <c:f>'Raw Data'!$D$18:$D$136</c:f>
              <c:numCache>
                <c:formatCode>0.000</c:formatCode>
                <c:ptCount val="119"/>
                <c:pt idx="0">
                  <c:v>0</c:v>
                </c:pt>
                <c:pt idx="1">
                  <c:v>3.4642238634717895E-4</c:v>
                </c:pt>
                <c:pt idx="2">
                  <c:v>9.5403082272123058E-4</c:v>
                </c:pt>
                <c:pt idx="3">
                  <c:v>1.3715256420890106E-3</c:v>
                </c:pt>
                <c:pt idx="4">
                  <c:v>3.2761870082208535E-3</c:v>
                </c:pt>
                <c:pt idx="5">
                  <c:v>4.9190259315228333E-3</c:v>
                </c:pt>
                <c:pt idx="6">
                  <c:v>5.34182131744383E-3</c:v>
                </c:pt>
                <c:pt idx="7">
                  <c:v>6.053057811865094E-3</c:v>
                </c:pt>
                <c:pt idx="8">
                  <c:v>6.3093035389744064E-3</c:v>
                </c:pt>
                <c:pt idx="9">
                  <c:v>6.504529549118036E-3</c:v>
                </c:pt>
                <c:pt idx="10">
                  <c:v>6.659444387270284E-3</c:v>
                </c:pt>
                <c:pt idx="11">
                  <c:v>6.8591812742429988E-3</c:v>
                </c:pt>
                <c:pt idx="12">
                  <c:v>7.0521161711992724E-3</c:v>
                </c:pt>
                <c:pt idx="13">
                  <c:v>7.3116624754377742E-3</c:v>
                </c:pt>
                <c:pt idx="14">
                  <c:v>7.3755278060719512E-3</c:v>
                </c:pt>
                <c:pt idx="15">
                  <c:v>7.3755278060719512E-3</c:v>
                </c:pt>
                <c:pt idx="16">
                  <c:v>7.4727516918625236E-3</c:v>
                </c:pt>
                <c:pt idx="17">
                  <c:v>7.537042036765404E-3</c:v>
                </c:pt>
                <c:pt idx="18">
                  <c:v>7.6664216653104722E-3</c:v>
                </c:pt>
                <c:pt idx="19">
                  <c:v>7.8924702387356792E-3</c:v>
                </c:pt>
                <c:pt idx="20">
                  <c:v>8.1507335724407774E-3</c:v>
                </c:pt>
                <c:pt idx="21">
                  <c:v>8.1507476661781854E-3</c:v>
                </c:pt>
                <c:pt idx="22">
                  <c:v>8.2798013770456966E-3</c:v>
                </c:pt>
                <c:pt idx="23">
                  <c:v>8.8289039567568586E-3</c:v>
                </c:pt>
                <c:pt idx="24">
                  <c:v>9.9268087434006818E-3</c:v>
                </c:pt>
                <c:pt idx="25">
                  <c:v>1.2897610034420271E-2</c:v>
                </c:pt>
                <c:pt idx="26">
                  <c:v>2.042115536321271E-2</c:v>
                </c:pt>
                <c:pt idx="27">
                  <c:v>4.1184986545929572E-2</c:v>
                </c:pt>
                <c:pt idx="28">
                  <c:v>9.4756004737040891E-2</c:v>
                </c:pt>
                <c:pt idx="29">
                  <c:v>0.19628008007618855</c:v>
                </c:pt>
                <c:pt idx="30">
                  <c:v>0.27364999113674721</c:v>
                </c:pt>
                <c:pt idx="31">
                  <c:v>0.33125664885498746</c:v>
                </c:pt>
                <c:pt idx="32">
                  <c:v>0.37219771577577093</c:v>
                </c:pt>
                <c:pt idx="33">
                  <c:v>0.40213771865056797</c:v>
                </c:pt>
                <c:pt idx="34">
                  <c:v>0.43063096062267592</c:v>
                </c:pt>
                <c:pt idx="35">
                  <c:v>0.45767744169209479</c:v>
                </c:pt>
                <c:pt idx="36">
                  <c:v>0.48327716185882447</c:v>
                </c:pt>
                <c:pt idx="37">
                  <c:v>0.50600375033477063</c:v>
                </c:pt>
                <c:pt idx="38">
                  <c:v>0.52727678120316279</c:v>
                </c:pt>
                <c:pt idx="39">
                  <c:v>0.54709625446400101</c:v>
                </c:pt>
                <c:pt idx="40">
                  <c:v>0.56546217011728506</c:v>
                </c:pt>
                <c:pt idx="41">
                  <c:v>0.58178271803552406</c:v>
                </c:pt>
                <c:pt idx="42">
                  <c:v>0.59662534027423086</c:v>
                </c:pt>
                <c:pt idx="43">
                  <c:v>0.60867464013366013</c:v>
                </c:pt>
                <c:pt idx="44">
                  <c:v>0.61810904432939484</c:v>
                </c:pt>
                <c:pt idx="45">
                  <c:v>0.62627326453498855</c:v>
                </c:pt>
                <c:pt idx="46">
                  <c:v>0.63411118653211662</c:v>
                </c:pt>
                <c:pt idx="47">
                  <c:v>0.64182581651440118</c:v>
                </c:pt>
                <c:pt idx="48">
                  <c:v>0.64851515528774284</c:v>
                </c:pt>
                <c:pt idx="49">
                  <c:v>0.65448768657652345</c:v>
                </c:pt>
                <c:pt idx="50">
                  <c:v>0.66073589136900068</c:v>
                </c:pt>
                <c:pt idx="51">
                  <c:v>0.66667335743911083</c:v>
                </c:pt>
                <c:pt idx="52">
                  <c:v>0.67256313030183279</c:v>
                </c:pt>
                <c:pt idx="53">
                  <c:v>0.67835340137845557</c:v>
                </c:pt>
                <c:pt idx="54">
                  <c:v>0.68380277313465843</c:v>
                </c:pt>
                <c:pt idx="55">
                  <c:v>0.68951068040987007</c:v>
                </c:pt>
                <c:pt idx="56">
                  <c:v>0.69536561355371995</c:v>
                </c:pt>
                <c:pt idx="57">
                  <c:v>0.70121885544908091</c:v>
                </c:pt>
                <c:pt idx="58">
                  <c:v>0.70701194527318534</c:v>
                </c:pt>
                <c:pt idx="59">
                  <c:v>0.71299011405692914</c:v>
                </c:pt>
                <c:pt idx="60">
                  <c:v>0.71932688389527699</c:v>
                </c:pt>
                <c:pt idx="61">
                  <c:v>0.72577674188258523</c:v>
                </c:pt>
                <c:pt idx="62">
                  <c:v>0.7326335142563315</c:v>
                </c:pt>
                <c:pt idx="63">
                  <c:v>0.73986906991665002</c:v>
                </c:pt>
                <c:pt idx="64">
                  <c:v>0.74743137478503108</c:v>
                </c:pt>
                <c:pt idx="65">
                  <c:v>0.75539067204871524</c:v>
                </c:pt>
                <c:pt idx="66">
                  <c:v>0.76413437036156828</c:v>
                </c:pt>
                <c:pt idx="67">
                  <c:v>0.77292903162888782</c:v>
                </c:pt>
                <c:pt idx="68">
                  <c:v>0.78219521297492289</c:v>
                </c:pt>
                <c:pt idx="69">
                  <c:v>0.79161242281102018</c:v>
                </c:pt>
                <c:pt idx="70">
                  <c:v>0.80134826386243307</c:v>
                </c:pt>
                <c:pt idx="71">
                  <c:v>0.81111189776401404</c:v>
                </c:pt>
                <c:pt idx="72">
                  <c:v>0.82115791378829794</c:v>
                </c:pt>
                <c:pt idx="73">
                  <c:v>0.83056334125992215</c:v>
                </c:pt>
                <c:pt idx="74">
                  <c:v>0.84059937891812131</c:v>
                </c:pt>
                <c:pt idx="75">
                  <c:v>0.8503568115752429</c:v>
                </c:pt>
                <c:pt idx="76">
                  <c:v>0.85996637273948184</c:v>
                </c:pt>
                <c:pt idx="77">
                  <c:v>0.86913124830102961</c:v>
                </c:pt>
                <c:pt idx="78">
                  <c:v>0.87800241037499893</c:v>
                </c:pt>
                <c:pt idx="79">
                  <c:v>0.88690610079490528</c:v>
                </c:pt>
                <c:pt idx="80">
                  <c:v>0.89491579726355974</c:v>
                </c:pt>
                <c:pt idx="81">
                  <c:v>0.9025364502048091</c:v>
                </c:pt>
                <c:pt idx="82">
                  <c:v>0.91028327028333322</c:v>
                </c:pt>
                <c:pt idx="83">
                  <c:v>0.91697401843041559</c:v>
                </c:pt>
                <c:pt idx="84">
                  <c:v>0.92318653787977634</c:v>
                </c:pt>
                <c:pt idx="85">
                  <c:v>0.9293804535957586</c:v>
                </c:pt>
                <c:pt idx="86">
                  <c:v>0.93522258962604232</c:v>
                </c:pt>
                <c:pt idx="87">
                  <c:v>0.94075968080387129</c:v>
                </c:pt>
                <c:pt idx="88">
                  <c:v>0.94578556393844437</c:v>
                </c:pt>
                <c:pt idx="89">
                  <c:v>0.95115804026335038</c:v>
                </c:pt>
                <c:pt idx="90">
                  <c:v>0.95559531254882379</c:v>
                </c:pt>
                <c:pt idx="91">
                  <c:v>0.95984028988110526</c:v>
                </c:pt>
                <c:pt idx="92">
                  <c:v>0.96421594434663183</c:v>
                </c:pt>
                <c:pt idx="93">
                  <c:v>0.96842106458952404</c:v>
                </c:pt>
                <c:pt idx="94">
                  <c:v>0.97150590183334451</c:v>
                </c:pt>
                <c:pt idx="95">
                  <c:v>0.97490164692438119</c:v>
                </c:pt>
                <c:pt idx="96">
                  <c:v>0.97777073723596297</c:v>
                </c:pt>
                <c:pt idx="97">
                  <c:v>0.98041365124962443</c:v>
                </c:pt>
                <c:pt idx="98">
                  <c:v>0.98317196478518076</c:v>
                </c:pt>
                <c:pt idx="99">
                  <c:v>0.98543130364155129</c:v>
                </c:pt>
                <c:pt idx="100">
                  <c:v>0.98776736880436999</c:v>
                </c:pt>
                <c:pt idx="101">
                  <c:v>0.98936035575609937</c:v>
                </c:pt>
                <c:pt idx="102">
                  <c:v>0.99132964549661728</c:v>
                </c:pt>
                <c:pt idx="103">
                  <c:v>0.99290758033679505</c:v>
                </c:pt>
                <c:pt idx="104">
                  <c:v>0.99469145286797589</c:v>
                </c:pt>
                <c:pt idx="105">
                  <c:v>0.99560376867785805</c:v>
                </c:pt>
                <c:pt idx="106">
                  <c:v>0.99634075839438696</c:v>
                </c:pt>
                <c:pt idx="107">
                  <c:v>0.99727675168311414</c:v>
                </c:pt>
                <c:pt idx="108">
                  <c:v>0.99788323339124685</c:v>
                </c:pt>
                <c:pt idx="109">
                  <c:v>0.99846507924639072</c:v>
                </c:pt>
                <c:pt idx="110">
                  <c:v>0.99862800285082498</c:v>
                </c:pt>
                <c:pt idx="111">
                  <c:v>0.99955040977669096</c:v>
                </c:pt>
                <c:pt idx="112">
                  <c:v>0.99982523765614317</c:v>
                </c:pt>
                <c:pt idx="113">
                  <c:v>0.99992186431981112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yVal>
          <c:smooth val="0"/>
        </c:ser>
        <c:ser>
          <c:idx val="0"/>
          <c:order val="1"/>
          <c:tx>
            <c:v>Conformance Corrected</c:v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Table!$B$18:$B$136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1.107684426055866E-3</c:v>
                </c:pt>
                <c:pt idx="25">
                  <c:v>4.1049482717017208E-3</c:v>
                </c:pt>
                <c:pt idx="26">
                  <c:v>1.1695509940445336E-2</c:v>
                </c:pt>
                <c:pt idx="27">
                  <c:v>3.2644295942787525E-2</c:v>
                </c:pt>
                <c:pt idx="28">
                  <c:v>8.669250054133458E-2</c:v>
                </c:pt>
                <c:pt idx="29">
                  <c:v>0.18912090643859283</c:v>
                </c:pt>
                <c:pt idx="30">
                  <c:v>0.26717999368338791</c:v>
                </c:pt>
                <c:pt idx="31">
                  <c:v>0.32529978546122129</c:v>
                </c:pt>
                <c:pt idx="32">
                  <c:v>0.36660553689426884</c:v>
                </c:pt>
                <c:pt idx="33">
                  <c:v>0.39681223177703689</c:v>
                </c:pt>
                <c:pt idx="34">
                  <c:v>0.42555927866516047</c:v>
                </c:pt>
                <c:pt idx="35">
                  <c:v>0.45284667755863955</c:v>
                </c:pt>
                <c:pt idx="36">
                  <c:v>0.4786744284574741</c:v>
                </c:pt>
                <c:pt idx="37">
                  <c:v>0.50160345510753557</c:v>
                </c:pt>
                <c:pt idx="38">
                  <c:v>0.52306597651611397</c:v>
                </c:pt>
                <c:pt idx="39">
                  <c:v>0.54306199268320909</c:v>
                </c:pt>
                <c:pt idx="40">
                  <c:v>0.56159150360882126</c:v>
                </c:pt>
                <c:pt idx="41">
                  <c:v>0.57805742758843537</c:v>
                </c:pt>
                <c:pt idx="42">
                  <c:v>0.59303226119482144</c:v>
                </c:pt>
                <c:pt idx="43">
                  <c:v>0.60518889076920079</c:v>
                </c:pt>
                <c:pt idx="44">
                  <c:v>0.61470733237166164</c:v>
                </c:pt>
                <c:pt idx="45">
                  <c:v>0.62294427575932221</c:v>
                </c:pt>
                <c:pt idx="46">
                  <c:v>0.63085201442161487</c:v>
                </c:pt>
                <c:pt idx="47">
                  <c:v>0.63863536283954325</c:v>
                </c:pt>
                <c:pt idx="48">
                  <c:v>0.64538428721803398</c:v>
                </c:pt>
                <c:pt idx="49">
                  <c:v>0.65141001911500218</c:v>
                </c:pt>
                <c:pt idx="50">
                  <c:v>0.65771388009058962</c:v>
                </c:pt>
                <c:pt idx="51">
                  <c:v>0.66370423442377424</c:v>
                </c:pt>
                <c:pt idx="52">
                  <c:v>0.66964647072004435</c:v>
                </c:pt>
                <c:pt idx="53">
                  <c:v>0.6754883189132953</c:v>
                </c:pt>
                <c:pt idx="54">
                  <c:v>0.68098623120912072</c:v>
                </c:pt>
                <c:pt idx="55">
                  <c:v>0.68674498194145905</c:v>
                </c:pt>
                <c:pt idx="56">
                  <c:v>0.69265206818239444</c:v>
                </c:pt>
                <c:pt idx="57">
                  <c:v>0.69855744810996401</c:v>
                </c:pt>
                <c:pt idx="58">
                  <c:v>0.70440214015882474</c:v>
                </c:pt>
                <c:pt idx="59">
                  <c:v>0.71043355976701206</c:v>
                </c:pt>
                <c:pt idx="60">
                  <c:v>0.71682677468585332</c:v>
                </c:pt>
                <c:pt idx="61">
                  <c:v>0.72333408509175201</c:v>
                </c:pt>
                <c:pt idx="62">
                  <c:v>0.73025193449345327</c:v>
                </c:pt>
                <c:pt idx="63">
                  <c:v>0.73755194121197332</c:v>
                </c:pt>
                <c:pt idx="64">
                  <c:v>0.74518160767275876</c:v>
                </c:pt>
                <c:pt idx="65">
                  <c:v>0.75321180275760091</c:v>
                </c:pt>
                <c:pt idx="66">
                  <c:v>0.76203338598148418</c:v>
                </c:pt>
                <c:pt idx="67">
                  <c:v>0.7709063861147889</c:v>
                </c:pt>
                <c:pt idx="68">
                  <c:v>0.78025510641446849</c:v>
                </c:pt>
                <c:pt idx="69">
                  <c:v>0.78975620049771078</c:v>
                </c:pt>
                <c:pt idx="70">
                  <c:v>0.7995787640190628</c:v>
                </c:pt>
                <c:pt idx="71">
                  <c:v>0.8094293679567256</c:v>
                </c:pt>
                <c:pt idx="72">
                  <c:v>0.81956486934935857</c:v>
                </c:pt>
                <c:pt idx="73">
                  <c:v>0.82905407611615256</c:v>
                </c:pt>
                <c:pt idx="74">
                  <c:v>0.83917951025992754</c:v>
                </c:pt>
                <c:pt idx="75">
                  <c:v>0.84902385771524924</c:v>
                </c:pt>
                <c:pt idx="76">
                  <c:v>0.85871901650529092</c:v>
                </c:pt>
                <c:pt idx="77">
                  <c:v>0.86796552863436127</c:v>
                </c:pt>
                <c:pt idx="78">
                  <c:v>0.87691571100891086</c:v>
                </c:pt>
                <c:pt idx="79">
                  <c:v>0.88589871147719523</c:v>
                </c:pt>
                <c:pt idx="80">
                  <c:v>0.89397975470033719</c:v>
                </c:pt>
                <c:pt idx="81">
                  <c:v>0.90166828897224149</c:v>
                </c:pt>
                <c:pt idx="82">
                  <c:v>0.90948411422123165</c:v>
                </c:pt>
                <c:pt idx="83">
                  <c:v>0.91623446052752722</c:v>
                </c:pt>
                <c:pt idx="84">
                  <c:v>0.92250231829109708</c:v>
                </c:pt>
                <c:pt idx="85">
                  <c:v>0.92875140660764355</c:v>
                </c:pt>
                <c:pt idx="86">
                  <c:v>0.93464558174411139</c:v>
                </c:pt>
                <c:pt idx="87">
                  <c:v>0.94023199482650766</c:v>
                </c:pt>
                <c:pt idx="88">
                  <c:v>0.94530264625554583</c:v>
                </c:pt>
                <c:pt idx="89">
                  <c:v>0.95072297817034124</c:v>
                </c:pt>
                <c:pt idx="90">
                  <c:v>0.95519977567098169</c:v>
                </c:pt>
                <c:pt idx="91">
                  <c:v>0.9594825653419351</c:v>
                </c:pt>
                <c:pt idx="92">
                  <c:v>0.96389719615894953</c:v>
                </c:pt>
                <c:pt idx="93">
                  <c:v>0.96813977371158311</c:v>
                </c:pt>
                <c:pt idx="94">
                  <c:v>0.97125208929073503</c:v>
                </c:pt>
                <c:pt idx="95">
                  <c:v>0.97467808214362639</c:v>
                </c:pt>
                <c:pt idx="96">
                  <c:v>0.97757272901441916</c:v>
                </c:pt>
                <c:pt idx="97">
                  <c:v>0.98023918491109718</c:v>
                </c:pt>
                <c:pt idx="98">
                  <c:v>0.98302206825643246</c:v>
                </c:pt>
                <c:pt idx="99">
                  <c:v>0.98530153228175543</c:v>
                </c:pt>
                <c:pt idx="100">
                  <c:v>0.98765840605677191</c:v>
                </c:pt>
                <c:pt idx="101">
                  <c:v>0.98926558261598418</c:v>
                </c:pt>
                <c:pt idx="102">
                  <c:v>0.99125241389907881</c:v>
                </c:pt>
                <c:pt idx="103">
                  <c:v>0.99284440426933573</c:v>
                </c:pt>
                <c:pt idx="104">
                  <c:v>0.99464416673043043</c:v>
                </c:pt>
                <c:pt idx="105">
                  <c:v>0.99556460903703536</c:v>
                </c:pt>
                <c:pt idx="106">
                  <c:v>0.99630816352472273</c:v>
                </c:pt>
                <c:pt idx="107">
                  <c:v>0.99725249421844819</c:v>
                </c:pt>
                <c:pt idx="108">
                  <c:v>0.99786437819141094</c:v>
                </c:pt>
                <c:pt idx="109">
                  <c:v>0.99845140686634559</c:v>
                </c:pt>
                <c:pt idx="110">
                  <c:v>0.99861578172058074</c:v>
                </c:pt>
                <c:pt idx="111">
                  <c:v>0.99954640503026793</c:v>
                </c:pt>
                <c:pt idx="112">
                  <c:v>0.99982368095220453</c:v>
                </c:pt>
                <c:pt idx="113">
                  <c:v>0.99992116832250177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xVal>
          <c:y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6064"/>
        <c:axId val="102159104"/>
      </c:scatterChart>
      <c:valAx>
        <c:axId val="102136064"/>
        <c:scaling>
          <c:orientation val="maxMin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Mercury Saturation, fraction pore space</a:t>
                </a:r>
              </a:p>
            </c:rich>
          </c:tx>
          <c:layout>
            <c:manualLayout>
              <c:xMode val="edge"/>
              <c:yMode val="edge"/>
              <c:x val="0.26547320428824939"/>
              <c:y val="0.94071717207034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2159104"/>
        <c:crossesAt val="1.0000000000000041E-3"/>
        <c:crossBetween val="midCat"/>
        <c:majorUnit val="0.2"/>
        <c:minorUnit val="0.1"/>
      </c:valAx>
      <c:valAx>
        <c:axId val="102159104"/>
        <c:scaling>
          <c:logBase val="10"/>
          <c:orientation val="minMax"/>
          <c:max val="1000"/>
          <c:min val="1.0000000000000041E-3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Throat Radius, microns.</a:t>
                </a:r>
              </a:p>
            </c:rich>
          </c:tx>
          <c:layout>
            <c:manualLayout>
              <c:xMode val="edge"/>
              <c:yMode val="edge"/>
              <c:x val="1.7605633802816906E-2"/>
              <c:y val="0.28859095633180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75"/>
            </a:pPr>
            <a:endParaRPr lang="en-US"/>
          </a:p>
        </c:txPr>
        <c:crossAx val="102136064"/>
        <c:crosses val="max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901411284906759"/>
          <c:y val="6.0402679443359433E-2"/>
          <c:w val="0.4260563032526869"/>
          <c:h val="9.3959729633634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505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3175">
      <a:solidFill>
        <a:sysClr val="windowText" lastClr="000000"/>
      </a:solidFill>
    </a:ln>
  </c:spPr>
  <c:txPr>
    <a:bodyPr/>
    <a:lstStyle/>
    <a:p>
      <a:pPr>
        <a:defRPr sz="600"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1" l="0.75000000000000921" r="0.7500000000000092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Data V.S. Pore Size Distrubition</a:t>
            </a:r>
          </a:p>
        </c:rich>
      </c:tx>
      <c:layout>
        <c:manualLayout>
          <c:xMode val="edge"/>
          <c:yMode val="edge"/>
          <c:x val="0.30823972597678045"/>
          <c:y val="5.7352337884121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278"/>
        </c:manualLayout>
      </c:layout>
      <c:scatterChart>
        <c:scatterStyle val="line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1.0814230841070971E-2</c:v>
                </c:pt>
                <c:pt idx="25">
                  <c:v>2.9262037414233385E-2</c:v>
                </c:pt>
                <c:pt idx="26">
                  <c:v>7.410602168657586E-2</c:v>
                </c:pt>
                <c:pt idx="27">
                  <c:v>0.20452125383416647</c:v>
                </c:pt>
                <c:pt idx="28">
                  <c:v>0.52766812218829806</c:v>
                </c:pt>
                <c:pt idx="29">
                  <c:v>1</c:v>
                </c:pt>
                <c:pt idx="30">
                  <c:v>0.76208437064902634</c:v>
                </c:pt>
                <c:pt idx="31">
                  <c:v>0.56741868887553493</c:v>
                </c:pt>
                <c:pt idx="32">
                  <c:v>0.40326461269425257</c:v>
                </c:pt>
                <c:pt idx="33">
                  <c:v>0.29490544754808701</c:v>
                </c:pt>
                <c:pt idx="34">
                  <c:v>0.28065502568651279</c:v>
                </c:pt>
                <c:pt idx="35">
                  <c:v>0.26640460382493858</c:v>
                </c:pt>
                <c:pt idx="36">
                  <c:v>0.25215418196336381</c:v>
                </c:pt>
                <c:pt idx="37">
                  <c:v>0.22385417843035296</c:v>
                </c:pt>
                <c:pt idx="38">
                  <c:v>0.20953680983873343</c:v>
                </c:pt>
                <c:pt idx="39">
                  <c:v>0.19521944124711174</c:v>
                </c:pt>
                <c:pt idx="40">
                  <c:v>0.1809020726554933</c:v>
                </c:pt>
                <c:pt idx="41">
                  <c:v>0.16075544508747311</c:v>
                </c:pt>
                <c:pt idx="42">
                  <c:v>0.14619805390124607</c:v>
                </c:pt>
                <c:pt idx="43">
                  <c:v>0.11868416254152359</c:v>
                </c:pt>
                <c:pt idx="44">
                  <c:v>9.2927752990790535E-2</c:v>
                </c:pt>
                <c:pt idx="45">
                  <c:v>8.0416592599544187E-2</c:v>
                </c:pt>
                <c:pt idx="46">
                  <c:v>7.7202594270817729E-2</c:v>
                </c:pt>
                <c:pt idx="47">
                  <c:v>7.5988182670103641E-2</c:v>
                </c:pt>
                <c:pt idx="48">
                  <c:v>6.5889186884937931E-2</c:v>
                </c:pt>
                <c:pt idx="49">
                  <c:v>5.8828718890855003E-2</c:v>
                </c:pt>
                <c:pt idx="50">
                  <c:v>6.1544069932227434E-2</c:v>
                </c:pt>
                <c:pt idx="51">
                  <c:v>5.8483330680683461E-2</c:v>
                </c:pt>
                <c:pt idx="52">
                  <c:v>5.8013558291930493E-2</c:v>
                </c:pt>
                <c:pt idx="53">
                  <c:v>5.7033477599081964E-2</c:v>
                </c:pt>
                <c:pt idx="54">
                  <c:v>5.3675660063870805E-2</c:v>
                </c:pt>
                <c:pt idx="55">
                  <c:v>5.6222204005739414E-2</c:v>
                </c:pt>
                <c:pt idx="56">
                  <c:v>5.7670391227805942E-2</c:v>
                </c:pt>
                <c:pt idx="57">
                  <c:v>5.7653732632459501E-2</c:v>
                </c:pt>
                <c:pt idx="58">
                  <c:v>5.706124192466009E-2</c:v>
                </c:pt>
                <c:pt idx="59">
                  <c:v>5.8884247542006919E-2</c:v>
                </c:pt>
                <c:pt idx="60">
                  <c:v>6.2416425041838822E-2</c:v>
                </c:pt>
                <c:pt idx="61">
                  <c:v>6.3530329783965486E-2</c:v>
                </c:pt>
                <c:pt idx="62">
                  <c:v>6.7538387824177121E-2</c:v>
                </c:pt>
                <c:pt idx="63">
                  <c:v>7.1269357895136873E-2</c:v>
                </c:pt>
                <c:pt idx="64">
                  <c:v>7.4487798515955148E-2</c:v>
                </c:pt>
                <c:pt idx="65">
                  <c:v>7.8398126130137288E-2</c:v>
                </c:pt>
                <c:pt idx="66">
                  <c:v>8.6124382651545275E-2</c:v>
                </c:pt>
                <c:pt idx="67">
                  <c:v>8.6626361657964918E-2</c:v>
                </c:pt>
                <c:pt idx="68">
                  <c:v>9.1270778040389605E-2</c:v>
                </c:pt>
                <c:pt idx="69">
                  <c:v>9.2758390604774699E-2</c:v>
                </c:pt>
                <c:pt idx="70">
                  <c:v>9.5896869967932868E-2</c:v>
                </c:pt>
                <c:pt idx="71">
                  <c:v>9.6170626218116992E-2</c:v>
                </c:pt>
                <c:pt idx="72">
                  <c:v>9.8952056354362092E-2</c:v>
                </c:pt>
                <c:pt idx="73">
                  <c:v>9.2642335723863795E-2</c:v>
                </c:pt>
                <c:pt idx="74">
                  <c:v>9.8853770641821659E-2</c:v>
                </c:pt>
                <c:pt idx="75">
                  <c:v>9.6109544701849237E-2</c:v>
                </c:pt>
                <c:pt idx="76">
                  <c:v>9.4653028182108953E-2</c:v>
                </c:pt>
                <c:pt idx="77">
                  <c:v>9.0272928179172762E-2</c:v>
                </c:pt>
                <c:pt idx="78">
                  <c:v>8.7379885454110739E-2</c:v>
                </c:pt>
                <c:pt idx="79">
                  <c:v>8.7700285771262071E-2</c:v>
                </c:pt>
                <c:pt idx="80">
                  <c:v>7.8894552271444346E-2</c:v>
                </c:pt>
                <c:pt idx="81">
                  <c:v>7.5062520055387327E-2</c:v>
                </c:pt>
                <c:pt idx="82">
                  <c:v>7.6305251268187213E-2</c:v>
                </c:pt>
                <c:pt idx="83">
                  <c:v>6.5903069047726456E-2</c:v>
                </c:pt>
                <c:pt idx="84">
                  <c:v>6.1192573570430196E-2</c:v>
                </c:pt>
                <c:pt idx="85">
                  <c:v>6.1009329021625841E-2</c:v>
                </c:pt>
                <c:pt idx="86">
                  <c:v>5.7544341189689555E-2</c:v>
                </c:pt>
                <c:pt idx="87">
                  <c:v>5.453968587580843E-2</c:v>
                </c:pt>
                <c:pt idx="88">
                  <c:v>4.9504347789267933E-2</c:v>
                </c:pt>
                <c:pt idx="89">
                  <c:v>5.2918249262146284E-2</c:v>
                </c:pt>
                <c:pt idx="90">
                  <c:v>4.3706601322400181E-2</c:v>
                </c:pt>
                <c:pt idx="91">
                  <c:v>4.1812519031579037E-2</c:v>
                </c:pt>
                <c:pt idx="92">
                  <c:v>4.3099673165299154E-2</c:v>
                </c:pt>
                <c:pt idx="93">
                  <c:v>4.1419931467928252E-2</c:v>
                </c:pt>
                <c:pt idx="94">
                  <c:v>3.0385277910834244E-2</c:v>
                </c:pt>
                <c:pt idx="95">
                  <c:v>3.3447683021913185E-2</c:v>
                </c:pt>
                <c:pt idx="96">
                  <c:v>2.8260196431215318E-2</c:v>
                </c:pt>
                <c:pt idx="97">
                  <c:v>2.6032386946963079E-2</c:v>
                </c:pt>
                <c:pt idx="98">
                  <c:v>2.7169058436061874E-2</c:v>
                </c:pt>
                <c:pt idx="99">
                  <c:v>2.2254217522524093E-2</c:v>
                </c:pt>
                <c:pt idx="100">
                  <c:v>2.3009962464714727E-2</c:v>
                </c:pt>
                <c:pt idx="101">
                  <c:v>1.5690730956258059E-2</c:v>
                </c:pt>
                <c:pt idx="102">
                  <c:v>1.9397268420710705E-2</c:v>
                </c:pt>
                <c:pt idx="103">
                  <c:v>1.5542469457679389E-2</c:v>
                </c:pt>
                <c:pt idx="104">
                  <c:v>1.7570931084292855E-2</c:v>
                </c:pt>
                <c:pt idx="105">
                  <c:v>8.9862016160652484E-3</c:v>
                </c:pt>
                <c:pt idx="106">
                  <c:v>7.2592605652107792E-3</c:v>
                </c:pt>
                <c:pt idx="107">
                  <c:v>9.2194219509056773E-3</c:v>
                </c:pt>
                <c:pt idx="108">
                  <c:v>5.9737722910234636E-3</c:v>
                </c:pt>
                <c:pt idx="109">
                  <c:v>5.7311120854841536E-3</c:v>
                </c:pt>
                <c:pt idx="110">
                  <c:v>1.6047780183167885E-3</c:v>
                </c:pt>
                <c:pt idx="111">
                  <c:v>9.085597901627546E-3</c:v>
                </c:pt>
                <c:pt idx="112">
                  <c:v>2.7070217437019182E-3</c:v>
                </c:pt>
                <c:pt idx="113">
                  <c:v>9.517610807594733E-4</c:v>
                </c:pt>
                <c:pt idx="114">
                  <c:v>7.6962710497807077E-4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Conformance Point</c:v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Table!$AE$17</c:f>
              <c:numCache>
                <c:formatCode>General</c:formatCode>
                <c:ptCount val="1"/>
                <c:pt idx="0">
                  <c:v>9.1874817932378487</c:v>
                </c:pt>
              </c:numCache>
            </c:numRef>
          </c:xVal>
          <c:yVal>
            <c:numRef>
              <c:f>Table!$AD$17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73312"/>
        <c:axId val="103775616"/>
      </c:scatterChart>
      <c:valAx>
        <c:axId val="10377331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40741869092575211"/>
              <c:y val="0.92577471756898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3775616"/>
        <c:crosses val="autoZero"/>
        <c:crossBetween val="midCat"/>
      </c:valAx>
      <c:valAx>
        <c:axId val="1037756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Dristubition Function</a:t>
                </a:r>
              </a:p>
            </c:rich>
          </c:tx>
          <c:layout>
            <c:manualLayout>
              <c:xMode val="edge"/>
              <c:yMode val="edge"/>
              <c:x val="3.5392202272293852E-2"/>
              <c:y val="0.30886858206270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3773312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dk1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44" r="0.750000000000008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Saturation vs Pore Throat Size</a:t>
            </a:r>
          </a:p>
        </c:rich>
      </c:tx>
      <c:layout>
        <c:manualLayout>
          <c:xMode val="edge"/>
          <c:yMode val="edge"/>
          <c:x val="0.33093532012654897"/>
          <c:y val="3.104222208444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4490420478818"/>
          <c:y val="0.10419268510258722"/>
          <c:w val="0.79829436705027268"/>
          <c:h val="0.76090414211159918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800080"/>
              </a:solidFill>
            </a:ln>
          </c:spPr>
          <c:marker>
            <c:symbol val="diamond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xVal>
          <c:yVal>
            <c:numRef>
              <c:f>'Raw Data'!$E$18:$E$136</c:f>
              <c:numCache>
                <c:formatCode>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1.107684426055866E-3</c:v>
                </c:pt>
                <c:pt idx="25">
                  <c:v>4.1049482717017208E-3</c:v>
                </c:pt>
                <c:pt idx="26">
                  <c:v>1.1695509940445336E-2</c:v>
                </c:pt>
                <c:pt idx="27">
                  <c:v>3.2644295942787525E-2</c:v>
                </c:pt>
                <c:pt idx="28">
                  <c:v>8.669250054133458E-2</c:v>
                </c:pt>
                <c:pt idx="29">
                  <c:v>0.18912090643859283</c:v>
                </c:pt>
                <c:pt idx="30">
                  <c:v>0.26717999368338791</c:v>
                </c:pt>
                <c:pt idx="31">
                  <c:v>0.32529978546122129</c:v>
                </c:pt>
                <c:pt idx="32">
                  <c:v>0.36660553689426884</c:v>
                </c:pt>
                <c:pt idx="33">
                  <c:v>0.39681223177703689</c:v>
                </c:pt>
                <c:pt idx="34">
                  <c:v>0.42555927866516047</c:v>
                </c:pt>
                <c:pt idx="35">
                  <c:v>0.45284667755863955</c:v>
                </c:pt>
                <c:pt idx="36">
                  <c:v>0.4786744284574741</c:v>
                </c:pt>
                <c:pt idx="37">
                  <c:v>0.50160345510753557</c:v>
                </c:pt>
                <c:pt idx="38">
                  <c:v>0.52306597651611397</c:v>
                </c:pt>
                <c:pt idx="39">
                  <c:v>0.54306199268320909</c:v>
                </c:pt>
                <c:pt idx="40">
                  <c:v>0.56159150360882126</c:v>
                </c:pt>
                <c:pt idx="41">
                  <c:v>0.57805742758843537</c:v>
                </c:pt>
                <c:pt idx="42">
                  <c:v>0.59303226119482144</c:v>
                </c:pt>
                <c:pt idx="43">
                  <c:v>0.60518889076920079</c:v>
                </c:pt>
                <c:pt idx="44">
                  <c:v>0.61470733237166164</c:v>
                </c:pt>
                <c:pt idx="45">
                  <c:v>0.62294427575932221</c:v>
                </c:pt>
                <c:pt idx="46">
                  <c:v>0.63085201442161487</c:v>
                </c:pt>
                <c:pt idx="47">
                  <c:v>0.63863536283954325</c:v>
                </c:pt>
                <c:pt idx="48">
                  <c:v>0.64538428721803398</c:v>
                </c:pt>
                <c:pt idx="49">
                  <c:v>0.65141001911500218</c:v>
                </c:pt>
                <c:pt idx="50">
                  <c:v>0.65771388009058962</c:v>
                </c:pt>
                <c:pt idx="51">
                  <c:v>0.66370423442377424</c:v>
                </c:pt>
                <c:pt idx="52">
                  <c:v>0.66964647072004435</c:v>
                </c:pt>
                <c:pt idx="53">
                  <c:v>0.6754883189132953</c:v>
                </c:pt>
                <c:pt idx="54">
                  <c:v>0.68098623120912072</c:v>
                </c:pt>
                <c:pt idx="55">
                  <c:v>0.68674498194145905</c:v>
                </c:pt>
                <c:pt idx="56">
                  <c:v>0.69265206818239444</c:v>
                </c:pt>
                <c:pt idx="57">
                  <c:v>0.69855744810996401</c:v>
                </c:pt>
                <c:pt idx="58">
                  <c:v>0.70440214015882474</c:v>
                </c:pt>
                <c:pt idx="59">
                  <c:v>0.71043355976701206</c:v>
                </c:pt>
                <c:pt idx="60">
                  <c:v>0.71682677468585332</c:v>
                </c:pt>
                <c:pt idx="61">
                  <c:v>0.72333408509175201</c:v>
                </c:pt>
                <c:pt idx="62">
                  <c:v>0.73025193449345327</c:v>
                </c:pt>
                <c:pt idx="63">
                  <c:v>0.73755194121197332</c:v>
                </c:pt>
                <c:pt idx="64">
                  <c:v>0.74518160767275876</c:v>
                </c:pt>
                <c:pt idx="65">
                  <c:v>0.75321180275760091</c:v>
                </c:pt>
                <c:pt idx="66">
                  <c:v>0.76203338598148418</c:v>
                </c:pt>
                <c:pt idx="67">
                  <c:v>0.7709063861147889</c:v>
                </c:pt>
                <c:pt idx="68">
                  <c:v>0.78025510641446849</c:v>
                </c:pt>
                <c:pt idx="69">
                  <c:v>0.78975620049771078</c:v>
                </c:pt>
                <c:pt idx="70">
                  <c:v>0.7995787640190628</c:v>
                </c:pt>
                <c:pt idx="71">
                  <c:v>0.8094293679567256</c:v>
                </c:pt>
                <c:pt idx="72">
                  <c:v>0.81956486934935857</c:v>
                </c:pt>
                <c:pt idx="73">
                  <c:v>0.82905407611615256</c:v>
                </c:pt>
                <c:pt idx="74">
                  <c:v>0.83917951025992754</c:v>
                </c:pt>
                <c:pt idx="75">
                  <c:v>0.84902385771524924</c:v>
                </c:pt>
                <c:pt idx="76">
                  <c:v>0.85871901650529092</c:v>
                </c:pt>
                <c:pt idx="77">
                  <c:v>0.86796552863436127</c:v>
                </c:pt>
                <c:pt idx="78">
                  <c:v>0.87691571100891086</c:v>
                </c:pt>
                <c:pt idx="79">
                  <c:v>0.88589871147719523</c:v>
                </c:pt>
                <c:pt idx="80">
                  <c:v>0.89397975470033719</c:v>
                </c:pt>
                <c:pt idx="81">
                  <c:v>0.90166828897224149</c:v>
                </c:pt>
                <c:pt idx="82">
                  <c:v>0.90948411422123165</c:v>
                </c:pt>
                <c:pt idx="83">
                  <c:v>0.91623446052752722</c:v>
                </c:pt>
                <c:pt idx="84">
                  <c:v>0.92250231829109708</c:v>
                </c:pt>
                <c:pt idx="85">
                  <c:v>0.92875140660764355</c:v>
                </c:pt>
                <c:pt idx="86">
                  <c:v>0.93464558174411139</c:v>
                </c:pt>
                <c:pt idx="87">
                  <c:v>0.94023199482650766</c:v>
                </c:pt>
                <c:pt idx="88">
                  <c:v>0.94530264625554583</c:v>
                </c:pt>
                <c:pt idx="89">
                  <c:v>0.95072297817034124</c:v>
                </c:pt>
                <c:pt idx="90">
                  <c:v>0.95519977567098169</c:v>
                </c:pt>
                <c:pt idx="91">
                  <c:v>0.9594825653419351</c:v>
                </c:pt>
                <c:pt idx="92">
                  <c:v>0.96389719615894953</c:v>
                </c:pt>
                <c:pt idx="93">
                  <c:v>0.96813977371158311</c:v>
                </c:pt>
                <c:pt idx="94">
                  <c:v>0.97125208929073503</c:v>
                </c:pt>
                <c:pt idx="95">
                  <c:v>0.97467808214362639</c:v>
                </c:pt>
                <c:pt idx="96">
                  <c:v>0.97757272901441916</c:v>
                </c:pt>
                <c:pt idx="97">
                  <c:v>0.98023918491109718</c:v>
                </c:pt>
                <c:pt idx="98">
                  <c:v>0.98302206825643246</c:v>
                </c:pt>
                <c:pt idx="99">
                  <c:v>0.98530153228175543</c:v>
                </c:pt>
                <c:pt idx="100">
                  <c:v>0.98765840605677191</c:v>
                </c:pt>
                <c:pt idx="101">
                  <c:v>0.98926558261598418</c:v>
                </c:pt>
                <c:pt idx="102">
                  <c:v>0.99125241389907881</c:v>
                </c:pt>
                <c:pt idx="103">
                  <c:v>0.99284440426933573</c:v>
                </c:pt>
                <c:pt idx="104">
                  <c:v>0.99464416673043043</c:v>
                </c:pt>
                <c:pt idx="105">
                  <c:v>0.99556460903703536</c:v>
                </c:pt>
                <c:pt idx="106">
                  <c:v>0.99630816352472273</c:v>
                </c:pt>
                <c:pt idx="107">
                  <c:v>0.99725249421844819</c:v>
                </c:pt>
                <c:pt idx="108">
                  <c:v>0.99786437819141094</c:v>
                </c:pt>
                <c:pt idx="109">
                  <c:v>0.99845140686634559</c:v>
                </c:pt>
                <c:pt idx="110">
                  <c:v>0.99861578172058074</c:v>
                </c:pt>
                <c:pt idx="111">
                  <c:v>0.99954640503026793</c:v>
                </c:pt>
                <c:pt idx="112">
                  <c:v>0.99982368095220453</c:v>
                </c:pt>
                <c:pt idx="113">
                  <c:v>0.99992116832250177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96128"/>
        <c:axId val="104098432"/>
      </c:scatterChart>
      <c:valAx>
        <c:axId val="10409612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9768561318499929"/>
              <c:y val="0.94279921086959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098432"/>
        <c:crosses val="autoZero"/>
        <c:crossBetween val="midCat"/>
      </c:valAx>
      <c:valAx>
        <c:axId val="1040984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Mercury Saturation, fractional</a:t>
                </a:r>
              </a:p>
            </c:rich>
          </c:tx>
          <c:layout>
            <c:manualLayout>
              <c:xMode val="edge"/>
              <c:yMode val="edge"/>
              <c:x val="1.7213682297809941E-2"/>
              <c:y val="0.33167040114633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096128"/>
        <c:crossesAt val="1.0000000000000041E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825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d Sw / d Log Pore Throat Size vs Pore Throat Size</a:t>
            </a:r>
          </a:p>
        </c:rich>
      </c:tx>
      <c:layout>
        <c:manualLayout>
          <c:xMode val="edge"/>
          <c:yMode val="edge"/>
          <c:x val="0.2429618814204548"/>
          <c:y val="3.1012615102564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9448905544897"/>
          <c:y val="0.10031489965429066"/>
          <c:w val="0.81356164375743056"/>
          <c:h val="0.76537560680389582"/>
        </c:manualLayout>
      </c:layout>
      <c:scatterChart>
        <c:scatterStyle val="smoothMarker"/>
        <c:varyColors val="0"/>
        <c:ser>
          <c:idx val="0"/>
          <c:order val="0"/>
          <c:tx>
            <c:v>Sat. (Frac)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xVal>
          <c:yVal>
            <c:numRef>
              <c:f>Table!$J$18:$J$136</c:f>
              <c:numCache>
                <c:formatCode>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3.1585902270406363E-2</c:v>
                </c:pt>
                <c:pt idx="25">
                  <c:v>7.1966136240646003E-2</c:v>
                </c:pt>
                <c:pt idx="26">
                  <c:v>0.19962655073476099</c:v>
                </c:pt>
                <c:pt idx="27">
                  <c:v>0.56032783585307977</c:v>
                </c:pt>
                <c:pt idx="28">
                  <c:v>1.3754176694222999</c:v>
                </c:pt>
                <c:pt idx="29">
                  <c:v>2.5470073382639979</c:v>
                </c:pt>
                <c:pt idx="30">
                  <c:v>2.0114269607732256</c:v>
                </c:pt>
                <c:pt idx="31">
                  <c:v>1.4473738435972732</c:v>
                </c:pt>
                <c:pt idx="32">
                  <c:v>1.0512747306958705</c:v>
                </c:pt>
                <c:pt idx="33">
                  <c:v>0.80615320844071836</c:v>
                </c:pt>
                <c:pt idx="34">
                  <c:v>1.001873190068344</c:v>
                </c:pt>
                <c:pt idx="35">
                  <c:v>0.60947790010490921</c:v>
                </c:pt>
                <c:pt idx="36">
                  <c:v>0.65039670312938747</c:v>
                </c:pt>
                <c:pt idx="37">
                  <c:v>0.62197686985049006</c:v>
                </c:pt>
                <c:pt idx="38">
                  <c:v>0.47603945862080332</c:v>
                </c:pt>
                <c:pt idx="39">
                  <c:v>0.74565783765611948</c:v>
                </c:pt>
                <c:pt idx="40">
                  <c:v>0.359944299149484</c:v>
                </c:pt>
                <c:pt idx="41">
                  <c:v>0.47871085430651578</c:v>
                </c:pt>
                <c:pt idx="42">
                  <c:v>0.37269324594239372</c:v>
                </c:pt>
                <c:pt idx="43">
                  <c:v>0.31231129676046643</c:v>
                </c:pt>
                <c:pt idx="44">
                  <c:v>0.2376733469112543</c:v>
                </c:pt>
                <c:pt idx="45">
                  <c:v>0.21265841299399446</c:v>
                </c:pt>
                <c:pt idx="46">
                  <c:v>0.20919476130338657</c:v>
                </c:pt>
                <c:pt idx="47">
                  <c:v>0.19004848612716368</c:v>
                </c:pt>
                <c:pt idx="48">
                  <c:v>0.16442806574966948</c:v>
                </c:pt>
                <c:pt idx="49">
                  <c:v>0.1736985471901687</c:v>
                </c:pt>
                <c:pt idx="50">
                  <c:v>0.14772333786331784</c:v>
                </c:pt>
                <c:pt idx="51">
                  <c:v>0.15940933253938902</c:v>
                </c:pt>
                <c:pt idx="52">
                  <c:v>0.15032177265694574</c:v>
                </c:pt>
                <c:pt idx="53">
                  <c:v>0.14924998412425589</c:v>
                </c:pt>
                <c:pt idx="54">
                  <c:v>0.14443709985446199</c:v>
                </c:pt>
                <c:pt idx="55">
                  <c:v>0.15710262251984766</c:v>
                </c:pt>
                <c:pt idx="56">
                  <c:v>0.1388658847727067</c:v>
                </c:pt>
                <c:pt idx="57">
                  <c:v>0.14655097408090426</c:v>
                </c:pt>
                <c:pt idx="58">
                  <c:v>0.15104853451177541</c:v>
                </c:pt>
                <c:pt idx="59">
                  <c:v>0.15578431691852301</c:v>
                </c:pt>
                <c:pt idx="60">
                  <c:v>0.16583531303883087</c:v>
                </c:pt>
                <c:pt idx="61">
                  <c:v>0.1611401784643533</c:v>
                </c:pt>
                <c:pt idx="62">
                  <c:v>0.18494008002508988</c:v>
                </c:pt>
                <c:pt idx="63">
                  <c:v>0.18869967675928562</c:v>
                </c:pt>
                <c:pt idx="64">
                  <c:v>0.19179416962398643</c:v>
                </c:pt>
                <c:pt idx="65">
                  <c:v>0.21222550250464262</c:v>
                </c:pt>
                <c:pt idx="66">
                  <c:v>0.21805800863399533</c:v>
                </c:pt>
                <c:pt idx="67">
                  <c:v>0.23346030427377823</c:v>
                </c:pt>
                <c:pt idx="68">
                  <c:v>0.23035520894731593</c:v>
                </c:pt>
                <c:pt idx="69">
                  <c:v>0.2492019031423241</c:v>
                </c:pt>
                <c:pt idx="70">
                  <c:v>0.25132817553578007</c:v>
                </c:pt>
                <c:pt idx="71">
                  <c:v>0.25763129859703904</c:v>
                </c:pt>
                <c:pt idx="72">
                  <c:v>0.25193811395611526</c:v>
                </c:pt>
                <c:pt idx="73">
                  <c:v>0.26253936298817082</c:v>
                </c:pt>
                <c:pt idx="74">
                  <c:v>0.25510798039385696</c:v>
                </c:pt>
                <c:pt idx="75">
                  <c:v>0.24744365621484588</c:v>
                </c:pt>
                <c:pt idx="76">
                  <c:v>0.24556732927163788</c:v>
                </c:pt>
                <c:pt idx="77">
                  <c:v>0.23741818878615528</c:v>
                </c:pt>
                <c:pt idx="78">
                  <c:v>0.22933774953071859</c:v>
                </c:pt>
                <c:pt idx="79">
                  <c:v>0.22204087586815033</c:v>
                </c:pt>
                <c:pt idx="80">
                  <c:v>0.20826823173336498</c:v>
                </c:pt>
                <c:pt idx="81">
                  <c:v>0.2031657682915316</c:v>
                </c:pt>
                <c:pt idx="82">
                  <c:v>0.19414392957999849</c:v>
                </c:pt>
                <c:pt idx="83">
                  <c:v>0.17476889800821158</c:v>
                </c:pt>
                <c:pt idx="84">
                  <c:v>0.1621251596359414</c:v>
                </c:pt>
                <c:pt idx="85">
                  <c:v>0.15824268719234338</c:v>
                </c:pt>
                <c:pt idx="86">
                  <c:v>0.15188206526012712</c:v>
                </c:pt>
                <c:pt idx="87">
                  <c:v>0.14275124831153857</c:v>
                </c:pt>
                <c:pt idx="88">
                  <c:v>0.12893209539032674</c:v>
                </c:pt>
                <c:pt idx="89">
                  <c:v>0.14036383193129465</c:v>
                </c:pt>
                <c:pt idx="90">
                  <c:v>0.11676796927214148</c:v>
                </c:pt>
                <c:pt idx="91">
                  <c:v>0.10853507726162176</c:v>
                </c:pt>
                <c:pt idx="92">
                  <c:v>0.11301760410144426</c:v>
                </c:pt>
                <c:pt idx="93">
                  <c:v>0.10791104839735331</c:v>
                </c:pt>
                <c:pt idx="94">
                  <c:v>8.0794593579019691E-2</c:v>
                </c:pt>
                <c:pt idx="95">
                  <c:v>8.6982849503895787E-2</c:v>
                </c:pt>
                <c:pt idx="96">
                  <c:v>7.4565214890743012E-2</c:v>
                </c:pt>
                <c:pt idx="97">
                  <c:v>6.8437172867687704E-2</c:v>
                </c:pt>
                <c:pt idx="98">
                  <c:v>7.0992826847848217E-2</c:v>
                </c:pt>
                <c:pt idx="99">
                  <c:v>5.8196946182961971E-2</c:v>
                </c:pt>
                <c:pt idx="100">
                  <c:v>6.185816703791587E-2</c:v>
                </c:pt>
                <c:pt idx="101">
                  <c:v>4.1823632540809633E-2</c:v>
                </c:pt>
                <c:pt idx="102">
                  <c:v>4.7984439087197558E-2</c:v>
                </c:pt>
                <c:pt idx="103">
                  <c:v>4.2141388493592419E-2</c:v>
                </c:pt>
                <c:pt idx="104">
                  <c:v>4.509232075367077E-2</c:v>
                </c:pt>
                <c:pt idx="105">
                  <c:v>2.3711224306889812E-2</c:v>
                </c:pt>
                <c:pt idx="106">
                  <c:v>1.9667483126448088E-2</c:v>
                </c:pt>
                <c:pt idx="107">
                  <c:v>2.4394904874926373E-2</c:v>
                </c:pt>
                <c:pt idx="108">
                  <c:v>1.5652386903884409E-2</c:v>
                </c:pt>
                <c:pt idx="109">
                  <c:v>1.4985434611161729E-2</c:v>
                </c:pt>
                <c:pt idx="110">
                  <c:v>4.0775458859080701E-3</c:v>
                </c:pt>
                <c:pt idx="111">
                  <c:v>2.4329683214356336E-2</c:v>
                </c:pt>
                <c:pt idx="112">
                  <c:v>7.1331014554861811E-3</c:v>
                </c:pt>
                <c:pt idx="113">
                  <c:v>2.4909039594716385E-3</c:v>
                </c:pt>
                <c:pt idx="114">
                  <c:v>2.0207046318074171E-3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14048"/>
        <c:axId val="104124800"/>
      </c:scatterChart>
      <c:valAx>
        <c:axId val="10411404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10695397441207"/>
              <c:y val="0.9408458794107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124800"/>
        <c:crosses val="autoZero"/>
        <c:crossBetween val="midCat"/>
      </c:valAx>
      <c:valAx>
        <c:axId val="104124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 Sw / d LOG Pore Throat Rad.</a:t>
                </a:r>
              </a:p>
            </c:rich>
          </c:tx>
          <c:layout>
            <c:manualLayout>
              <c:xMode val="edge"/>
              <c:yMode val="edge"/>
              <c:x val="2.6667382486280127E-2"/>
              <c:y val="0.30719267508441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>
                <a:latin typeface="Arial"/>
              </a:defRPr>
            </a:pPr>
            <a:endParaRPr lang="en-US"/>
          </a:p>
        </c:txPr>
        <c:crossAx val="104114048"/>
        <c:crossesAt val="1.0000000000000041E-3"/>
        <c:crossBetween val="midCat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ysClr val="windowText" lastClr="000000"/>
      </a:solidFill>
    </a:ln>
  </c:spPr>
  <c:txPr>
    <a:bodyPr/>
    <a:lstStyle/>
    <a:p>
      <a:pPr>
        <a:defRPr sz="9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966" r="0.75000000000000966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>
                <a:latin typeface="Arial"/>
              </a:rPr>
              <a:t>Normalized Pore Size Distribution VS Normalized Permeability</a:t>
            </a:r>
          </a:p>
        </c:rich>
      </c:tx>
      <c:layout>
        <c:manualLayout>
          <c:xMode val="edge"/>
          <c:yMode val="edge"/>
          <c:x val="0.2255588553160959"/>
          <c:y val="4.420790210588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384661626489"/>
          <c:y val="0.16126507112319541"/>
          <c:w val="0.81528794194843257"/>
          <c:h val="0.67664041994752322"/>
        </c:manualLayout>
      </c:layout>
      <c:scatterChart>
        <c:scatterStyle val="smoothMarker"/>
        <c:varyColors val="0"/>
        <c:ser>
          <c:idx val="0"/>
          <c:order val="0"/>
          <c:tx>
            <c:v>Normalized Pore Size Distribution</c:v>
          </c:tx>
          <c:spPr>
            <a:ln w="15875">
              <a:solidFill>
                <a:schemeClr val="dk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75000"/>
                </a:schemeClr>
              </a:solidFill>
              <a:ln>
                <a:solidFill>
                  <a:schemeClr val="dk2">
                    <a:lumMod val="75000"/>
                  </a:schemeClr>
                </a:solidFill>
              </a:ln>
            </c:spPr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xVal>
          <c:yVal>
            <c:numRef>
              <c:f>Table!$S$18:$S$136</c:f>
              <c:numCache>
                <c:formatCode>????0.000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1.0814230841070971E-2</c:v>
                </c:pt>
                <c:pt idx="25">
                  <c:v>2.9262037414233385E-2</c:v>
                </c:pt>
                <c:pt idx="26">
                  <c:v>7.410602168657586E-2</c:v>
                </c:pt>
                <c:pt idx="27">
                  <c:v>0.20452125383416647</c:v>
                </c:pt>
                <c:pt idx="28">
                  <c:v>0.52766812218829806</c:v>
                </c:pt>
                <c:pt idx="29">
                  <c:v>1</c:v>
                </c:pt>
                <c:pt idx="30">
                  <c:v>0.76208437064902634</c:v>
                </c:pt>
                <c:pt idx="31">
                  <c:v>0.56741868887553493</c:v>
                </c:pt>
                <c:pt idx="32">
                  <c:v>0.40326461269425257</c:v>
                </c:pt>
                <c:pt idx="33">
                  <c:v>0.29490544754808701</c:v>
                </c:pt>
                <c:pt idx="34">
                  <c:v>0.28065502568651279</c:v>
                </c:pt>
                <c:pt idx="35">
                  <c:v>0.26640460382493858</c:v>
                </c:pt>
                <c:pt idx="36">
                  <c:v>0.25215418196336381</c:v>
                </c:pt>
                <c:pt idx="37">
                  <c:v>0.22385417843035296</c:v>
                </c:pt>
                <c:pt idx="38">
                  <c:v>0.20953680983873343</c:v>
                </c:pt>
                <c:pt idx="39">
                  <c:v>0.19521944124711174</c:v>
                </c:pt>
                <c:pt idx="40">
                  <c:v>0.1809020726554933</c:v>
                </c:pt>
                <c:pt idx="41">
                  <c:v>0.16075544508747311</c:v>
                </c:pt>
                <c:pt idx="42">
                  <c:v>0.14619805390124607</c:v>
                </c:pt>
                <c:pt idx="43">
                  <c:v>0.11868416254152359</c:v>
                </c:pt>
                <c:pt idx="44">
                  <c:v>9.2927752990790535E-2</c:v>
                </c:pt>
                <c:pt idx="45">
                  <c:v>8.0416592599544187E-2</c:v>
                </c:pt>
                <c:pt idx="46">
                  <c:v>7.7202594270817729E-2</c:v>
                </c:pt>
                <c:pt idx="47">
                  <c:v>7.5988182670103641E-2</c:v>
                </c:pt>
                <c:pt idx="48">
                  <c:v>6.5889186884937931E-2</c:v>
                </c:pt>
                <c:pt idx="49">
                  <c:v>5.8828718890855003E-2</c:v>
                </c:pt>
                <c:pt idx="50">
                  <c:v>6.1544069932227434E-2</c:v>
                </c:pt>
                <c:pt idx="51">
                  <c:v>5.8483330680683461E-2</c:v>
                </c:pt>
                <c:pt idx="52">
                  <c:v>5.8013558291930493E-2</c:v>
                </c:pt>
                <c:pt idx="53">
                  <c:v>5.7033477599081964E-2</c:v>
                </c:pt>
                <c:pt idx="54">
                  <c:v>5.3675660063870805E-2</c:v>
                </c:pt>
                <c:pt idx="55">
                  <c:v>5.6222204005739414E-2</c:v>
                </c:pt>
                <c:pt idx="56">
                  <c:v>5.7670391227805942E-2</c:v>
                </c:pt>
                <c:pt idx="57">
                  <c:v>5.7653732632459501E-2</c:v>
                </c:pt>
                <c:pt idx="58">
                  <c:v>5.706124192466009E-2</c:v>
                </c:pt>
                <c:pt idx="59">
                  <c:v>5.8884247542006919E-2</c:v>
                </c:pt>
                <c:pt idx="60">
                  <c:v>6.2416425041838822E-2</c:v>
                </c:pt>
                <c:pt idx="61">
                  <c:v>6.3530329783965486E-2</c:v>
                </c:pt>
                <c:pt idx="62">
                  <c:v>6.7538387824177121E-2</c:v>
                </c:pt>
                <c:pt idx="63">
                  <c:v>7.1269357895136873E-2</c:v>
                </c:pt>
                <c:pt idx="64">
                  <c:v>7.4487798515955148E-2</c:v>
                </c:pt>
                <c:pt idx="65">
                  <c:v>7.8398126130137288E-2</c:v>
                </c:pt>
                <c:pt idx="66">
                  <c:v>8.6124382651545275E-2</c:v>
                </c:pt>
                <c:pt idx="67">
                  <c:v>8.6626361657964918E-2</c:v>
                </c:pt>
                <c:pt idx="68">
                  <c:v>9.1270778040389605E-2</c:v>
                </c:pt>
                <c:pt idx="69">
                  <c:v>9.2758390604774699E-2</c:v>
                </c:pt>
                <c:pt idx="70">
                  <c:v>9.5896869967932868E-2</c:v>
                </c:pt>
                <c:pt idx="71">
                  <c:v>9.6170626218116992E-2</c:v>
                </c:pt>
                <c:pt idx="72">
                  <c:v>9.8952056354362092E-2</c:v>
                </c:pt>
                <c:pt idx="73">
                  <c:v>9.2642335723863795E-2</c:v>
                </c:pt>
                <c:pt idx="74">
                  <c:v>9.8853770641821659E-2</c:v>
                </c:pt>
                <c:pt idx="75">
                  <c:v>9.6109544701849237E-2</c:v>
                </c:pt>
                <c:pt idx="76">
                  <c:v>9.4653028182108953E-2</c:v>
                </c:pt>
                <c:pt idx="77">
                  <c:v>9.0272928179172762E-2</c:v>
                </c:pt>
                <c:pt idx="78">
                  <c:v>8.7379885454110739E-2</c:v>
                </c:pt>
                <c:pt idx="79">
                  <c:v>8.7700285771262071E-2</c:v>
                </c:pt>
                <c:pt idx="80">
                  <c:v>7.8894552271444346E-2</c:v>
                </c:pt>
                <c:pt idx="81">
                  <c:v>7.5062520055387327E-2</c:v>
                </c:pt>
                <c:pt idx="82">
                  <c:v>7.6305251268187213E-2</c:v>
                </c:pt>
                <c:pt idx="83">
                  <c:v>6.5903069047726456E-2</c:v>
                </c:pt>
                <c:pt idx="84">
                  <c:v>6.1192573570430196E-2</c:v>
                </c:pt>
                <c:pt idx="85">
                  <c:v>6.1009329021625841E-2</c:v>
                </c:pt>
                <c:pt idx="86">
                  <c:v>5.7544341189689555E-2</c:v>
                </c:pt>
                <c:pt idx="87">
                  <c:v>5.453968587580843E-2</c:v>
                </c:pt>
                <c:pt idx="88">
                  <c:v>4.9504347789267933E-2</c:v>
                </c:pt>
                <c:pt idx="89">
                  <c:v>5.2918249262146284E-2</c:v>
                </c:pt>
                <c:pt idx="90">
                  <c:v>4.3706601322400181E-2</c:v>
                </c:pt>
                <c:pt idx="91">
                  <c:v>4.1812519031579037E-2</c:v>
                </c:pt>
                <c:pt idx="92">
                  <c:v>4.3099673165299154E-2</c:v>
                </c:pt>
                <c:pt idx="93">
                  <c:v>4.1419931467928252E-2</c:v>
                </c:pt>
                <c:pt idx="94">
                  <c:v>3.0385277910834244E-2</c:v>
                </c:pt>
                <c:pt idx="95">
                  <c:v>3.3447683021913185E-2</c:v>
                </c:pt>
                <c:pt idx="96">
                  <c:v>2.8260196431215318E-2</c:v>
                </c:pt>
                <c:pt idx="97">
                  <c:v>2.6032386946963079E-2</c:v>
                </c:pt>
                <c:pt idx="98">
                  <c:v>2.7169058436061874E-2</c:v>
                </c:pt>
                <c:pt idx="99">
                  <c:v>2.2254217522524093E-2</c:v>
                </c:pt>
                <c:pt idx="100">
                  <c:v>2.3009962464714727E-2</c:v>
                </c:pt>
                <c:pt idx="101">
                  <c:v>1.5690730956258059E-2</c:v>
                </c:pt>
                <c:pt idx="102">
                  <c:v>1.9397268420710705E-2</c:v>
                </c:pt>
                <c:pt idx="103">
                  <c:v>1.5542469457679389E-2</c:v>
                </c:pt>
                <c:pt idx="104">
                  <c:v>1.7570931084292855E-2</c:v>
                </c:pt>
                <c:pt idx="105">
                  <c:v>8.9862016160652484E-3</c:v>
                </c:pt>
                <c:pt idx="106">
                  <c:v>7.2592605652107792E-3</c:v>
                </c:pt>
                <c:pt idx="107">
                  <c:v>9.2194219509056773E-3</c:v>
                </c:pt>
                <c:pt idx="108">
                  <c:v>5.9737722910234636E-3</c:v>
                </c:pt>
                <c:pt idx="109">
                  <c:v>5.7311120854841536E-3</c:v>
                </c:pt>
                <c:pt idx="110">
                  <c:v>1.6047780183167885E-3</c:v>
                </c:pt>
                <c:pt idx="111">
                  <c:v>9.085597901627546E-3</c:v>
                </c:pt>
                <c:pt idx="112">
                  <c:v>2.7070217437019182E-3</c:v>
                </c:pt>
                <c:pt idx="113">
                  <c:v>9.517610807594733E-4</c:v>
                </c:pt>
                <c:pt idx="114">
                  <c:v>7.6962710497807077E-4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Normalized Permeability</c:v>
          </c:tx>
          <c:marker>
            <c:symbol val="circle"/>
            <c:size val="5"/>
          </c:marker>
          <c:xVal>
            <c:numRef>
              <c:f>Table!$E$18:$E$136</c:f>
              <c:numCache>
                <c:formatCode>???0.000</c:formatCode>
                <c:ptCount val="119"/>
                <c:pt idx="0">
                  <c:v>72.286537145508575</c:v>
                </c:pt>
                <c:pt idx="1">
                  <c:v>68.750620075039478</c:v>
                </c:pt>
                <c:pt idx="2">
                  <c:v>60.654068692373613</c:v>
                </c:pt>
                <c:pt idx="3">
                  <c:v>54.520780522342882</c:v>
                </c:pt>
                <c:pt idx="4">
                  <c:v>50.56559122021995</c:v>
                </c:pt>
                <c:pt idx="5">
                  <c:v>46.328551172863165</c:v>
                </c:pt>
                <c:pt idx="6">
                  <c:v>42.524923817929988</c:v>
                </c:pt>
                <c:pt idx="7">
                  <c:v>38.892081662770181</c:v>
                </c:pt>
                <c:pt idx="8">
                  <c:v>35.317125925188783</c:v>
                </c:pt>
                <c:pt idx="9">
                  <c:v>32.311233638100141</c:v>
                </c:pt>
                <c:pt idx="10">
                  <c:v>29.42549730357587</c:v>
                </c:pt>
                <c:pt idx="11">
                  <c:v>26.987923271319225</c:v>
                </c:pt>
                <c:pt idx="12">
                  <c:v>24.687339938587478</c:v>
                </c:pt>
                <c:pt idx="13">
                  <c:v>22.699139169644518</c:v>
                </c:pt>
                <c:pt idx="14">
                  <c:v>20.716429040360243</c:v>
                </c:pt>
                <c:pt idx="15">
                  <c:v>18.918249488732712</c:v>
                </c:pt>
                <c:pt idx="16">
                  <c:v>17.310231777436726</c:v>
                </c:pt>
                <c:pt idx="17">
                  <c:v>15.829447535962005</c:v>
                </c:pt>
                <c:pt idx="18">
                  <c:v>14.469378063153094</c:v>
                </c:pt>
                <c:pt idx="19">
                  <c:v>13.228605988744606</c:v>
                </c:pt>
                <c:pt idx="20">
                  <c:v>12.084659016269589</c:v>
                </c:pt>
                <c:pt idx="21">
                  <c:v>11.045986921147863</c:v>
                </c:pt>
                <c:pt idx="22">
                  <c:v>10.120146624726701</c:v>
                </c:pt>
                <c:pt idx="23">
                  <c:v>9.1874817932378487</c:v>
                </c:pt>
                <c:pt idx="24">
                  <c:v>8.4747626031927741</c:v>
                </c:pt>
                <c:pt idx="25">
                  <c:v>7.6997972324929096</c:v>
                </c:pt>
                <c:pt idx="26">
                  <c:v>7.0543252632692992</c:v>
                </c:pt>
                <c:pt idx="27">
                  <c:v>6.4724517396568633</c:v>
                </c:pt>
                <c:pt idx="28">
                  <c:v>5.9125247569610604</c:v>
                </c:pt>
                <c:pt idx="29">
                  <c:v>5.3896153798000288</c:v>
                </c:pt>
                <c:pt idx="30">
                  <c:v>4.9288994400518895</c:v>
                </c:pt>
                <c:pt idx="31">
                  <c:v>4.4936021189789104</c:v>
                </c:pt>
                <c:pt idx="32">
                  <c:v>4.1049087302341585</c:v>
                </c:pt>
                <c:pt idx="33">
                  <c:v>3.7655926612690176</c:v>
                </c:pt>
                <c:pt idx="34">
                  <c:v>3.524845127832863</c:v>
                </c:pt>
                <c:pt idx="35">
                  <c:v>3.179569182488557</c:v>
                </c:pt>
                <c:pt idx="36">
                  <c:v>2.9017334330495483</c:v>
                </c:pt>
                <c:pt idx="37">
                  <c:v>2.6655863501611243</c:v>
                </c:pt>
                <c:pt idx="38">
                  <c:v>2.4027421251479528</c:v>
                </c:pt>
                <c:pt idx="39">
                  <c:v>2.2588664317130283</c:v>
                </c:pt>
                <c:pt idx="40">
                  <c:v>2.0063732217316903</c:v>
                </c:pt>
                <c:pt idx="41">
                  <c:v>1.8535970750415554</c:v>
                </c:pt>
                <c:pt idx="42">
                  <c:v>1.6897999173410587</c:v>
                </c:pt>
                <c:pt idx="43">
                  <c:v>1.5449362560980482</c:v>
                </c:pt>
                <c:pt idx="44">
                  <c:v>1.4088415352258121</c:v>
                </c:pt>
                <c:pt idx="45">
                  <c:v>1.2886320688285087</c:v>
                </c:pt>
                <c:pt idx="46">
                  <c:v>1.1812126528716873</c:v>
                </c:pt>
                <c:pt idx="47">
                  <c:v>1.0749135807130035</c:v>
                </c:pt>
                <c:pt idx="48">
                  <c:v>0.97797714473383524</c:v>
                </c:pt>
                <c:pt idx="49">
                  <c:v>0.90289648250541932</c:v>
                </c:pt>
                <c:pt idx="50">
                  <c:v>0.81839795364153345</c:v>
                </c:pt>
                <c:pt idx="51">
                  <c:v>0.75056117057000704</c:v>
                </c:pt>
                <c:pt idx="52">
                  <c:v>0.68526094739274412</c:v>
                </c:pt>
                <c:pt idx="53">
                  <c:v>0.62620223991853674</c:v>
                </c:pt>
                <c:pt idx="54">
                  <c:v>0.57365424481838245</c:v>
                </c:pt>
                <c:pt idx="55">
                  <c:v>0.52722285750350939</c:v>
                </c:pt>
                <c:pt idx="56">
                  <c:v>0.47803111325290515</c:v>
                </c:pt>
                <c:pt idx="57">
                  <c:v>0.43567277736801757</c:v>
                </c:pt>
                <c:pt idx="58">
                  <c:v>0.39853483816247703</c:v>
                </c:pt>
                <c:pt idx="59">
                  <c:v>0.36454388409027394</c:v>
                </c:pt>
                <c:pt idx="60">
                  <c:v>0.33357863482177574</c:v>
                </c:pt>
                <c:pt idx="61">
                  <c:v>0.30395921222787425</c:v>
                </c:pt>
                <c:pt idx="62">
                  <c:v>0.27887489146287986</c:v>
                </c:pt>
                <c:pt idx="63">
                  <c:v>0.25510770033122915</c:v>
                </c:pt>
                <c:pt idx="64">
                  <c:v>0.23277861274753031</c:v>
                </c:pt>
                <c:pt idx="65">
                  <c:v>0.21335609055980517</c:v>
                </c:pt>
                <c:pt idx="66">
                  <c:v>0.19437921852177134</c:v>
                </c:pt>
                <c:pt idx="67">
                  <c:v>0.17809157305212103</c:v>
                </c:pt>
                <c:pt idx="68">
                  <c:v>0.16220320724413667</c:v>
                </c:pt>
                <c:pt idx="69">
                  <c:v>0.14857076093325983</c:v>
                </c:pt>
                <c:pt idx="70">
                  <c:v>0.13578466586196572</c:v>
                </c:pt>
                <c:pt idx="71">
                  <c:v>0.12434131367597503</c:v>
                </c:pt>
                <c:pt idx="72">
                  <c:v>0.11334055321361364</c:v>
                </c:pt>
                <c:pt idx="73">
                  <c:v>0.10428969297698015</c:v>
                </c:pt>
                <c:pt idx="74">
                  <c:v>9.5181076244300472E-2</c:v>
                </c:pt>
                <c:pt idx="75">
                  <c:v>8.6849318122174168E-2</c:v>
                </c:pt>
                <c:pt idx="76">
                  <c:v>7.9302295543438192E-2</c:v>
                </c:pt>
                <c:pt idx="77">
                  <c:v>7.2500276114517204E-2</c:v>
                </c:pt>
                <c:pt idx="78">
                  <c:v>6.6269463405700224E-2</c:v>
                </c:pt>
                <c:pt idx="79">
                  <c:v>6.0374971264756494E-2</c:v>
                </c:pt>
                <c:pt idx="80">
                  <c:v>5.5214838308310338E-2</c:v>
                </c:pt>
                <c:pt idx="81">
                  <c:v>5.0607181962144351E-2</c:v>
                </c:pt>
                <c:pt idx="82">
                  <c:v>4.6126899423659808E-2</c:v>
                </c:pt>
                <c:pt idx="83">
                  <c:v>4.2201690566725077E-2</c:v>
                </c:pt>
                <c:pt idx="84">
                  <c:v>3.8607282868013751E-2</c:v>
                </c:pt>
                <c:pt idx="85">
                  <c:v>3.5251589402915652E-2</c:v>
                </c:pt>
                <c:pt idx="86">
                  <c:v>3.2238225198543725E-2</c:v>
                </c:pt>
                <c:pt idx="87">
                  <c:v>2.9460304044872467E-2</c:v>
                </c:pt>
                <c:pt idx="88">
                  <c:v>2.6909718039733618E-2</c:v>
                </c:pt>
                <c:pt idx="89">
                  <c:v>2.4620272006321504E-2</c:v>
                </c:pt>
                <c:pt idx="90">
                  <c:v>2.2539983148344368E-2</c:v>
                </c:pt>
                <c:pt idx="91">
                  <c:v>2.0582286931369272E-2</c:v>
                </c:pt>
                <c:pt idx="92">
                  <c:v>1.8811879328709979E-2</c:v>
                </c:pt>
                <c:pt idx="93">
                  <c:v>1.7183699821475083E-2</c:v>
                </c:pt>
                <c:pt idx="94">
                  <c:v>1.5725169769808048E-2</c:v>
                </c:pt>
                <c:pt idx="95">
                  <c:v>1.4361782660208539E-2</c:v>
                </c:pt>
                <c:pt idx="96">
                  <c:v>1.3133727819745821E-2</c:v>
                </c:pt>
                <c:pt idx="97">
                  <c:v>1.2006762300834169E-2</c:v>
                </c:pt>
                <c:pt idx="98">
                  <c:v>1.0970499766695422E-2</c:v>
                </c:pt>
                <c:pt idx="99">
                  <c:v>1.0024398175741231E-2</c:v>
                </c:pt>
                <c:pt idx="100">
                  <c:v>9.1824179026923289E-3</c:v>
                </c:pt>
                <c:pt idx="101">
                  <c:v>8.4048425085506036E-3</c:v>
                </c:pt>
                <c:pt idx="102">
                  <c:v>7.640536212572417E-3</c:v>
                </c:pt>
                <c:pt idx="103">
                  <c:v>7.0040055124297078E-3</c:v>
                </c:pt>
                <c:pt idx="104">
                  <c:v>6.389011089327907E-3</c:v>
                </c:pt>
                <c:pt idx="105">
                  <c:v>5.8427162898884496E-3</c:v>
                </c:pt>
                <c:pt idx="106">
                  <c:v>5.3556046825855444E-3</c:v>
                </c:pt>
                <c:pt idx="107">
                  <c:v>4.8988974875389599E-3</c:v>
                </c:pt>
                <c:pt idx="108">
                  <c:v>4.477197952354379E-3</c:v>
                </c:pt>
                <c:pt idx="109">
                  <c:v>4.091033287116525E-3</c:v>
                </c:pt>
                <c:pt idx="110">
                  <c:v>3.72838550597089E-3</c:v>
                </c:pt>
                <c:pt idx="111">
                  <c:v>3.4140531637430133E-3</c:v>
                </c:pt>
                <c:pt idx="112">
                  <c:v>3.1217531582310382E-3</c:v>
                </c:pt>
                <c:pt idx="113">
                  <c:v>2.8527335759618057E-3</c:v>
                </c:pt>
                <c:pt idx="114">
                  <c:v>2.6076496364782664E-3</c:v>
                </c:pt>
                <c:pt idx="115">
                  <c:v>2.3858747697203839E-3</c:v>
                </c:pt>
                <c:pt idx="116">
                  <c:v>2.1811062305780175E-3</c:v>
                </c:pt>
                <c:pt idx="117">
                  <c:v>1.9940947186989958E-3</c:v>
                </c:pt>
                <c:pt idx="118">
                  <c:v>1.8369456413406956E-3</c:v>
                </c:pt>
              </c:numCache>
            </c:numRef>
          </c:xVal>
          <c:yVal>
            <c:numRef>
              <c:f>Table!$T$18:$T$136</c:f>
              <c:numCache>
                <c:formatCode>????0.000</c:formatCode>
                <c:ptCount val="1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0.99342699108603305</c:v>
                </c:pt>
                <c:pt idx="25">
                  <c:v>0.9787452811070716</c:v>
                </c:pt>
                <c:pt idx="26">
                  <c:v>0.94753641698115432</c:v>
                </c:pt>
                <c:pt idx="27">
                  <c:v>0.87502780513374157</c:v>
                </c:pt>
                <c:pt idx="28">
                  <c:v>0.71892155016606396</c:v>
                </c:pt>
                <c:pt idx="29">
                  <c:v>0.47309485098265713</c:v>
                </c:pt>
                <c:pt idx="30">
                  <c:v>0.31641380117116036</c:v>
                </c:pt>
                <c:pt idx="31">
                  <c:v>0.21945072844757763</c:v>
                </c:pt>
                <c:pt idx="32">
                  <c:v>0.1619450639095994</c:v>
                </c:pt>
                <c:pt idx="33">
                  <c:v>0.12655649705018956</c:v>
                </c:pt>
                <c:pt idx="34">
                  <c:v>9.7046687544283472E-2</c:v>
                </c:pt>
                <c:pt idx="35">
                  <c:v>7.4254196848716147E-2</c:v>
                </c:pt>
                <c:pt idx="36">
                  <c:v>5.6286405118004756E-2</c:v>
                </c:pt>
                <c:pt idx="37">
                  <c:v>4.2825811299855188E-2</c:v>
                </c:pt>
                <c:pt idx="38">
                  <c:v>3.2588447069755166E-2</c:v>
                </c:pt>
                <c:pt idx="39">
                  <c:v>2.4158639305468355E-2</c:v>
                </c:pt>
                <c:pt idx="40">
                  <c:v>1.7995805007839261E-2</c:v>
                </c:pt>
                <c:pt idx="41">
                  <c:v>1.3321577298891496E-2</c:v>
                </c:pt>
                <c:pt idx="42">
                  <c:v>9.7887235176412624E-3</c:v>
                </c:pt>
                <c:pt idx="43">
                  <c:v>7.39139582313042E-3</c:v>
                </c:pt>
                <c:pt idx="44">
                  <c:v>5.830466524877953E-3</c:v>
                </c:pt>
                <c:pt idx="45">
                  <c:v>4.7003660961472127E-3</c:v>
                </c:pt>
                <c:pt idx="46">
                  <c:v>3.7887718452871422E-3</c:v>
                </c:pt>
                <c:pt idx="47">
                  <c:v>3.0457413124136412E-3</c:v>
                </c:pt>
                <c:pt idx="48">
                  <c:v>2.5124247618319995E-3</c:v>
                </c:pt>
                <c:pt idx="49">
                  <c:v>2.1065623652199994E-3</c:v>
                </c:pt>
                <c:pt idx="50">
                  <c:v>1.7577203514317352E-3</c:v>
                </c:pt>
                <c:pt idx="51">
                  <c:v>1.4789042910362538E-3</c:v>
                </c:pt>
                <c:pt idx="52">
                  <c:v>1.2483596821130094E-3</c:v>
                </c:pt>
                <c:pt idx="53">
                  <c:v>1.0590936883939639E-3</c:v>
                </c:pt>
                <c:pt idx="54">
                  <c:v>9.096108556363447E-4</c:v>
                </c:pt>
                <c:pt idx="55">
                  <c:v>7.7735654674904175E-4</c:v>
                </c:pt>
                <c:pt idx="56">
                  <c:v>6.6582987848695652E-4</c:v>
                </c:pt>
                <c:pt idx="57">
                  <c:v>5.7321904757767772E-4</c:v>
                </c:pt>
                <c:pt idx="58">
                  <c:v>4.9652047080728234E-4</c:v>
                </c:pt>
                <c:pt idx="59">
                  <c:v>4.3029695019403125E-4</c:v>
                </c:pt>
                <c:pt idx="60">
                  <c:v>3.7151975651050773E-4</c:v>
                </c:pt>
                <c:pt idx="61">
                  <c:v>3.2184620261133112E-4</c:v>
                </c:pt>
                <c:pt idx="62">
                  <c:v>2.7739505062152059E-4</c:v>
                </c:pt>
                <c:pt idx="63">
                  <c:v>2.3814289752133178E-4</c:v>
                </c:pt>
                <c:pt idx="64">
                  <c:v>2.0398549853395398E-4</c:v>
                </c:pt>
                <c:pt idx="65">
                  <c:v>1.7378394559230959E-4</c:v>
                </c:pt>
                <c:pt idx="66">
                  <c:v>1.4624550856201513E-4</c:v>
                </c:pt>
                <c:pt idx="67">
                  <c:v>1.22994043827096E-4</c:v>
                </c:pt>
                <c:pt idx="68">
                  <c:v>1.0267215226311688E-4</c:v>
                </c:pt>
                <c:pt idx="69">
                  <c:v>8.5344752201899077E-5</c:v>
                </c:pt>
                <c:pt idx="70">
                  <c:v>7.0381727582891074E-5</c:v>
                </c:pt>
                <c:pt idx="71">
                  <c:v>5.7798650726526013E-5</c:v>
                </c:pt>
                <c:pt idx="72">
                  <c:v>4.7041209487730384E-5</c:v>
                </c:pt>
                <c:pt idx="73">
                  <c:v>3.8514022698721284E-5</c:v>
                </c:pt>
                <c:pt idx="74">
                  <c:v>3.0935091503314638E-5</c:v>
                </c:pt>
                <c:pt idx="75">
                  <c:v>2.4800115781875576E-5</c:v>
                </c:pt>
                <c:pt idx="76">
                  <c:v>1.9762563889025309E-5</c:v>
                </c:pt>
                <c:pt idx="77">
                  <c:v>1.5746964740603886E-5</c:v>
                </c:pt>
                <c:pt idx="78">
                  <c:v>1.2499444387414904E-5</c:v>
                </c:pt>
                <c:pt idx="79">
                  <c:v>9.7940637023841148E-6</c:v>
                </c:pt>
                <c:pt idx="80">
                  <c:v>7.7585589168815972E-6</c:v>
                </c:pt>
                <c:pt idx="81">
                  <c:v>6.1316585683313107E-6</c:v>
                </c:pt>
                <c:pt idx="82">
                  <c:v>4.7576910833235786E-6</c:v>
                </c:pt>
                <c:pt idx="83">
                  <c:v>3.7643947327081762E-6</c:v>
                </c:pt>
                <c:pt idx="84">
                  <c:v>2.9925131187491516E-6</c:v>
                </c:pt>
                <c:pt idx="85">
                  <c:v>2.3509089794870874E-6</c:v>
                </c:pt>
                <c:pt idx="86">
                  <c:v>1.8447832983436996E-6</c:v>
                </c:pt>
                <c:pt idx="87">
                  <c:v>1.444192855415416E-6</c:v>
                </c:pt>
                <c:pt idx="88">
                  <c:v>1.1408211030294879E-6</c:v>
                </c:pt>
                <c:pt idx="89">
                  <c:v>8.6936184140462558E-7</c:v>
                </c:pt>
                <c:pt idx="90">
                  <c:v>6.8144413067905418E-7</c:v>
                </c:pt>
                <c:pt idx="91">
                  <c:v>5.3154224655127535E-7</c:v>
                </c:pt>
                <c:pt idx="92">
                  <c:v>4.0246435939472747E-7</c:v>
                </c:pt>
                <c:pt idx="93">
                  <c:v>2.989605739633916E-7</c:v>
                </c:pt>
                <c:pt idx="94">
                  <c:v>2.353737108551357E-7</c:v>
                </c:pt>
                <c:pt idx="95">
                  <c:v>1.7698938870047698E-7</c:v>
                </c:pt>
                <c:pt idx="96">
                  <c:v>1.35735518047575E-7</c:v>
                </c:pt>
                <c:pt idx="97">
                  <c:v>1.0397560401553818E-7</c:v>
                </c:pt>
                <c:pt idx="98">
                  <c:v>7.6303580676118088E-8</c:v>
                </c:pt>
                <c:pt idx="99">
                  <c:v>5.737829478213996E-8</c:v>
                </c:pt>
                <c:pt idx="100">
                  <c:v>4.0959415081864847E-8</c:v>
                </c:pt>
                <c:pt idx="101">
                  <c:v>3.1579134307513357E-8</c:v>
                </c:pt>
                <c:pt idx="102">
                  <c:v>2.1996128363177547E-8</c:v>
                </c:pt>
                <c:pt idx="103">
                  <c:v>1.5543651143978821E-8</c:v>
                </c:pt>
                <c:pt idx="104">
                  <c:v>9.4738347167222514E-9</c:v>
                </c:pt>
                <c:pt idx="105">
                  <c:v>6.8777475936698806E-9</c:v>
                </c:pt>
                <c:pt idx="106">
                  <c:v>5.1156786584627412E-9</c:v>
                </c:pt>
                <c:pt idx="107">
                  <c:v>3.2432128094228574E-9</c:v>
                </c:pt>
                <c:pt idx="108">
                  <c:v>2.2298272117637907E-9</c:v>
                </c:pt>
                <c:pt idx="109">
                  <c:v>1.4180844276623361E-9</c:v>
                </c:pt>
                <c:pt idx="110">
                  <c:v>1.2292983297967908E-9</c:v>
                </c:pt>
                <c:pt idx="111">
                  <c:v>3.3309288660632319E-10</c:v>
                </c:pt>
                <c:pt idx="112">
                  <c:v>1.0983725040603076E-10</c:v>
                </c:pt>
                <c:pt idx="113">
                  <c:v>4.4288572809136895E-11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66528"/>
        <c:axId val="104168448"/>
      </c:scatterChart>
      <c:valAx>
        <c:axId val="104166528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Pore Throat Radius (microns)</a:t>
                </a:r>
              </a:p>
            </c:rich>
          </c:tx>
          <c:layout>
            <c:manualLayout>
              <c:xMode val="edge"/>
              <c:yMode val="edge"/>
              <c:x val="0.37003231262758834"/>
              <c:y val="0.92577460224880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4168448"/>
        <c:crosses val="autoZero"/>
        <c:crossBetween val="midCat"/>
      </c:valAx>
      <c:valAx>
        <c:axId val="1041684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>
                    <a:latin typeface="Arial"/>
                  </a:rPr>
                  <a:t>Distribution Function</a:t>
                </a:r>
              </a:p>
            </c:rich>
          </c:tx>
          <c:layout>
            <c:manualLayout>
              <c:xMode val="edge"/>
              <c:yMode val="edge"/>
              <c:x val="1.753793951647354E-2"/>
              <c:y val="0.41480627709551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>
                <a:latin typeface="Arial"/>
              </a:defRPr>
            </a:pPr>
            <a:endParaRPr lang="en-US"/>
          </a:p>
        </c:txPr>
        <c:crossAx val="104166528"/>
        <c:crossesAt val="1.0000000000000041E-3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89019071851826"/>
          <c:y val="0.17604997624682661"/>
          <c:w val="0.32571839409811765"/>
          <c:h val="0.20424665897106842"/>
        </c:manualLayout>
      </c:layout>
      <c:overlay val="0"/>
      <c:spPr>
        <a:solidFill>
          <a:srgbClr val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chemeClr val="lt2"/>
    </a:solidFill>
    <a:ln w="3175">
      <a:solidFill>
        <a:sysClr val="windowText" lastClr="000000"/>
      </a:solidFill>
    </a:ln>
  </c:spPr>
  <c:txPr>
    <a:bodyPr/>
    <a:lstStyle/>
    <a:p>
      <a:pPr>
        <a:defRPr sz="800">
          <a:solidFill>
            <a:srgbClr val="000000"/>
          </a:solidFill>
          <a:latin typeface="Times New Roman"/>
        </a:defRPr>
      </a:pPr>
      <a:endParaRPr lang="en-US"/>
    </a:p>
  </c:txPr>
  <c:printSettings>
    <c:headerFooter/>
    <c:pageMargins b="1" l="0.75000000000000866" r="0.75000000000000866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 sz="900" b="1"/>
              <a:t>Incremental Intrusion %PV vs Pore Aperture Diameter</a:t>
            </a:r>
          </a:p>
        </c:rich>
      </c:tx>
      <c:layout>
        <c:manualLayout>
          <c:xMode val="edge"/>
          <c:yMode val="edge"/>
          <c:x val="0.1723981077147016"/>
          <c:y val="4.43625443625443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9498670579271"/>
          <c:y val="0.15326975675683863"/>
          <c:w val="0.82827901825522265"/>
          <c:h val="0.72458777553660758"/>
        </c:manualLayout>
      </c:layout>
      <c:scatterChart>
        <c:scatterStyle val="lineMarker"/>
        <c:varyColors val="0"/>
        <c:ser>
          <c:idx val="0"/>
          <c:order val="0"/>
          <c:spPr>
            <a:ln w="15875">
              <a:solidFill>
                <a:schemeClr val="dk2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dk2">
                  <a:lumMod val="60000"/>
                  <a:lumOff val="40000"/>
                </a:schemeClr>
              </a:solidFill>
              <a:ln>
                <a:solidFill>
                  <a:schemeClr val="dk2">
                    <a:lumMod val="50000"/>
                  </a:schemeClr>
                </a:solidFill>
              </a:ln>
            </c:spPr>
          </c:marker>
          <c:xVal>
            <c:numRef>
              <c:f>Table!$F$18:$F$136</c:f>
              <c:numCache>
                <c:formatCode>???0.000</c:formatCode>
                <c:ptCount val="119"/>
                <c:pt idx="0">
                  <c:v>144.57307429101715</c:v>
                </c:pt>
                <c:pt idx="1">
                  <c:v>137.50124015007896</c:v>
                </c:pt>
                <c:pt idx="2">
                  <c:v>121.30813738474723</c:v>
                </c:pt>
                <c:pt idx="3">
                  <c:v>109.04156104468576</c:v>
                </c:pt>
                <c:pt idx="4">
                  <c:v>101.1311824404399</c:v>
                </c:pt>
                <c:pt idx="5">
                  <c:v>92.657102345726329</c:v>
                </c:pt>
                <c:pt idx="6">
                  <c:v>85.049847635859976</c:v>
                </c:pt>
                <c:pt idx="7">
                  <c:v>77.784163325540362</c:v>
                </c:pt>
                <c:pt idx="8">
                  <c:v>70.634251850377566</c:v>
                </c:pt>
                <c:pt idx="9">
                  <c:v>64.622467276200283</c:v>
                </c:pt>
                <c:pt idx="10">
                  <c:v>58.85099460715174</c:v>
                </c:pt>
                <c:pt idx="11">
                  <c:v>53.97584654263845</c:v>
                </c:pt>
                <c:pt idx="12">
                  <c:v>49.374679877174955</c:v>
                </c:pt>
                <c:pt idx="13">
                  <c:v>45.398278339289035</c:v>
                </c:pt>
                <c:pt idx="14">
                  <c:v>41.432858080720486</c:v>
                </c:pt>
                <c:pt idx="15">
                  <c:v>37.836498977465425</c:v>
                </c:pt>
                <c:pt idx="16">
                  <c:v>34.620463554873453</c:v>
                </c:pt>
                <c:pt idx="17">
                  <c:v>31.658895071924011</c:v>
                </c:pt>
                <c:pt idx="18">
                  <c:v>28.938756126306188</c:v>
                </c:pt>
                <c:pt idx="19">
                  <c:v>26.457211977489212</c:v>
                </c:pt>
                <c:pt idx="20">
                  <c:v>24.169318032539177</c:v>
                </c:pt>
                <c:pt idx="21">
                  <c:v>22.091973842295726</c:v>
                </c:pt>
                <c:pt idx="22">
                  <c:v>20.240293249453401</c:v>
                </c:pt>
                <c:pt idx="23">
                  <c:v>18.374963586475697</c:v>
                </c:pt>
                <c:pt idx="24">
                  <c:v>16.949525206385548</c:v>
                </c:pt>
                <c:pt idx="25">
                  <c:v>15.399594464985819</c:v>
                </c:pt>
                <c:pt idx="26">
                  <c:v>14.108650526538598</c:v>
                </c:pt>
                <c:pt idx="27">
                  <c:v>12.944903479313727</c:v>
                </c:pt>
                <c:pt idx="28">
                  <c:v>11.825049513922121</c:v>
                </c:pt>
                <c:pt idx="29">
                  <c:v>10.779230759600058</c:v>
                </c:pt>
                <c:pt idx="30">
                  <c:v>9.857798880103779</c:v>
                </c:pt>
                <c:pt idx="31">
                  <c:v>8.9872042379578208</c:v>
                </c:pt>
                <c:pt idx="32">
                  <c:v>8.209817460468317</c:v>
                </c:pt>
                <c:pt idx="33">
                  <c:v>7.5311853225380352</c:v>
                </c:pt>
                <c:pt idx="34">
                  <c:v>7.0496902556657259</c:v>
                </c:pt>
                <c:pt idx="35">
                  <c:v>6.359138364977114</c:v>
                </c:pt>
                <c:pt idx="36">
                  <c:v>5.8034668660990967</c:v>
                </c:pt>
                <c:pt idx="37">
                  <c:v>5.3311727003222487</c:v>
                </c:pt>
                <c:pt idx="38">
                  <c:v>4.8054842502959056</c:v>
                </c:pt>
                <c:pt idx="39">
                  <c:v>4.5177328634260565</c:v>
                </c:pt>
                <c:pt idx="40">
                  <c:v>4.0127464434633806</c:v>
                </c:pt>
                <c:pt idx="41">
                  <c:v>3.7071941500831107</c:v>
                </c:pt>
                <c:pt idx="42">
                  <c:v>3.3795998346821174</c:v>
                </c:pt>
                <c:pt idx="43">
                  <c:v>3.0898725121960964</c:v>
                </c:pt>
                <c:pt idx="44">
                  <c:v>2.8176830704516242</c:v>
                </c:pt>
                <c:pt idx="45">
                  <c:v>2.5772641376570173</c:v>
                </c:pt>
                <c:pt idx="46">
                  <c:v>2.3624253057433746</c:v>
                </c:pt>
                <c:pt idx="47">
                  <c:v>2.1498271614260069</c:v>
                </c:pt>
                <c:pt idx="48">
                  <c:v>1.9559542894676705</c:v>
                </c:pt>
                <c:pt idx="49">
                  <c:v>1.8057929650108386</c:v>
                </c:pt>
                <c:pt idx="50">
                  <c:v>1.6367959072830669</c:v>
                </c:pt>
                <c:pt idx="51">
                  <c:v>1.5011223411400141</c:v>
                </c:pt>
                <c:pt idx="52">
                  <c:v>1.3705218947854882</c:v>
                </c:pt>
                <c:pt idx="53">
                  <c:v>1.2524044798370735</c:v>
                </c:pt>
                <c:pt idx="54">
                  <c:v>1.1473084896367649</c:v>
                </c:pt>
                <c:pt idx="55">
                  <c:v>1.0544457150070188</c:v>
                </c:pt>
                <c:pt idx="56">
                  <c:v>0.9560622265058103</c:v>
                </c:pt>
                <c:pt idx="57">
                  <c:v>0.87134555473603514</c:v>
                </c:pt>
                <c:pt idx="58">
                  <c:v>0.79706967632495407</c:v>
                </c:pt>
                <c:pt idx="59">
                  <c:v>0.72908776818054788</c:v>
                </c:pt>
                <c:pt idx="60">
                  <c:v>0.66715726964355149</c:v>
                </c:pt>
                <c:pt idx="61">
                  <c:v>0.60791842445574851</c:v>
                </c:pt>
                <c:pt idx="62">
                  <c:v>0.55774978292575972</c:v>
                </c:pt>
                <c:pt idx="63">
                  <c:v>0.5102154006624583</c:v>
                </c:pt>
                <c:pt idx="64">
                  <c:v>0.46555722549506062</c:v>
                </c:pt>
                <c:pt idx="65">
                  <c:v>0.42671218111961035</c:v>
                </c:pt>
                <c:pt idx="66">
                  <c:v>0.38875843704354268</c:v>
                </c:pt>
                <c:pt idx="67">
                  <c:v>0.35618314610424207</c:v>
                </c:pt>
                <c:pt idx="68">
                  <c:v>0.32440641448827334</c:v>
                </c:pt>
                <c:pt idx="69">
                  <c:v>0.29714152186651965</c:v>
                </c:pt>
                <c:pt idx="70">
                  <c:v>0.27156933172393144</c:v>
                </c:pt>
                <c:pt idx="71">
                  <c:v>0.24868262735195007</c:v>
                </c:pt>
                <c:pt idx="72">
                  <c:v>0.22668110642722727</c:v>
                </c:pt>
                <c:pt idx="73">
                  <c:v>0.20857938595396031</c:v>
                </c:pt>
                <c:pt idx="74">
                  <c:v>0.19036215248860094</c:v>
                </c:pt>
                <c:pt idx="75">
                  <c:v>0.17369863624434834</c:v>
                </c:pt>
                <c:pt idx="76">
                  <c:v>0.15860459108687638</c:v>
                </c:pt>
                <c:pt idx="77">
                  <c:v>0.14500055222903441</c:v>
                </c:pt>
                <c:pt idx="78">
                  <c:v>0.13253892681140045</c:v>
                </c:pt>
                <c:pt idx="79">
                  <c:v>0.12074994252951299</c:v>
                </c:pt>
                <c:pt idx="80">
                  <c:v>0.11042967661662068</c:v>
                </c:pt>
                <c:pt idx="81">
                  <c:v>0.1012143639242887</c:v>
                </c:pt>
                <c:pt idx="82">
                  <c:v>9.2253798847319615E-2</c:v>
                </c:pt>
                <c:pt idx="83">
                  <c:v>8.4403381133450153E-2</c:v>
                </c:pt>
                <c:pt idx="84">
                  <c:v>7.7214565736027502E-2</c:v>
                </c:pt>
                <c:pt idx="85">
                  <c:v>7.0503178805831304E-2</c:v>
                </c:pt>
                <c:pt idx="86">
                  <c:v>6.4476450397087451E-2</c:v>
                </c:pt>
                <c:pt idx="87">
                  <c:v>5.8920608089744933E-2</c:v>
                </c:pt>
                <c:pt idx="88">
                  <c:v>5.3819436079467237E-2</c:v>
                </c:pt>
                <c:pt idx="89">
                  <c:v>4.9240544012643009E-2</c:v>
                </c:pt>
                <c:pt idx="90">
                  <c:v>4.5079966296688735E-2</c:v>
                </c:pt>
                <c:pt idx="91">
                  <c:v>4.1164573862738543E-2</c:v>
                </c:pt>
                <c:pt idx="92">
                  <c:v>3.7623758657419959E-2</c:v>
                </c:pt>
                <c:pt idx="93">
                  <c:v>3.4367399642950165E-2</c:v>
                </c:pt>
                <c:pt idx="94">
                  <c:v>3.1450339539616096E-2</c:v>
                </c:pt>
                <c:pt idx="95">
                  <c:v>2.8723565320417078E-2</c:v>
                </c:pt>
                <c:pt idx="96">
                  <c:v>2.6267455639491642E-2</c:v>
                </c:pt>
                <c:pt idx="97">
                  <c:v>2.4013524601668338E-2</c:v>
                </c:pt>
                <c:pt idx="98">
                  <c:v>2.1940999533390845E-2</c:v>
                </c:pt>
                <c:pt idx="99">
                  <c:v>2.0048796351482462E-2</c:v>
                </c:pt>
                <c:pt idx="100">
                  <c:v>1.8364835805384658E-2</c:v>
                </c:pt>
                <c:pt idx="101">
                  <c:v>1.6809685017101207E-2</c:v>
                </c:pt>
                <c:pt idx="102">
                  <c:v>1.5281072425144834E-2</c:v>
                </c:pt>
                <c:pt idx="103">
                  <c:v>1.4008011024859416E-2</c:v>
                </c:pt>
                <c:pt idx="104">
                  <c:v>1.2778022178655814E-2</c:v>
                </c:pt>
                <c:pt idx="105">
                  <c:v>1.1685432579776899E-2</c:v>
                </c:pt>
                <c:pt idx="106">
                  <c:v>1.0711209365171089E-2</c:v>
                </c:pt>
                <c:pt idx="107">
                  <c:v>9.7977949750779197E-3</c:v>
                </c:pt>
                <c:pt idx="108">
                  <c:v>8.954395904708758E-3</c:v>
                </c:pt>
                <c:pt idx="109">
                  <c:v>8.18206657423305E-3</c:v>
                </c:pt>
                <c:pt idx="110">
                  <c:v>7.4567710119417801E-3</c:v>
                </c:pt>
                <c:pt idx="111">
                  <c:v>6.8281063274860266E-3</c:v>
                </c:pt>
                <c:pt idx="112">
                  <c:v>6.2435063164620764E-3</c:v>
                </c:pt>
                <c:pt idx="113">
                  <c:v>5.7054671519236114E-3</c:v>
                </c:pt>
                <c:pt idx="114">
                  <c:v>5.2152992729565329E-3</c:v>
                </c:pt>
                <c:pt idx="115">
                  <c:v>4.7717495394407677E-3</c:v>
                </c:pt>
                <c:pt idx="116">
                  <c:v>4.3622124611560351E-3</c:v>
                </c:pt>
                <c:pt idx="117">
                  <c:v>3.9881894373979916E-3</c:v>
                </c:pt>
                <c:pt idx="118">
                  <c:v>3.6738912826813912E-3</c:v>
                </c:pt>
              </c:numCache>
            </c:numRef>
          </c:xVal>
          <c:yVal>
            <c:numRef>
              <c:f>Table!$H$18:$H$136</c:f>
              <c:numCache>
                <c:formatCode>????0.00</c:formatCode>
                <c:ptCount val="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0.1107684426055866</c:v>
                </c:pt>
                <c:pt idx="25">
                  <c:v>0.29972638456458545</c:v>
                </c:pt>
                <c:pt idx="26">
                  <c:v>0.75905616687436162</c:v>
                </c:pt>
                <c:pt idx="27">
                  <c:v>2.0948786002342192</c:v>
                </c:pt>
                <c:pt idx="28">
                  <c:v>5.4048204598547063</c:v>
                </c:pt>
                <c:pt idx="29">
                  <c:v>10.242840589725825</c:v>
                </c:pt>
                <c:pt idx="30">
                  <c:v>7.805908724479508</c:v>
                </c:pt>
                <c:pt idx="31">
                  <c:v>5.8119791777833392</c:v>
                </c:pt>
                <c:pt idx="32">
                  <c:v>4.1305751433047533</c:v>
                </c:pt>
                <c:pt idx="33">
                  <c:v>3.020669488276809</c:v>
                </c:pt>
                <c:pt idx="34">
                  <c:v>2.8747046888123506</c:v>
                </c:pt>
                <c:pt idx="35">
                  <c:v>2.7287398893479136</c:v>
                </c:pt>
                <c:pt idx="36">
                  <c:v>2.5827750898834552</c:v>
                </c:pt>
                <c:pt idx="37">
                  <c:v>2.2929026650061459</c:v>
                </c:pt>
                <c:pt idx="38">
                  <c:v>2.1462521408578397</c:v>
                </c:pt>
                <c:pt idx="39">
                  <c:v>1.9996016167095121</c:v>
                </c:pt>
                <c:pt idx="40">
                  <c:v>1.8529510925612129</c:v>
                </c:pt>
                <c:pt idx="41">
                  <c:v>1.6465923979614132</c:v>
                </c:pt>
                <c:pt idx="42">
                  <c:v>1.4974833606386113</c:v>
                </c:pt>
                <c:pt idx="43">
                  <c:v>1.2156629574379352</c:v>
                </c:pt>
                <c:pt idx="44">
                  <c:v>0.95184416024608254</c:v>
                </c:pt>
                <c:pt idx="45">
                  <c:v>0.82369433876605314</c:v>
                </c:pt>
                <c:pt idx="46">
                  <c:v>0.79077386622926582</c:v>
                </c:pt>
                <c:pt idx="47">
                  <c:v>0.77833484179284085</c:v>
                </c:pt>
                <c:pt idx="48">
                  <c:v>0.67489243784907416</c:v>
                </c:pt>
                <c:pt idx="49">
                  <c:v>0.60257318969681251</c:v>
                </c:pt>
                <c:pt idx="50">
                  <c:v>0.63038609755875541</c:v>
                </c:pt>
                <c:pt idx="51">
                  <c:v>0.59903543331846265</c:v>
                </c:pt>
                <c:pt idx="52">
                  <c:v>0.59422362962700959</c:v>
                </c:pt>
                <c:pt idx="53">
                  <c:v>0.58418481932508826</c:v>
                </c:pt>
                <c:pt idx="54">
                  <c:v>0.54979122958253868</c:v>
                </c:pt>
                <c:pt idx="55">
                  <c:v>0.57587507323384557</c:v>
                </c:pt>
                <c:pt idx="56">
                  <c:v>0.59070862409353708</c:v>
                </c:pt>
                <c:pt idx="57">
                  <c:v>0.59053799275694985</c:v>
                </c:pt>
                <c:pt idx="58">
                  <c:v>0.58446920488607645</c:v>
                </c:pt>
                <c:pt idx="59">
                  <c:v>0.60314196081873206</c:v>
                </c:pt>
                <c:pt idx="60">
                  <c:v>0.63932149188411813</c:v>
                </c:pt>
                <c:pt idx="61">
                  <c:v>0.65073104058987497</c:v>
                </c:pt>
                <c:pt idx="62">
                  <c:v>0.69178494017012326</c:v>
                </c:pt>
                <c:pt idx="63">
                  <c:v>0.7300006718520109</c:v>
                </c:pt>
                <c:pt idx="64">
                  <c:v>0.7629666460785387</c:v>
                </c:pt>
                <c:pt idx="65">
                  <c:v>0.803019508484212</c:v>
                </c:pt>
                <c:pt idx="66">
                  <c:v>0.88215832238833514</c:v>
                </c:pt>
                <c:pt idx="67">
                  <c:v>0.88730001333047426</c:v>
                </c:pt>
                <c:pt idx="68">
                  <c:v>0.93487202996794849</c:v>
                </c:pt>
                <c:pt idx="69">
                  <c:v>0.95010940832423785</c:v>
                </c:pt>
                <c:pt idx="70">
                  <c:v>0.98225635213519524</c:v>
                </c:pt>
                <c:pt idx="71">
                  <c:v>0.98506039376628962</c:v>
                </c:pt>
                <c:pt idx="72">
                  <c:v>1.0135501392632875</c:v>
                </c:pt>
                <c:pt idx="73">
                  <c:v>0.94892067667940694</c:v>
                </c:pt>
                <c:pt idx="74">
                  <c:v>1.0125434143774896</c:v>
                </c:pt>
                <c:pt idx="75">
                  <c:v>0.98443474553216959</c:v>
                </c:pt>
                <c:pt idx="76">
                  <c:v>0.96951587900417735</c:v>
                </c:pt>
                <c:pt idx="77">
                  <c:v>0.92465121290703678</c:v>
                </c:pt>
                <c:pt idx="78">
                  <c:v>0.89501823745494846</c:v>
                </c:pt>
                <c:pt idx="79">
                  <c:v>0.89830004682843878</c:v>
                </c:pt>
                <c:pt idx="80">
                  <c:v>0.80810432231419327</c:v>
                </c:pt>
                <c:pt idx="81">
                  <c:v>0.76885342719043592</c:v>
                </c:pt>
                <c:pt idx="82">
                  <c:v>0.78158252489902225</c:v>
                </c:pt>
                <c:pt idx="83">
                  <c:v>0.67503463062955404</c:v>
                </c:pt>
                <c:pt idx="84">
                  <c:v>0.62678577635698218</c:v>
                </c:pt>
                <c:pt idx="85">
                  <c:v>0.6249088316546505</c:v>
                </c:pt>
                <c:pt idx="86">
                  <c:v>0.58941751364677941</c:v>
                </c:pt>
                <c:pt idx="87">
                  <c:v>0.5586413082396291</c:v>
                </c:pt>
                <c:pt idx="88">
                  <c:v>0.50706514290381222</c:v>
                </c:pt>
                <c:pt idx="89">
                  <c:v>0.54203319147954687</c:v>
                </c:pt>
                <c:pt idx="90">
                  <c:v>0.44767975006404015</c:v>
                </c:pt>
                <c:pt idx="91">
                  <c:v>0.42827896709533775</c:v>
                </c:pt>
                <c:pt idx="92">
                  <c:v>0.44146308170144266</c:v>
                </c:pt>
                <c:pt idx="93">
                  <c:v>0.42425775526336906</c:v>
                </c:pt>
                <c:pt idx="94">
                  <c:v>0.31123155791519252</c:v>
                </c:pt>
                <c:pt idx="95">
                  <c:v>0.34259928528912553</c:v>
                </c:pt>
                <c:pt idx="96">
                  <c:v>0.2894646870792883</c:v>
                </c:pt>
                <c:pt idx="97">
                  <c:v>0.26664558966780305</c:v>
                </c:pt>
                <c:pt idx="98">
                  <c:v>0.27828833453351365</c:v>
                </c:pt>
                <c:pt idx="99">
                  <c:v>0.2279464025323108</c:v>
                </c:pt>
                <c:pt idx="100">
                  <c:v>0.23568737750164814</c:v>
                </c:pt>
                <c:pt idx="101">
                  <c:v>0.16071765592121778</c:v>
                </c:pt>
                <c:pt idx="102">
                  <c:v>0.19868312830946877</c:v>
                </c:pt>
                <c:pt idx="103">
                  <c:v>0.15919903702568661</c:v>
                </c:pt>
                <c:pt idx="104">
                  <c:v>0.17997624610947582</c:v>
                </c:pt>
                <c:pt idx="105">
                  <c:v>9.2044230660491166E-2</c:v>
                </c:pt>
                <c:pt idx="106">
                  <c:v>7.4355448768741894E-2</c:v>
                </c:pt>
                <c:pt idx="107">
                  <c:v>9.4433069372541922E-2</c:v>
                </c:pt>
                <c:pt idx="108">
                  <c:v>6.118839729627723E-2</c:v>
                </c:pt>
                <c:pt idx="109">
                  <c:v>5.870286749346576E-2</c:v>
                </c:pt>
                <c:pt idx="110">
                  <c:v>1.6437485423509202E-2</c:v>
                </c:pt>
                <c:pt idx="111">
                  <c:v>9.306233096872063E-2</c:v>
                </c:pt>
                <c:pt idx="112">
                  <c:v>2.7727592193656392E-2</c:v>
                </c:pt>
                <c:pt idx="113">
                  <c:v>9.7487370297244524E-3</c:v>
                </c:pt>
                <c:pt idx="114">
                  <c:v>7.883167749824338E-3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64192"/>
        <c:axId val="105874944"/>
      </c:scatterChart>
      <c:valAx>
        <c:axId val="105864192"/>
        <c:scaling>
          <c:logBase val="10"/>
          <c:orientation val="minMax"/>
          <c:max val="100"/>
          <c:min val="1.0000000000000041E-3"/>
        </c:scaling>
        <c:delete val="0"/>
        <c:axPos val="b"/>
        <c:majorGridlines>
          <c:spPr>
            <a:ln w="3175">
              <a:solidFill>
                <a:srgbClr val="000000"/>
              </a:solidFill>
            </a:ln>
          </c:spPr>
        </c:majorGridlines>
        <c:minorGridlines>
          <c:spPr>
            <a:ln w="3175">
              <a:gradFill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Pore Aperture Diameter (microns)</a:t>
                </a:r>
              </a:p>
            </c:rich>
          </c:tx>
          <c:layout>
            <c:manualLayout>
              <c:xMode val="edge"/>
              <c:yMode val="edge"/>
              <c:x val="0.36675497039079008"/>
              <c:y val="0.92355761574540307"/>
            </c:manualLayout>
          </c:layout>
          <c:overlay val="0"/>
          <c:spPr>
            <a:noFill/>
            <a:ln w="25400">
              <a:noFill/>
            </a:ln>
          </c:spPr>
        </c:title>
        <c:numFmt formatCode="??0.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5874944"/>
        <c:crosses val="autoZero"/>
        <c:crossBetween val="midCat"/>
        <c:majorUnit val="10"/>
        <c:minorUnit val="10"/>
      </c:valAx>
      <c:valAx>
        <c:axId val="105874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Incremental Intrusion as Percent of Pore Volume</a:t>
                </a:r>
              </a:p>
            </c:rich>
          </c:tx>
          <c:layout>
            <c:manualLayout>
              <c:xMode val="edge"/>
              <c:yMode val="edge"/>
              <c:x val="1.0568979145875295E-2"/>
              <c:y val="0.21251221534951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580"/>
            </a:pPr>
            <a:endParaRPr lang="en-US"/>
          </a:p>
        </c:txPr>
        <c:crossAx val="105864192"/>
        <c:crossesAt val="1.0000000000000041E-3"/>
        <c:crossBetween val="midCat"/>
      </c:valAx>
      <c:spPr>
        <a:noFill/>
        <a:ln w="3175">
          <a:solidFill>
            <a:srgbClr val="000000"/>
          </a:solidFill>
        </a:ln>
      </c:spPr>
    </c:plotArea>
    <c:plotVisOnly val="0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ysClr val="windowText" lastClr="000000"/>
      </a:solidFill>
    </a:ln>
  </c:spPr>
  <c:txPr>
    <a:bodyPr/>
    <a:lstStyle/>
    <a:p>
      <a:pPr>
        <a:defRPr>
          <a:solidFill>
            <a:srgbClr val="000000"/>
          </a:solidFill>
          <a:latin typeface="Arial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161924</xdr:rowOff>
    </xdr:from>
    <xdr:to>
      <xdr:col>5</xdr:col>
      <xdr:colOff>19812</xdr:colOff>
      <xdr:row>26</xdr:row>
      <xdr:rowOff>2666</xdr:rowOff>
    </xdr:to>
    <xdr:graphicFrame macro="">
      <xdr:nvGraphicFramePr>
        <xdr:cNvPr id="2792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</xdr:colOff>
      <xdr:row>8</xdr:row>
      <xdr:rowOff>2666</xdr:rowOff>
    </xdr:from>
    <xdr:to>
      <xdr:col>10</xdr:col>
      <xdr:colOff>11049</xdr:colOff>
      <xdr:row>26</xdr:row>
      <xdr:rowOff>5333</xdr:rowOff>
    </xdr:to>
    <xdr:graphicFrame macro="">
      <xdr:nvGraphicFramePr>
        <xdr:cNvPr id="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540444</xdr:colOff>
      <xdr:row>26</xdr:row>
      <xdr:rowOff>2667</xdr:rowOff>
    </xdr:to>
    <xdr:graphicFrame macro="">
      <xdr:nvGraphicFramePr>
        <xdr:cNvPr id="2792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25</xdr:row>
      <xdr:rowOff>147759</xdr:rowOff>
    </xdr:from>
    <xdr:to>
      <xdr:col>5</xdr:col>
      <xdr:colOff>19812</xdr:colOff>
      <xdr:row>43</xdr:row>
      <xdr:rowOff>161924</xdr:rowOff>
    </xdr:to>
    <xdr:graphicFrame macro="">
      <xdr:nvGraphicFramePr>
        <xdr:cNvPr id="2792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540445</xdr:colOff>
      <xdr:row>25</xdr:row>
      <xdr:rowOff>147761</xdr:rowOff>
    </xdr:from>
    <xdr:to>
      <xdr:col>15</xdr:col>
      <xdr:colOff>0</xdr:colOff>
      <xdr:row>44</xdr:row>
      <xdr:rowOff>0</xdr:rowOff>
    </xdr:to>
    <xdr:graphicFrame macro="">
      <xdr:nvGraphicFramePr>
        <xdr:cNvPr id="10" name="Distribu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14</xdr:col>
      <xdr:colOff>862742</xdr:colOff>
      <xdr:row>30</xdr:row>
      <xdr:rowOff>159258</xdr:rowOff>
    </xdr:to>
    <xdr:graphicFrame macro="">
      <xdr:nvGraphicFramePr>
        <xdr:cNvPr id="2983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983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320802</xdr:colOff>
      <xdr:row>53</xdr:row>
      <xdr:rowOff>159258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3048</xdr:colOff>
      <xdr:row>31</xdr:row>
      <xdr:rowOff>0</xdr:rowOff>
    </xdr:from>
    <xdr:to>
      <xdr:col>14</xdr:col>
      <xdr:colOff>866775</xdr:colOff>
      <xdr:row>53</xdr:row>
      <xdr:rowOff>159258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2</xdr:row>
      <xdr:rowOff>97790</xdr:rowOff>
    </xdr:to>
    <xdr:pic>
      <xdr:nvPicPr>
        <xdr:cNvPr id="8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2</xdr:row>
      <xdr:rowOff>135890</xdr:rowOff>
    </xdr:to>
    <xdr:pic>
      <xdr:nvPicPr>
        <xdr:cNvPr id="4" name="Picture 5" descr="Weatherford Laboratorie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4597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141"/>
  <sheetViews>
    <sheetView showGridLines="0" tabSelected="1" workbookViewId="0">
      <pane xSplit="2" ySplit="17" topLeftCell="C18" activePane="bottomRight" state="frozen"/>
      <selection activeCell="E35" sqref="E35"/>
      <selection pane="topRight" activeCell="E35" sqref="E35"/>
      <selection pane="bottomLeft" activeCell="E35" sqref="E35"/>
      <selection pane="bottomRight" activeCell="A11" sqref="A11"/>
    </sheetView>
  </sheetViews>
  <sheetFormatPr defaultColWidth="8.85546875" defaultRowHeight="12.75" x14ac:dyDescent="0.2"/>
  <cols>
    <col min="1" max="13" width="10.28515625" style="151" customWidth="1"/>
    <col min="14" max="14" width="9.5703125" style="151" customWidth="1"/>
    <col min="15" max="15" width="8.85546875" style="151"/>
    <col min="16" max="17" width="10.7109375" style="151" customWidth="1"/>
    <col min="18" max="19" width="8.85546875" style="151"/>
    <col min="20" max="20" width="9.5703125" style="151" bestFit="1" customWidth="1"/>
    <col min="21" max="21" width="8.85546875" style="151"/>
    <col min="22" max="22" width="7.5703125" style="151" customWidth="1"/>
    <col min="23" max="23" width="11.5703125" style="76" bestFit="1" customWidth="1"/>
    <col min="24" max="24" width="13" style="76" customWidth="1"/>
    <col min="25" max="37" width="8.85546875" style="76"/>
    <col min="38" max="38" width="15.85546875" style="76" customWidth="1"/>
    <col min="39" max="16384" width="8.85546875" style="76"/>
  </cols>
  <sheetData>
    <row r="1" spans="1:40" x14ac:dyDescent="0.2">
      <c r="X1" s="81"/>
      <c r="Y1" s="57"/>
      <c r="Z1" s="57"/>
      <c r="AA1" s="74"/>
      <c r="AB1" s="74"/>
    </row>
    <row r="2" spans="1:40" x14ac:dyDescent="0.2">
      <c r="X2" s="125"/>
      <c r="Y2" s="125"/>
      <c r="Z2" s="72"/>
      <c r="AA2" s="72"/>
      <c r="AB2" s="89"/>
      <c r="AC2" s="89"/>
    </row>
    <row r="3" spans="1:40" x14ac:dyDescent="0.2">
      <c r="X3" s="56"/>
      <c r="Y3" s="137"/>
      <c r="Z3" s="71"/>
      <c r="AA3" s="89"/>
      <c r="AB3" s="28"/>
      <c r="AC3" s="28"/>
    </row>
    <row r="4" spans="1:40" x14ac:dyDescent="0.2">
      <c r="X4" s="56"/>
      <c r="Y4" s="137"/>
      <c r="Z4" s="71"/>
      <c r="AA4" s="89"/>
      <c r="AB4" s="28"/>
      <c r="AC4" s="28"/>
      <c r="AL4" s="105"/>
      <c r="AM4" s="105"/>
      <c r="AN4" s="105"/>
    </row>
    <row r="5" spans="1:40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8"/>
      <c r="O5" s="8"/>
      <c r="P5" s="8"/>
      <c r="Q5" s="8"/>
      <c r="R5" s="8"/>
      <c r="S5" s="8"/>
      <c r="T5" s="141"/>
      <c r="U5" s="44"/>
      <c r="V5" s="44"/>
      <c r="W5" s="137"/>
      <c r="X5" s="56"/>
      <c r="Y5" s="137"/>
      <c r="Z5" s="89"/>
      <c r="AA5" s="33"/>
      <c r="AB5" s="33"/>
      <c r="AC5" s="33"/>
      <c r="AL5" s="105"/>
      <c r="AM5" s="105"/>
      <c r="AN5" s="105"/>
    </row>
    <row r="6" spans="1:40" x14ac:dyDescent="0.2">
      <c r="A6" s="30"/>
      <c r="B6" s="44"/>
      <c r="C6" s="44"/>
      <c r="D6" s="44"/>
      <c r="E6" s="30"/>
      <c r="F6" s="30"/>
      <c r="G6" s="30"/>
      <c r="H6" s="30"/>
      <c r="I6" s="30"/>
      <c r="J6" s="30"/>
      <c r="K6" s="30"/>
      <c r="L6" s="30"/>
      <c r="M6" s="30"/>
      <c r="N6" s="30"/>
      <c r="O6" s="44"/>
      <c r="P6" s="44"/>
      <c r="Q6" s="44"/>
      <c r="R6" s="30"/>
      <c r="S6" s="44"/>
      <c r="T6" s="44"/>
      <c r="U6" s="44"/>
      <c r="V6" s="44"/>
      <c r="W6" s="137"/>
      <c r="X6" s="56"/>
      <c r="Y6" s="137"/>
      <c r="Z6" s="89"/>
      <c r="AA6" s="77"/>
      <c r="AB6" s="71"/>
      <c r="AC6" s="71"/>
      <c r="AL6" s="105"/>
      <c r="AM6" s="105"/>
      <c r="AN6" s="105"/>
    </row>
    <row r="7" spans="1:40" ht="12.4" customHeight="1" x14ac:dyDescent="0.2">
      <c r="A7" s="146" t="str">
        <f>Table!A7</f>
        <v>Shell Exploration &amp; Production Company</v>
      </c>
      <c r="B7" s="30"/>
      <c r="C7" s="30"/>
      <c r="D7" s="30"/>
      <c r="E7" s="44"/>
      <c r="F7" s="44"/>
      <c r="G7" s="44"/>
      <c r="H7" s="44"/>
      <c r="I7" s="151" t="str">
        <f>Table!L7</f>
        <v>Sample Number:</v>
      </c>
      <c r="M7" s="145" t="str">
        <f>Table!P7</f>
        <v>MC 11</v>
      </c>
      <c r="N7" s="44"/>
      <c r="O7" s="146"/>
      <c r="P7" s="65"/>
      <c r="Q7" s="125"/>
      <c r="R7" s="125"/>
      <c r="S7" s="72"/>
      <c r="T7" s="77"/>
      <c r="U7" s="54"/>
      <c r="V7" s="71"/>
      <c r="AE7" s="154"/>
      <c r="AF7" s="18"/>
      <c r="AG7" s="18"/>
    </row>
    <row r="8" spans="1:40" ht="12.4" customHeight="1" x14ac:dyDescent="0.2">
      <c r="A8" s="146" t="str">
        <f>Table!A8</f>
        <v>OCS-Y-2321 Burger J 001</v>
      </c>
      <c r="B8" s="30"/>
      <c r="C8" s="30"/>
      <c r="D8" s="30"/>
      <c r="E8" s="30"/>
      <c r="F8" s="30"/>
      <c r="G8" s="30"/>
      <c r="H8" s="30"/>
      <c r="I8" s="151" t="str">
        <f>Table!L8</f>
        <v>Sample Depth, feet:</v>
      </c>
      <c r="M8" s="60">
        <f>Table!P8</f>
        <v>0</v>
      </c>
      <c r="N8" s="44"/>
      <c r="O8" s="146"/>
      <c r="P8" s="65"/>
      <c r="Q8" s="125"/>
      <c r="R8" s="125"/>
      <c r="S8" s="72"/>
      <c r="T8" s="77"/>
      <c r="U8" s="54"/>
      <c r="V8" s="71"/>
      <c r="AE8" s="149"/>
      <c r="AF8" s="18"/>
      <c r="AG8" s="18"/>
    </row>
    <row r="9" spans="1:40" ht="12.4" customHeight="1" x14ac:dyDescent="0.2">
      <c r="A9" s="146" t="str">
        <f>Table!A9</f>
        <v>Offshore</v>
      </c>
      <c r="B9" s="30"/>
      <c r="C9" s="30"/>
      <c r="D9" s="30"/>
      <c r="E9" s="30"/>
      <c r="F9" s="30"/>
      <c r="G9" s="30"/>
      <c r="H9" s="30"/>
      <c r="I9" s="142" t="str">
        <f>Table!L9</f>
        <v>Permeability to Air (calc), mD:</v>
      </c>
      <c r="K9" s="30"/>
      <c r="L9" s="30"/>
      <c r="M9" s="163">
        <f>Table!P9</f>
        <v>70.024154203287338</v>
      </c>
      <c r="N9" s="44"/>
      <c r="O9" s="146" t="s">
        <v>37</v>
      </c>
      <c r="P9" s="65"/>
      <c r="Q9" s="137"/>
      <c r="R9" s="125"/>
      <c r="S9" s="125"/>
      <c r="T9" s="19"/>
      <c r="U9" s="19"/>
      <c r="V9" s="103"/>
      <c r="AE9" s="149"/>
      <c r="AF9" s="18"/>
      <c r="AG9" s="18"/>
    </row>
    <row r="10" spans="1:40" ht="12.4" customHeight="1" x14ac:dyDescent="0.2">
      <c r="A10" s="146" t="str">
        <f>Table!A10</f>
        <v>HH-77445</v>
      </c>
      <c r="B10" s="30"/>
      <c r="C10" s="30"/>
      <c r="D10" s="30"/>
      <c r="E10" s="44"/>
      <c r="F10" s="44"/>
      <c r="G10" s="44"/>
      <c r="H10" s="44"/>
      <c r="I10" s="142" t="str">
        <f>Table!L10</f>
        <v>Porosity, fraction:</v>
      </c>
      <c r="K10" s="30"/>
      <c r="L10" s="30"/>
      <c r="M10" s="114">
        <f>K23</f>
        <v>0.25937635562369549</v>
      </c>
      <c r="N10" s="44"/>
      <c r="O10" s="143" t="s">
        <v>37</v>
      </c>
      <c r="P10" s="59"/>
      <c r="Q10" s="137"/>
      <c r="R10" s="125"/>
      <c r="S10" s="125"/>
      <c r="T10" s="19"/>
      <c r="U10" s="72"/>
      <c r="V10" s="103"/>
      <c r="AE10" s="149"/>
      <c r="AF10" s="18"/>
      <c r="AG10" s="18"/>
    </row>
    <row r="11" spans="1:40" ht="12.4" customHeight="1" x14ac:dyDescent="0.2">
      <c r="A11" s="174" t="s">
        <v>96</v>
      </c>
      <c r="B11" s="30"/>
      <c r="C11" s="30"/>
      <c r="D11" s="30"/>
      <c r="E11" s="44"/>
      <c r="F11" s="44"/>
      <c r="G11" s="44"/>
      <c r="H11" s="30"/>
      <c r="I11" s="151" t="str">
        <f>Table!L11</f>
        <v>Grain Density, grams/cc:</v>
      </c>
      <c r="M11" s="129">
        <f>L23</f>
        <v>2.6735002682030076</v>
      </c>
      <c r="N11" s="44"/>
      <c r="O11" s="143" t="s">
        <v>37</v>
      </c>
      <c r="P11" s="59"/>
      <c r="Q11" s="125"/>
      <c r="R11" s="81"/>
      <c r="S11" s="57"/>
      <c r="T11" s="57"/>
      <c r="U11" s="78"/>
      <c r="V11" s="76"/>
      <c r="AE11" s="149"/>
      <c r="AF11" s="18"/>
      <c r="AG11" s="18"/>
    </row>
    <row r="12" spans="1:40" ht="12.4" customHeight="1" x14ac:dyDescent="0.2">
      <c r="A12" s="146"/>
      <c r="B12" s="30"/>
      <c r="C12" s="30"/>
      <c r="D12" s="30"/>
      <c r="E12" s="30"/>
      <c r="F12" s="30"/>
      <c r="G12" s="30"/>
      <c r="H12" s="30"/>
      <c r="I12" s="30"/>
      <c r="J12" s="142"/>
      <c r="K12" s="30"/>
      <c r="L12" s="30"/>
      <c r="M12" s="114"/>
      <c r="N12" s="44"/>
      <c r="O12" s="1"/>
      <c r="P12" s="89"/>
      <c r="Q12" s="125"/>
      <c r="R12" s="137"/>
      <c r="S12" s="125"/>
      <c r="T12" s="111"/>
      <c r="U12" s="137"/>
      <c r="V12" s="76"/>
      <c r="AE12" s="18"/>
      <c r="AF12" s="18"/>
      <c r="AG12" s="18"/>
    </row>
    <row r="13" spans="1:40" ht="12.4" customHeight="1" x14ac:dyDescent="0.2">
      <c r="A13" s="7"/>
      <c r="B13" s="7" t="s">
        <v>56</v>
      </c>
      <c r="C13" s="7" t="s">
        <v>55</v>
      </c>
      <c r="D13" s="7" t="s">
        <v>56</v>
      </c>
      <c r="E13" s="7" t="s">
        <v>55</v>
      </c>
      <c r="F13" s="7" t="s">
        <v>90</v>
      </c>
      <c r="G13" s="55"/>
      <c r="H13" s="55"/>
      <c r="N13" s="44"/>
      <c r="O13" s="1"/>
      <c r="P13" s="89"/>
      <c r="Q13" s="125"/>
      <c r="R13" s="125"/>
      <c r="S13" s="125"/>
      <c r="T13" s="111"/>
      <c r="U13" s="125"/>
      <c r="V13" s="76"/>
      <c r="AE13" s="18"/>
      <c r="AF13" s="18"/>
      <c r="AG13" s="18"/>
    </row>
    <row r="14" spans="1:40" ht="12.4" customHeight="1" x14ac:dyDescent="0.2">
      <c r="A14" s="79" t="s">
        <v>84</v>
      </c>
      <c r="B14" s="79" t="s">
        <v>61</v>
      </c>
      <c r="C14" s="79" t="s">
        <v>61</v>
      </c>
      <c r="D14" s="79" t="s">
        <v>61</v>
      </c>
      <c r="E14" s="79" t="s">
        <v>61</v>
      </c>
      <c r="F14" s="79" t="s">
        <v>48</v>
      </c>
      <c r="G14" s="55"/>
      <c r="H14" s="55"/>
      <c r="I14" s="46"/>
      <c r="J14" s="46"/>
      <c r="K14" s="46"/>
      <c r="L14" s="46"/>
      <c r="M14" s="46"/>
      <c r="N14" s="44"/>
      <c r="O14" s="1"/>
      <c r="P14" s="89"/>
      <c r="Q14" s="125"/>
      <c r="R14" s="125"/>
      <c r="S14" s="125"/>
      <c r="T14" s="111"/>
      <c r="U14" s="125"/>
      <c r="V14" s="76"/>
      <c r="AE14" s="18"/>
      <c r="AF14" s="18"/>
      <c r="AG14" s="18"/>
    </row>
    <row r="15" spans="1:40" ht="12.4" customHeight="1" x14ac:dyDescent="0.2">
      <c r="A15" s="79" t="s">
        <v>76</v>
      </c>
      <c r="B15" s="79" t="s">
        <v>3</v>
      </c>
      <c r="C15" s="79" t="s">
        <v>3</v>
      </c>
      <c r="D15" s="79" t="s">
        <v>5</v>
      </c>
      <c r="E15" s="79" t="s">
        <v>5</v>
      </c>
      <c r="F15" s="79" t="s">
        <v>5</v>
      </c>
      <c r="G15" s="55"/>
      <c r="H15" s="55"/>
      <c r="I15" s="55"/>
      <c r="J15" s="55"/>
      <c r="K15" s="55"/>
      <c r="L15" s="46"/>
      <c r="M15" s="46"/>
      <c r="N15" s="30"/>
      <c r="O15" s="1"/>
      <c r="P15" s="89"/>
      <c r="Q15" s="125"/>
      <c r="R15" s="125"/>
      <c r="S15" s="125"/>
      <c r="T15" s="111"/>
      <c r="U15" s="125"/>
      <c r="V15" s="76"/>
      <c r="AE15" s="18"/>
      <c r="AF15" s="18"/>
      <c r="AG15" s="18"/>
    </row>
    <row r="16" spans="1:40" ht="12.4" customHeight="1" x14ac:dyDescent="0.2">
      <c r="A16" s="109" t="s">
        <v>47</v>
      </c>
      <c r="B16" s="109" t="s">
        <v>34</v>
      </c>
      <c r="C16" s="109" t="s">
        <v>34</v>
      </c>
      <c r="D16" s="109" t="s">
        <v>24</v>
      </c>
      <c r="E16" s="109" t="s">
        <v>24</v>
      </c>
      <c r="F16" s="109" t="s">
        <v>24</v>
      </c>
      <c r="G16" s="55"/>
      <c r="H16" s="55"/>
      <c r="I16" s="55"/>
      <c r="J16" s="55"/>
      <c r="K16" s="55"/>
      <c r="L16" s="55"/>
      <c r="M16" s="55"/>
      <c r="N16" s="30"/>
      <c r="O16" s="89"/>
      <c r="P16" s="89"/>
      <c r="Q16" s="137"/>
      <c r="R16" s="76"/>
      <c r="S16" s="76"/>
      <c r="T16" s="76"/>
      <c r="U16" s="76"/>
      <c r="V16" s="76"/>
      <c r="AE16" s="18"/>
      <c r="AF16" s="18"/>
      <c r="AG16" s="18"/>
    </row>
    <row r="17" spans="1:35" ht="12.4" customHeight="1" x14ac:dyDescent="0.2">
      <c r="A17" s="44"/>
      <c r="B17" s="44"/>
      <c r="E17" s="44"/>
      <c r="F17" s="44"/>
      <c r="G17" s="44"/>
      <c r="H17" s="44"/>
      <c r="I17" s="44"/>
      <c r="J17" s="44"/>
      <c r="K17" s="44"/>
      <c r="L17" s="44"/>
      <c r="M17" s="44"/>
      <c r="N17" s="30"/>
      <c r="O17" s="89"/>
      <c r="P17" s="89"/>
      <c r="Q17" s="56"/>
      <c r="R17" s="137"/>
      <c r="S17" s="137"/>
      <c r="T17" s="45"/>
      <c r="U17" s="76"/>
      <c r="V17" s="76"/>
      <c r="AE17" s="18"/>
      <c r="AF17" s="18"/>
      <c r="AG17" s="18"/>
    </row>
    <row r="18" spans="1:35" ht="12.4" customHeight="1" x14ac:dyDescent="0.2">
      <c r="A18" s="133">
        <v>1.5110735893249512</v>
      </c>
      <c r="B18" s="84">
        <v>0</v>
      </c>
      <c r="C18" s="24">
        <f t="shared" ref="C18:C49" si="0">IF(B18-I$27&lt;0,0,B18-I$27)</f>
        <v>0</v>
      </c>
      <c r="D18" s="24">
        <f t="shared" ref="D18:D136" si="1">B18/$B$136</f>
        <v>0</v>
      </c>
      <c r="E18" s="24">
        <f t="shared" ref="E18:E49" si="2">C18/$H$23</f>
        <v>0</v>
      </c>
      <c r="F18" s="24">
        <f t="shared" ref="F18:F136" si="3">E18-E17</f>
        <v>0</v>
      </c>
      <c r="G18" s="24"/>
      <c r="H18" s="123" t="s">
        <v>75</v>
      </c>
      <c r="I18" s="53"/>
      <c r="J18" s="53"/>
      <c r="K18" s="53"/>
      <c r="L18" s="53"/>
      <c r="M18" s="160"/>
      <c r="O18" s="133"/>
      <c r="P18" s="89"/>
      <c r="Q18" s="34"/>
      <c r="R18" s="159"/>
      <c r="S18" s="25"/>
      <c r="T18" s="36"/>
      <c r="U18" s="36"/>
      <c r="V18" s="36"/>
      <c r="W18" s="48"/>
      <c r="X18" s="34"/>
      <c r="AG18" s="18"/>
      <c r="AH18" s="18"/>
      <c r="AI18" s="18"/>
    </row>
    <row r="19" spans="1:35" ht="12.4" customHeight="1" x14ac:dyDescent="0.2">
      <c r="A19" s="133">
        <v>1.588789701461792</v>
      </c>
      <c r="B19" s="84">
        <v>6.2586175528849713E-4</v>
      </c>
      <c r="C19" s="24">
        <f t="shared" si="0"/>
        <v>0</v>
      </c>
      <c r="D19" s="24">
        <f t="shared" si="1"/>
        <v>3.4642238634717895E-4</v>
      </c>
      <c r="E19" s="24">
        <f t="shared" si="2"/>
        <v>0</v>
      </c>
      <c r="F19" s="24">
        <f t="shared" si="3"/>
        <v>0</v>
      </c>
      <c r="G19" s="24"/>
      <c r="H19" s="7" t="s">
        <v>88</v>
      </c>
      <c r="I19" s="7" t="s">
        <v>2</v>
      </c>
      <c r="J19" s="7" t="s">
        <v>83</v>
      </c>
      <c r="K19" s="7"/>
      <c r="L19" s="7" t="s">
        <v>83</v>
      </c>
      <c r="M19" s="7" t="s">
        <v>15</v>
      </c>
      <c r="O19" s="133"/>
      <c r="P19" s="89"/>
      <c r="Q19" s="34"/>
      <c r="R19" s="159"/>
      <c r="S19" s="55"/>
      <c r="T19" s="55"/>
      <c r="U19" s="55"/>
      <c r="V19" s="55"/>
      <c r="W19" s="48"/>
      <c r="X19" s="34"/>
      <c r="AG19" s="18"/>
      <c r="AH19" s="18"/>
      <c r="AI19" s="18"/>
    </row>
    <row r="20" spans="1:35" ht="12.4" customHeight="1" x14ac:dyDescent="0.2">
      <c r="A20" s="133">
        <v>1.8008730411529541</v>
      </c>
      <c r="B20" s="84">
        <v>1.7235935922144563E-3</v>
      </c>
      <c r="C20" s="24">
        <f t="shared" si="0"/>
        <v>0</v>
      </c>
      <c r="D20" s="24">
        <f t="shared" si="1"/>
        <v>9.5403082272123058E-4</v>
      </c>
      <c r="E20" s="24">
        <f t="shared" si="2"/>
        <v>0</v>
      </c>
      <c r="F20" s="24">
        <f t="shared" si="3"/>
        <v>0</v>
      </c>
      <c r="G20" s="24"/>
      <c r="H20" s="79" t="s">
        <v>3</v>
      </c>
      <c r="I20" s="79" t="s">
        <v>3</v>
      </c>
      <c r="J20" s="79" t="s">
        <v>3</v>
      </c>
      <c r="K20" s="79" t="s">
        <v>60</v>
      </c>
      <c r="L20" s="79" t="s">
        <v>38</v>
      </c>
      <c r="M20" s="79" t="s">
        <v>9</v>
      </c>
      <c r="O20" s="133"/>
      <c r="P20" s="89"/>
      <c r="Q20" s="34"/>
      <c r="R20" s="159"/>
      <c r="S20" s="55"/>
      <c r="T20" s="55"/>
      <c r="U20" s="55"/>
      <c r="V20" s="55"/>
      <c r="W20" s="48"/>
      <c r="X20" s="34"/>
      <c r="AG20" s="18"/>
      <c r="AH20" s="18"/>
      <c r="AI20" s="18"/>
    </row>
    <row r="21" spans="1:35" ht="12.4" customHeight="1" x14ac:dyDescent="0.2">
      <c r="A21" s="133">
        <v>2.0034613609313965</v>
      </c>
      <c r="B21" s="84">
        <v>2.4778578972109245E-3</v>
      </c>
      <c r="C21" s="24">
        <f t="shared" si="0"/>
        <v>0</v>
      </c>
      <c r="D21" s="24">
        <f t="shared" si="1"/>
        <v>1.3715256420890106E-3</v>
      </c>
      <c r="E21" s="24">
        <f t="shared" si="2"/>
        <v>0</v>
      </c>
      <c r="F21" s="24">
        <f t="shared" si="3"/>
        <v>0</v>
      </c>
      <c r="G21" s="24"/>
      <c r="H21" s="109" t="s">
        <v>34</v>
      </c>
      <c r="I21" s="109" t="s">
        <v>34</v>
      </c>
      <c r="J21" s="109" t="s">
        <v>34</v>
      </c>
      <c r="K21" s="109" t="s">
        <v>24</v>
      </c>
      <c r="L21" s="109" t="s">
        <v>25</v>
      </c>
      <c r="M21" s="109" t="s">
        <v>18</v>
      </c>
      <c r="O21" s="133"/>
      <c r="P21" s="89"/>
      <c r="Q21" s="34"/>
      <c r="R21" s="159"/>
      <c r="S21" s="55"/>
      <c r="T21" s="55"/>
      <c r="U21" s="55"/>
      <c r="V21" s="55"/>
      <c r="W21" s="48"/>
      <c r="X21" s="34"/>
      <c r="AG21" s="92"/>
      <c r="AH21" s="18"/>
      <c r="AI21" s="18"/>
    </row>
    <row r="22" spans="1:35" ht="12.4" customHeight="1" x14ac:dyDescent="0.2">
      <c r="A22" s="133">
        <v>2.1601700782775879</v>
      </c>
      <c r="B22" s="84">
        <v>5.9189019890982311E-3</v>
      </c>
      <c r="C22" s="24">
        <f t="shared" si="0"/>
        <v>0</v>
      </c>
      <c r="D22" s="24">
        <f t="shared" si="1"/>
        <v>3.2761870082208535E-3</v>
      </c>
      <c r="E22" s="24">
        <f t="shared" si="2"/>
        <v>0</v>
      </c>
      <c r="F22" s="24">
        <f t="shared" si="3"/>
        <v>0</v>
      </c>
      <c r="G22" s="24"/>
      <c r="H22" s="127"/>
      <c r="I22" s="133"/>
      <c r="J22" s="133"/>
      <c r="K22" s="133"/>
      <c r="L22" s="133"/>
      <c r="M22" s="133"/>
      <c r="O22" s="133"/>
      <c r="P22" s="89"/>
      <c r="Q22" s="34"/>
      <c r="R22" s="159"/>
      <c r="S22" s="39"/>
      <c r="T22" s="48"/>
      <c r="U22" s="48"/>
      <c r="V22" s="48"/>
      <c r="W22" s="48"/>
      <c r="X22" s="34"/>
      <c r="AG22" s="92"/>
      <c r="AH22" s="18"/>
      <c r="AI22" s="18"/>
    </row>
    <row r="23" spans="1:35" ht="12.4" customHeight="1" x14ac:dyDescent="0.2">
      <c r="A23" s="133">
        <v>2.3577313423156738</v>
      </c>
      <c r="B23" s="84">
        <v>8.8869262644220726E-3</v>
      </c>
      <c r="C23" s="24">
        <f t="shared" si="0"/>
        <v>0</v>
      </c>
      <c r="D23" s="24">
        <f t="shared" si="1"/>
        <v>4.9190259315228333E-3</v>
      </c>
      <c r="E23" s="24">
        <f t="shared" si="2"/>
        <v>0</v>
      </c>
      <c r="F23" s="24">
        <f t="shared" si="3"/>
        <v>0</v>
      </c>
      <c r="G23" s="24"/>
      <c r="H23" s="69">
        <f>C136</f>
        <v>1.7906928258936388</v>
      </c>
      <c r="I23" s="69">
        <f>(Table!AJ5-(Table!AJ4-Table!AJ2-'Raw Data'!M23)/Table!AJ3)-'Raw Data'!I27</f>
        <v>6.903839872326623</v>
      </c>
      <c r="J23" s="69">
        <f>I23-H23</f>
        <v>5.1131470464329842</v>
      </c>
      <c r="K23" s="61">
        <f>H23/I23</f>
        <v>0.25937635562369549</v>
      </c>
      <c r="L23" s="69">
        <f>M23/J23</f>
        <v>2.6735002682030076</v>
      </c>
      <c r="M23" s="69">
        <v>13.67</v>
      </c>
      <c r="O23" s="157"/>
      <c r="P23" s="89"/>
      <c r="Q23" s="34"/>
      <c r="R23" s="159"/>
      <c r="S23" s="6"/>
      <c r="T23" s="6"/>
      <c r="U23" s="6"/>
      <c r="V23" s="6"/>
      <c r="W23" s="48"/>
      <c r="X23" s="34"/>
      <c r="AG23" s="92"/>
      <c r="AH23" s="18"/>
      <c r="AI23" s="18"/>
    </row>
    <row r="24" spans="1:35" ht="12.4" customHeight="1" x14ac:dyDescent="0.2">
      <c r="A24" s="133">
        <v>2.5686178207397461</v>
      </c>
      <c r="B24" s="84">
        <v>9.6507668035701495E-3</v>
      </c>
      <c r="C24" s="24">
        <f t="shared" si="0"/>
        <v>0</v>
      </c>
      <c r="D24" s="24">
        <f t="shared" si="1"/>
        <v>5.34182131744383E-3</v>
      </c>
      <c r="E24" s="24">
        <f t="shared" si="2"/>
        <v>0</v>
      </c>
      <c r="F24" s="24">
        <f t="shared" si="3"/>
        <v>0</v>
      </c>
      <c r="G24" s="24"/>
      <c r="H24" s="127"/>
      <c r="I24" s="133"/>
      <c r="J24" s="133"/>
      <c r="K24" s="133"/>
      <c r="L24" s="133"/>
      <c r="M24" s="122"/>
      <c r="O24" s="133"/>
      <c r="P24" s="89"/>
      <c r="Q24" s="34"/>
      <c r="R24" s="159"/>
      <c r="S24" s="76"/>
      <c r="T24" s="76"/>
      <c r="U24" s="76"/>
      <c r="V24" s="76"/>
      <c r="W24" s="48"/>
      <c r="X24" s="34"/>
      <c r="AG24" s="92"/>
      <c r="AH24" s="18"/>
      <c r="AI24" s="18"/>
    </row>
    <row r="25" spans="1:35" ht="12.4" customHeight="1" x14ac:dyDescent="0.2">
      <c r="A25" s="133">
        <v>2.8085479736328125</v>
      </c>
      <c r="B25" s="84">
        <v>1.093571759880433E-2</v>
      </c>
      <c r="C25" s="24">
        <f t="shared" si="0"/>
        <v>0</v>
      </c>
      <c r="D25" s="24">
        <f t="shared" si="1"/>
        <v>6.053057811865094E-3</v>
      </c>
      <c r="E25" s="24">
        <f t="shared" si="2"/>
        <v>0</v>
      </c>
      <c r="F25" s="24">
        <f t="shared" si="3"/>
        <v>0</v>
      </c>
      <c r="G25" s="24"/>
      <c r="I25" s="166" t="s">
        <v>35</v>
      </c>
      <c r="J25" s="167"/>
      <c r="K25" s="166" t="s">
        <v>63</v>
      </c>
      <c r="L25" s="167"/>
      <c r="M25" s="39"/>
      <c r="O25" s="133"/>
      <c r="P25" s="89"/>
      <c r="Q25" s="34"/>
      <c r="R25" s="159"/>
      <c r="S25" s="25"/>
      <c r="T25" s="36"/>
      <c r="U25" s="36"/>
      <c r="V25" s="36"/>
      <c r="W25" s="48"/>
      <c r="X25" s="34"/>
      <c r="AG25" s="13"/>
      <c r="AH25" s="18"/>
      <c r="AI25" s="18"/>
    </row>
    <row r="26" spans="1:35" ht="12.4" customHeight="1" x14ac:dyDescent="0.2">
      <c r="A26" s="133">
        <v>3.092841625213623</v>
      </c>
      <c r="B26" s="84">
        <v>1.1398662278115807E-2</v>
      </c>
      <c r="C26" s="24">
        <f t="shared" si="0"/>
        <v>0</v>
      </c>
      <c r="D26" s="24">
        <f t="shared" si="1"/>
        <v>6.3093035389744064E-3</v>
      </c>
      <c r="E26" s="24">
        <f t="shared" si="2"/>
        <v>0</v>
      </c>
      <c r="F26" s="24">
        <f t="shared" si="3"/>
        <v>0</v>
      </c>
      <c r="G26" s="24"/>
      <c r="I26" s="168" t="s">
        <v>34</v>
      </c>
      <c r="J26" s="169"/>
      <c r="K26" s="168" t="s">
        <v>47</v>
      </c>
      <c r="L26" s="169"/>
      <c r="M26" s="76"/>
      <c r="O26" s="133"/>
      <c r="P26" s="89"/>
      <c r="Q26" s="34"/>
      <c r="R26" s="159"/>
      <c r="S26" s="55"/>
      <c r="T26" s="55"/>
      <c r="U26" s="55"/>
      <c r="V26" s="55"/>
      <c r="W26" s="48"/>
      <c r="X26" s="34"/>
      <c r="AG26" s="13"/>
      <c r="AH26" s="18"/>
      <c r="AI26" s="18"/>
    </row>
    <row r="27" spans="1:35" ht="12.4" customHeight="1" x14ac:dyDescent="0.2">
      <c r="A27" s="133">
        <v>3.3805665969848633</v>
      </c>
      <c r="B27" s="84">
        <v>1.1751366081916785E-2</v>
      </c>
      <c r="C27" s="24">
        <f t="shared" si="0"/>
        <v>0</v>
      </c>
      <c r="D27" s="24">
        <f t="shared" si="1"/>
        <v>6.504529549118036E-3</v>
      </c>
      <c r="E27" s="24">
        <f t="shared" si="2"/>
        <v>0</v>
      </c>
      <c r="F27" s="24">
        <f t="shared" si="3"/>
        <v>0</v>
      </c>
      <c r="G27" s="24"/>
      <c r="I27" s="152">
        <v>1.5950682015427445E-2</v>
      </c>
      <c r="J27" s="130"/>
      <c r="K27" s="93">
        <f ca="1">LOOKUP(I27,B$18:B$136,OFFSET(A$18:A$136,1,0))</f>
        <v>12.888889312744141</v>
      </c>
      <c r="L27" s="130"/>
      <c r="M27" s="11"/>
      <c r="O27" s="133"/>
      <c r="P27" s="89"/>
      <c r="Q27" s="34"/>
      <c r="R27" s="159"/>
      <c r="S27" s="55"/>
      <c r="T27" s="55"/>
      <c r="U27" s="55"/>
      <c r="V27" s="55"/>
      <c r="W27" s="48"/>
      <c r="X27" s="34"/>
      <c r="AG27" s="13"/>
      <c r="AH27" s="18"/>
      <c r="AI27" s="18"/>
    </row>
    <row r="28" spans="1:35" ht="12.4" customHeight="1" x14ac:dyDescent="0.2">
      <c r="A28" s="133">
        <v>3.7120962142944336</v>
      </c>
      <c r="B28" s="84">
        <v>1.2031241968543327E-2</v>
      </c>
      <c r="C28" s="24">
        <f t="shared" si="0"/>
        <v>0</v>
      </c>
      <c r="D28" s="24">
        <f t="shared" si="1"/>
        <v>6.659444387270284E-3</v>
      </c>
      <c r="E28" s="24">
        <f t="shared" si="2"/>
        <v>0</v>
      </c>
      <c r="F28" s="24">
        <f t="shared" si="3"/>
        <v>0</v>
      </c>
      <c r="G28" s="24"/>
      <c r="O28" s="133"/>
      <c r="P28" s="89"/>
      <c r="Q28" s="34"/>
      <c r="R28" s="159"/>
      <c r="S28" s="55"/>
      <c r="T28" s="55"/>
      <c r="U28" s="55"/>
      <c r="V28" s="55"/>
      <c r="W28" s="48"/>
      <c r="X28" s="34"/>
      <c r="AG28" s="13"/>
      <c r="AH28" s="18"/>
      <c r="AI28" s="18"/>
    </row>
    <row r="29" spans="1:35" ht="12.4" customHeight="1" x14ac:dyDescent="0.2">
      <c r="A29" s="133">
        <v>4.0473761558532715</v>
      </c>
      <c r="B29" s="84">
        <v>1.239209531868255E-2</v>
      </c>
      <c r="C29" s="24">
        <f t="shared" si="0"/>
        <v>0</v>
      </c>
      <c r="D29" s="24">
        <f t="shared" si="1"/>
        <v>6.8591812742429988E-3</v>
      </c>
      <c r="E29" s="24">
        <f t="shared" si="2"/>
        <v>0</v>
      </c>
      <c r="F29" s="24">
        <f t="shared" si="3"/>
        <v>0</v>
      </c>
      <c r="G29" s="24"/>
      <c r="O29" s="133"/>
      <c r="P29" s="89"/>
      <c r="Q29" s="34"/>
      <c r="R29" s="159"/>
      <c r="S29" s="39"/>
      <c r="T29" s="48"/>
      <c r="U29" s="48"/>
      <c r="V29" s="48"/>
      <c r="W29" s="48"/>
      <c r="X29" s="34"/>
      <c r="AG29" s="106"/>
      <c r="AH29" s="18"/>
      <c r="AI29" s="18"/>
    </row>
    <row r="30" spans="1:35" ht="12.4" customHeight="1" x14ac:dyDescent="0.2">
      <c r="A30" s="133">
        <v>4.4245462417602539</v>
      </c>
      <c r="B30" s="84">
        <v>1.2740659897717705E-2</v>
      </c>
      <c r="C30" s="24">
        <f t="shared" si="0"/>
        <v>0</v>
      </c>
      <c r="D30" s="24">
        <f t="shared" si="1"/>
        <v>7.0521161711992724E-3</v>
      </c>
      <c r="E30" s="24">
        <f t="shared" si="2"/>
        <v>0</v>
      </c>
      <c r="F30" s="24">
        <f t="shared" si="3"/>
        <v>0</v>
      </c>
      <c r="G30" s="24"/>
      <c r="N30" s="67"/>
      <c r="O30" s="24"/>
      <c r="P30" s="89"/>
      <c r="Q30" s="76"/>
      <c r="R30" s="159"/>
      <c r="S30" s="6"/>
      <c r="T30" s="6"/>
      <c r="U30" s="6"/>
      <c r="V30" s="6"/>
      <c r="W30" s="155"/>
      <c r="X30" s="116"/>
    </row>
    <row r="31" spans="1:35" ht="12.4" customHeight="1" x14ac:dyDescent="0.2">
      <c r="A31" s="133">
        <v>4.8120889663696289</v>
      </c>
      <c r="B31" s="84">
        <v>1.3209567543271987E-2</v>
      </c>
      <c r="C31" s="24">
        <f t="shared" si="0"/>
        <v>0</v>
      </c>
      <c r="D31" s="24">
        <f t="shared" si="1"/>
        <v>7.3116624754377742E-3</v>
      </c>
      <c r="E31" s="24">
        <f t="shared" si="2"/>
        <v>0</v>
      </c>
      <c r="F31" s="24">
        <f t="shared" si="3"/>
        <v>0</v>
      </c>
      <c r="G31" s="24"/>
      <c r="O31" s="73"/>
      <c r="P31" s="89"/>
      <c r="Q31" s="6"/>
      <c r="R31" s="76"/>
      <c r="S31" s="76"/>
      <c r="T31" s="76"/>
      <c r="U31" s="76"/>
      <c r="V31" s="76"/>
    </row>
    <row r="32" spans="1:35" ht="12.4" customHeight="1" x14ac:dyDescent="0.2">
      <c r="A32" s="133">
        <v>5.2726402282714844</v>
      </c>
      <c r="B32" s="84">
        <v>1.3324949428242689E-2</v>
      </c>
      <c r="C32" s="24">
        <f t="shared" si="0"/>
        <v>0</v>
      </c>
      <c r="D32" s="24">
        <f t="shared" si="1"/>
        <v>7.3755278060719512E-3</v>
      </c>
      <c r="E32" s="24">
        <f t="shared" si="2"/>
        <v>0</v>
      </c>
      <c r="F32" s="24">
        <f t="shared" si="3"/>
        <v>0</v>
      </c>
      <c r="G32" s="24"/>
      <c r="N32" s="122"/>
      <c r="O32" s="73"/>
      <c r="P32" s="89"/>
      <c r="Q32" s="6"/>
      <c r="R32" s="76"/>
      <c r="S32" s="76"/>
      <c r="T32" s="76"/>
      <c r="U32" s="76"/>
      <c r="V32" s="76"/>
    </row>
    <row r="33" spans="1:22" ht="12.4" customHeight="1" x14ac:dyDescent="0.2">
      <c r="A33" s="133">
        <v>5.7738046646118164</v>
      </c>
      <c r="B33" s="84">
        <v>1.3324949428242689E-2</v>
      </c>
      <c r="C33" s="24">
        <f t="shared" si="0"/>
        <v>0</v>
      </c>
      <c r="D33" s="24">
        <f t="shared" si="1"/>
        <v>7.3755278060719512E-3</v>
      </c>
      <c r="E33" s="24">
        <f t="shared" si="2"/>
        <v>0</v>
      </c>
      <c r="F33" s="24">
        <f t="shared" si="3"/>
        <v>0</v>
      </c>
      <c r="G33" s="24"/>
      <c r="N33" s="122"/>
      <c r="O33" s="73"/>
      <c r="P33" s="89"/>
      <c r="Q33" s="6"/>
      <c r="R33" s="76"/>
      <c r="S33" s="76"/>
      <c r="T33" s="76"/>
      <c r="U33" s="76"/>
      <c r="V33" s="76"/>
    </row>
    <row r="34" spans="1:22" ht="12.4" customHeight="1" x14ac:dyDescent="0.2">
      <c r="A34" s="133">
        <v>6.3101568222045898</v>
      </c>
      <c r="B34" s="84">
        <v>1.3500598330319918E-2</v>
      </c>
      <c r="C34" s="24">
        <f t="shared" si="0"/>
        <v>0</v>
      </c>
      <c r="D34" s="24">
        <f t="shared" si="1"/>
        <v>7.4727516918625236E-3</v>
      </c>
      <c r="E34" s="24">
        <f t="shared" si="2"/>
        <v>0</v>
      </c>
      <c r="F34" s="24">
        <f t="shared" si="3"/>
        <v>0</v>
      </c>
      <c r="G34" s="24"/>
      <c r="N34" s="122"/>
      <c r="O34" s="73"/>
      <c r="P34" s="89"/>
      <c r="Q34" s="6"/>
      <c r="R34" s="76"/>
      <c r="S34" s="76"/>
      <c r="T34" s="76"/>
      <c r="U34" s="76"/>
      <c r="V34" s="76"/>
    </row>
    <row r="35" spans="1:22" ht="12.4" customHeight="1" x14ac:dyDescent="0.2">
      <c r="A35" s="133">
        <v>6.9004478454589844</v>
      </c>
      <c r="B35" s="84">
        <v>1.3616748064559942E-2</v>
      </c>
      <c r="C35" s="24">
        <f t="shared" si="0"/>
        <v>0</v>
      </c>
      <c r="D35" s="24">
        <f t="shared" si="1"/>
        <v>7.537042036765404E-3</v>
      </c>
      <c r="E35" s="24">
        <f t="shared" si="2"/>
        <v>0</v>
      </c>
      <c r="F35" s="24">
        <f t="shared" si="3"/>
        <v>0</v>
      </c>
      <c r="G35" s="24"/>
      <c r="H35" s="127"/>
      <c r="I35" s="133"/>
      <c r="J35" s="133"/>
      <c r="K35" s="48"/>
      <c r="L35" s="48"/>
      <c r="M35" s="48"/>
      <c r="N35" s="122"/>
      <c r="O35" s="73"/>
      <c r="P35" s="89"/>
      <c r="Q35" s="6"/>
      <c r="R35" s="76"/>
      <c r="S35" s="76"/>
      <c r="T35" s="76"/>
      <c r="U35" s="76"/>
      <c r="V35" s="76"/>
    </row>
    <row r="36" spans="1:22" ht="12.4" customHeight="1" x14ac:dyDescent="0.2">
      <c r="A36" s="133">
        <v>7.549065113067627</v>
      </c>
      <c r="B36" s="84">
        <v>1.3850490930526576E-2</v>
      </c>
      <c r="C36" s="24">
        <f t="shared" si="0"/>
        <v>0</v>
      </c>
      <c r="D36" s="24">
        <f t="shared" si="1"/>
        <v>7.6664216653104722E-3</v>
      </c>
      <c r="E36" s="24">
        <f t="shared" si="2"/>
        <v>0</v>
      </c>
      <c r="F36" s="24">
        <f t="shared" si="3"/>
        <v>0</v>
      </c>
      <c r="G36" s="24"/>
      <c r="H36" s="127"/>
      <c r="I36" s="133"/>
      <c r="J36" s="133"/>
      <c r="K36" s="133"/>
      <c r="L36" s="133"/>
      <c r="M36" s="133"/>
      <c r="N36" s="122"/>
      <c r="O36" s="73"/>
      <c r="P36" s="89"/>
      <c r="Q36" s="6"/>
      <c r="R36" s="76"/>
      <c r="S36" s="76"/>
      <c r="T36" s="76"/>
      <c r="U36" s="76"/>
      <c r="V36" s="76"/>
    </row>
    <row r="37" spans="1:22" ht="12.4" customHeight="1" x14ac:dyDescent="0.2">
      <c r="A37" s="133">
        <v>8.2571268081665039</v>
      </c>
      <c r="B37" s="84">
        <v>1.4258880118177331E-2</v>
      </c>
      <c r="C37" s="24">
        <f t="shared" si="0"/>
        <v>0</v>
      </c>
      <c r="D37" s="24">
        <f t="shared" si="1"/>
        <v>7.8924702387356792E-3</v>
      </c>
      <c r="E37" s="24">
        <f t="shared" si="2"/>
        <v>0</v>
      </c>
      <c r="F37" s="24">
        <f t="shared" si="3"/>
        <v>0</v>
      </c>
      <c r="G37" s="24"/>
      <c r="H37" s="127"/>
      <c r="I37" s="133"/>
      <c r="J37" s="133"/>
      <c r="K37" s="133"/>
      <c r="L37" s="133"/>
      <c r="M37" s="133"/>
      <c r="N37" s="122"/>
      <c r="O37" s="73"/>
      <c r="P37" s="89"/>
      <c r="Q37" s="6"/>
      <c r="R37" s="76"/>
      <c r="S37" s="76"/>
      <c r="T37" s="76"/>
      <c r="U37" s="76"/>
      <c r="V37" s="76"/>
    </row>
    <row r="38" spans="1:22" ht="12.4" customHeight="1" x14ac:dyDescent="0.2">
      <c r="A38" s="133">
        <v>9.0387554168701172</v>
      </c>
      <c r="B38" s="84">
        <v>1.47254698933466E-2</v>
      </c>
      <c r="C38" s="24">
        <f t="shared" si="0"/>
        <v>0</v>
      </c>
      <c r="D38" s="24">
        <f t="shared" si="1"/>
        <v>8.1507335724407774E-3</v>
      </c>
      <c r="E38" s="24">
        <f t="shared" si="2"/>
        <v>0</v>
      </c>
      <c r="F38" s="24">
        <f t="shared" si="3"/>
        <v>0</v>
      </c>
      <c r="G38" s="24"/>
      <c r="N38" s="122"/>
      <c r="O38" s="73"/>
      <c r="P38" s="89"/>
      <c r="Q38" s="6"/>
      <c r="R38" s="76"/>
      <c r="S38" s="76"/>
      <c r="T38" s="76"/>
      <c r="U38" s="76"/>
      <c r="V38" s="76"/>
    </row>
    <row r="39" spans="1:22" ht="12.4" customHeight="1" x14ac:dyDescent="0.2">
      <c r="A39" s="133">
        <v>9.8886842727661133</v>
      </c>
      <c r="B39" s="84">
        <v>1.4725495355705789E-2</v>
      </c>
      <c r="C39" s="24">
        <f t="shared" si="0"/>
        <v>0</v>
      </c>
      <c r="D39" s="24">
        <f t="shared" si="1"/>
        <v>8.1507476661781854E-3</v>
      </c>
      <c r="E39" s="24">
        <f t="shared" si="2"/>
        <v>0</v>
      </c>
      <c r="F39" s="24">
        <f t="shared" si="3"/>
        <v>0</v>
      </c>
      <c r="G39" s="24"/>
      <c r="N39" s="122"/>
      <c r="O39" s="73"/>
      <c r="P39" s="89"/>
      <c r="Q39" s="6"/>
      <c r="R39" s="76"/>
      <c r="S39" s="76"/>
      <c r="T39" s="76"/>
      <c r="U39" s="76"/>
      <c r="V39" s="76"/>
    </row>
    <row r="40" spans="1:22" ht="12.4" customHeight="1" x14ac:dyDescent="0.2">
      <c r="A40" s="133">
        <v>10.793349266052246</v>
      </c>
      <c r="B40" s="84">
        <v>1.4958649404616154E-2</v>
      </c>
      <c r="C40" s="24">
        <f t="shared" si="0"/>
        <v>0</v>
      </c>
      <c r="D40" s="24">
        <f t="shared" si="1"/>
        <v>8.2798013770456966E-3</v>
      </c>
      <c r="E40" s="24">
        <f t="shared" si="2"/>
        <v>0</v>
      </c>
      <c r="F40" s="24">
        <f t="shared" si="3"/>
        <v>0</v>
      </c>
      <c r="G40" s="24"/>
      <c r="N40" s="122"/>
      <c r="O40" s="73"/>
      <c r="P40" s="89"/>
      <c r="Q40" s="6"/>
      <c r="R40" s="76"/>
      <c r="S40" s="76"/>
      <c r="T40" s="76"/>
      <c r="U40" s="76"/>
      <c r="V40" s="76"/>
    </row>
    <row r="41" spans="1:22" ht="12.4" customHeight="1" x14ac:dyDescent="0.2">
      <c r="A41" s="133">
        <v>11.889033317565918</v>
      </c>
      <c r="B41" s="84">
        <v>1.5950682015427445E-2</v>
      </c>
      <c r="C41" s="24">
        <f t="shared" si="0"/>
        <v>0</v>
      </c>
      <c r="D41" s="24">
        <f t="shared" si="1"/>
        <v>8.8289039567568586E-3</v>
      </c>
      <c r="E41" s="24">
        <f t="shared" si="2"/>
        <v>0</v>
      </c>
      <c r="F41" s="24">
        <f t="shared" si="3"/>
        <v>0</v>
      </c>
      <c r="G41" s="24"/>
      <c r="N41" s="122"/>
      <c r="O41" s="73"/>
      <c r="P41" s="89"/>
      <c r="Q41" s="6"/>
      <c r="R41" s="76"/>
      <c r="S41" s="76"/>
      <c r="T41" s="76"/>
      <c r="U41" s="76"/>
      <c r="V41" s="76"/>
    </row>
    <row r="42" spans="1:22" ht="12.4" customHeight="1" x14ac:dyDescent="0.2">
      <c r="A42" s="133">
        <v>12.888889312744141</v>
      </c>
      <c r="B42" s="84">
        <v>1.7934204570519797E-2</v>
      </c>
      <c r="C42" s="24">
        <f t="shared" si="0"/>
        <v>1.983522555092352E-3</v>
      </c>
      <c r="D42" s="24">
        <f t="shared" si="1"/>
        <v>9.9268087434006818E-3</v>
      </c>
      <c r="E42" s="24">
        <f t="shared" si="2"/>
        <v>1.107684426055866E-3</v>
      </c>
      <c r="F42" s="24">
        <f t="shared" si="3"/>
        <v>1.107684426055866E-3</v>
      </c>
      <c r="G42" s="24"/>
      <c r="H42" s="127"/>
      <c r="I42" s="133"/>
      <c r="J42" s="133"/>
      <c r="K42" s="133"/>
      <c r="L42" s="133"/>
      <c r="M42" s="133"/>
      <c r="N42" s="122"/>
      <c r="O42" s="73"/>
      <c r="P42" s="89"/>
      <c r="Q42" s="6"/>
      <c r="R42" s="76"/>
      <c r="S42" s="76"/>
      <c r="T42" s="76"/>
      <c r="U42" s="76"/>
      <c r="V42" s="76"/>
    </row>
    <row r="43" spans="1:22" ht="12.4" customHeight="1" x14ac:dyDescent="0.2">
      <c r="A43" s="133">
        <v>14.186123847961426</v>
      </c>
      <c r="B43" s="84">
        <v>2.3301383436228208E-2</v>
      </c>
      <c r="C43" s="24">
        <f t="shared" si="0"/>
        <v>7.3507014208007634E-3</v>
      </c>
      <c r="D43" s="24">
        <f t="shared" si="1"/>
        <v>1.2897610034420271E-2</v>
      </c>
      <c r="E43" s="24">
        <f t="shared" si="2"/>
        <v>4.1049482717017208E-3</v>
      </c>
      <c r="F43" s="24">
        <f t="shared" si="3"/>
        <v>2.9972638456458546E-3</v>
      </c>
      <c r="G43" s="24"/>
      <c r="H43" s="127"/>
      <c r="I43" s="133"/>
      <c r="J43" s="133"/>
      <c r="K43" s="133"/>
      <c r="L43" s="133"/>
      <c r="M43" s="42"/>
      <c r="N43" s="122"/>
      <c r="O43" s="73"/>
      <c r="P43" s="89"/>
      <c r="Q43" s="6"/>
      <c r="R43" s="76"/>
      <c r="S43" s="76"/>
      <c r="T43" s="76"/>
      <c r="U43" s="76"/>
      <c r="V43" s="76"/>
    </row>
    <row r="44" spans="1:22" ht="12.4" customHeight="1" x14ac:dyDescent="0.2">
      <c r="A44" s="133">
        <v>15.484156608581543</v>
      </c>
      <c r="B44" s="84">
        <v>3.6893747760950647E-2</v>
      </c>
      <c r="C44" s="24">
        <f t="shared" si="0"/>
        <v>2.0943065745523202E-2</v>
      </c>
      <c r="D44" s="24">
        <f t="shared" si="1"/>
        <v>2.042115536321271E-2</v>
      </c>
      <c r="E44" s="24">
        <f t="shared" si="2"/>
        <v>1.1695509940445336E-2</v>
      </c>
      <c r="F44" s="24">
        <f t="shared" si="3"/>
        <v>7.5905616687436152E-3</v>
      </c>
      <c r="G44" s="24"/>
      <c r="H44" s="127"/>
      <c r="I44" s="133"/>
      <c r="J44" s="133"/>
      <c r="K44" s="133"/>
      <c r="L44" s="133"/>
      <c r="M44" s="42"/>
      <c r="N44" s="122"/>
      <c r="O44" s="73"/>
      <c r="P44" s="89"/>
      <c r="Q44" s="6"/>
      <c r="R44" s="76"/>
      <c r="S44" s="76"/>
      <c r="T44" s="76"/>
      <c r="U44" s="76"/>
      <c r="V44" s="76"/>
    </row>
    <row r="45" spans="1:22" ht="12.4" customHeight="1" x14ac:dyDescent="0.2">
      <c r="A45" s="133">
        <v>16.876182556152344</v>
      </c>
      <c r="B45" s="84">
        <v>7.4406588566525891E-2</v>
      </c>
      <c r="C45" s="24">
        <f t="shared" si="0"/>
        <v>5.8455906551098447E-2</v>
      </c>
      <c r="D45" s="24">
        <f t="shared" si="1"/>
        <v>4.1184986545929572E-2</v>
      </c>
      <c r="E45" s="24">
        <f t="shared" si="2"/>
        <v>3.2644295942787525E-2</v>
      </c>
      <c r="F45" s="24">
        <f t="shared" si="3"/>
        <v>2.0948786002342189E-2</v>
      </c>
      <c r="G45" s="24"/>
      <c r="H45" s="127"/>
      <c r="I45" s="133"/>
      <c r="J45" s="133"/>
      <c r="K45" s="133"/>
      <c r="L45" s="133"/>
      <c r="M45" s="42"/>
      <c r="N45" s="122"/>
      <c r="O45" s="73"/>
      <c r="P45" s="89"/>
      <c r="Q45" s="6"/>
      <c r="R45" s="76"/>
      <c r="S45" s="76"/>
      <c r="T45" s="76"/>
      <c r="U45" s="76"/>
      <c r="V45" s="76"/>
    </row>
    <row r="46" spans="1:22" ht="12.4" customHeight="1" x14ac:dyDescent="0.2">
      <c r="A46" s="133">
        <v>18.474388122558594</v>
      </c>
      <c r="B46" s="84">
        <v>0.17119032079357566</v>
      </c>
      <c r="C46" s="24">
        <f t="shared" si="0"/>
        <v>0.15523963877814823</v>
      </c>
      <c r="D46" s="24">
        <f t="shared" si="1"/>
        <v>9.4756004737040891E-2</v>
      </c>
      <c r="E46" s="24">
        <f t="shared" si="2"/>
        <v>8.669250054133458E-2</v>
      </c>
      <c r="F46" s="24">
        <f t="shared" si="3"/>
        <v>5.4048204598547055E-2</v>
      </c>
      <c r="G46" s="24"/>
      <c r="H46" s="127"/>
      <c r="I46" s="133"/>
      <c r="J46" s="133"/>
      <c r="K46" s="133"/>
      <c r="L46" s="133"/>
      <c r="M46" s="42"/>
      <c r="N46" s="122"/>
      <c r="O46" s="73"/>
      <c r="P46" s="89"/>
      <c r="Q46" s="6"/>
      <c r="R46" s="76"/>
      <c r="S46" s="76"/>
      <c r="T46" s="76"/>
      <c r="U46" s="76"/>
      <c r="V46" s="76"/>
    </row>
    <row r="47" spans="1:22" ht="12.4" customHeight="1" x14ac:dyDescent="0.2">
      <c r="A47" s="133">
        <v>20.266803741455078</v>
      </c>
      <c r="B47" s="84">
        <v>0.35460813240151767</v>
      </c>
      <c r="C47" s="24">
        <f t="shared" si="0"/>
        <v>0.33865745038609024</v>
      </c>
      <c r="D47" s="24">
        <f t="shared" si="1"/>
        <v>0.19628008007618855</v>
      </c>
      <c r="E47" s="24">
        <f t="shared" si="2"/>
        <v>0.18912090643859283</v>
      </c>
      <c r="F47" s="24">
        <f t="shared" si="3"/>
        <v>0.10242840589725825</v>
      </c>
      <c r="G47" s="24"/>
      <c r="H47" s="127"/>
      <c r="I47" s="133"/>
      <c r="J47" s="133"/>
      <c r="K47" s="133"/>
      <c r="L47" s="133"/>
      <c r="M47" s="42"/>
      <c r="N47" s="122"/>
      <c r="O47" s="73"/>
      <c r="P47" s="89"/>
      <c r="Q47" s="6"/>
      <c r="R47" s="76"/>
      <c r="S47" s="76"/>
      <c r="T47" s="76"/>
      <c r="U47" s="76"/>
      <c r="V47" s="76"/>
    </row>
    <row r="48" spans="1:22" ht="12.4" customHeight="1" x14ac:dyDescent="0.2">
      <c r="A48" s="133">
        <v>22.161190032958984</v>
      </c>
      <c r="B48" s="84">
        <v>0.49438797992657785</v>
      </c>
      <c r="C48" s="24">
        <f t="shared" si="0"/>
        <v>0.47843729791115042</v>
      </c>
      <c r="D48" s="24">
        <f t="shared" si="1"/>
        <v>0.27364999113674721</v>
      </c>
      <c r="E48" s="24">
        <f t="shared" si="2"/>
        <v>0.26717999368338791</v>
      </c>
      <c r="F48" s="24">
        <f t="shared" si="3"/>
        <v>7.8059087244795072E-2</v>
      </c>
      <c r="G48" s="24"/>
      <c r="H48" s="127"/>
      <c r="I48" s="133"/>
      <c r="J48" s="133"/>
      <c r="K48" s="133"/>
      <c r="L48" s="133"/>
      <c r="M48" s="42"/>
      <c r="N48" s="122"/>
      <c r="O48" s="73"/>
      <c r="P48" s="89"/>
      <c r="Q48" s="6"/>
      <c r="R48" s="76"/>
      <c r="S48" s="76"/>
      <c r="T48" s="76"/>
      <c r="U48" s="76"/>
      <c r="V48" s="76"/>
    </row>
    <row r="49" spans="1:22" ht="12.4" customHeight="1" x14ac:dyDescent="0.2">
      <c r="A49" s="133">
        <v>24.307954788208008</v>
      </c>
      <c r="B49" s="84">
        <v>0.5984626741055763</v>
      </c>
      <c r="C49" s="24">
        <f t="shared" si="0"/>
        <v>0.58251199209014881</v>
      </c>
      <c r="D49" s="24">
        <f t="shared" si="1"/>
        <v>0.33125664885498746</v>
      </c>
      <c r="E49" s="24">
        <f t="shared" si="2"/>
        <v>0.32529978546122129</v>
      </c>
      <c r="F49" s="24">
        <f t="shared" si="3"/>
        <v>5.8119791777833385E-2</v>
      </c>
      <c r="G49" s="24"/>
      <c r="H49" s="127"/>
      <c r="I49" s="133"/>
      <c r="J49" s="133"/>
      <c r="K49" s="133"/>
      <c r="L49" s="42"/>
      <c r="M49" s="42"/>
      <c r="N49" s="122"/>
      <c r="O49" s="73"/>
      <c r="P49" s="89"/>
      <c r="Q49" s="6"/>
      <c r="R49" s="76"/>
      <c r="S49" s="76"/>
      <c r="T49" s="76"/>
      <c r="U49" s="76"/>
      <c r="V49" s="76"/>
    </row>
    <row r="50" spans="1:22" ht="12.4" customHeight="1" x14ac:dyDescent="0.2">
      <c r="A50" s="133">
        <v>26.609672546386719</v>
      </c>
      <c r="B50" s="84">
        <v>0.67242858686488038</v>
      </c>
      <c r="C50" s="24">
        <f t="shared" ref="C50:C81" si="4">IF(B50-I$27&lt;0,0,B50-I$27)</f>
        <v>0.6564779048494529</v>
      </c>
      <c r="D50" s="24">
        <f t="shared" si="1"/>
        <v>0.37219771577577093</v>
      </c>
      <c r="E50" s="24">
        <f t="shared" ref="E50:E81" si="5">C50/$H$23</f>
        <v>0.36660553689426884</v>
      </c>
      <c r="F50" s="24">
        <f t="shared" si="3"/>
        <v>4.1305751433047544E-2</v>
      </c>
      <c r="G50" s="24"/>
      <c r="H50" s="127"/>
      <c r="I50" s="133"/>
      <c r="J50" s="133"/>
      <c r="K50" s="133"/>
      <c r="L50" s="42"/>
      <c r="M50" s="42"/>
      <c r="N50" s="122"/>
      <c r="O50" s="73"/>
      <c r="P50" s="89"/>
      <c r="Q50" s="6"/>
      <c r="R50" s="76"/>
      <c r="S50" s="76"/>
      <c r="T50" s="76"/>
      <c r="U50" s="76"/>
      <c r="V50" s="76"/>
    </row>
    <row r="51" spans="1:22" ht="12.4" customHeight="1" x14ac:dyDescent="0.2">
      <c r="A51" s="133">
        <v>29.00745964050293</v>
      </c>
      <c r="B51" s="84">
        <v>0.72651949868541121</v>
      </c>
      <c r="C51" s="24">
        <f t="shared" si="4"/>
        <v>0.71056881666998373</v>
      </c>
      <c r="D51" s="24">
        <f t="shared" si="1"/>
        <v>0.40213771865056797</v>
      </c>
      <c r="E51" s="24">
        <f t="shared" si="5"/>
        <v>0.39681223177703689</v>
      </c>
      <c r="F51" s="24">
        <f t="shared" si="3"/>
        <v>3.0206694882768059E-2</v>
      </c>
      <c r="G51" s="24"/>
      <c r="H51" s="127"/>
      <c r="I51" s="133"/>
      <c r="J51" s="133"/>
      <c r="K51" s="133"/>
      <c r="L51" s="42"/>
      <c r="M51" s="42"/>
      <c r="N51" s="122"/>
      <c r="O51" s="73"/>
      <c r="P51" s="89"/>
      <c r="Q51" s="6"/>
      <c r="R51" s="76"/>
      <c r="S51" s="76"/>
      <c r="T51" s="76"/>
      <c r="U51" s="76"/>
      <c r="V51" s="76"/>
    </row>
    <row r="52" spans="1:22" ht="12.4" customHeight="1" x14ac:dyDescent="0.2">
      <c r="A52" s="133">
        <v>30.988674163818299</v>
      </c>
      <c r="B52" s="84">
        <v>0.77799662931360214</v>
      </c>
      <c r="C52" s="24">
        <f t="shared" si="4"/>
        <v>0.76204594729817465</v>
      </c>
      <c r="D52" s="24">
        <f t="shared" si="1"/>
        <v>0.43063096062267592</v>
      </c>
      <c r="E52" s="24">
        <f t="shared" si="5"/>
        <v>0.42555927866516047</v>
      </c>
      <c r="F52" s="24">
        <f t="shared" si="3"/>
        <v>2.8747046888123573E-2</v>
      </c>
      <c r="G52" s="24"/>
      <c r="H52" s="127"/>
      <c r="I52" s="133"/>
      <c r="J52" s="133"/>
      <c r="K52" s="133"/>
      <c r="L52" s="42"/>
      <c r="M52" s="42"/>
      <c r="N52" s="122"/>
      <c r="O52" s="73"/>
      <c r="P52" s="89"/>
      <c r="Q52" s="6"/>
      <c r="R52" s="76"/>
      <c r="S52" s="76"/>
      <c r="T52" s="76"/>
      <c r="U52" s="76"/>
      <c r="V52" s="76"/>
    </row>
    <row r="53" spans="1:22" ht="12.4" customHeight="1" x14ac:dyDescent="0.2">
      <c r="A53" s="133">
        <v>34.353797912597599</v>
      </c>
      <c r="B53" s="84">
        <v>0.82685997874945316</v>
      </c>
      <c r="C53" s="24">
        <f t="shared" si="4"/>
        <v>0.81090929673402568</v>
      </c>
      <c r="D53" s="24">
        <f t="shared" si="1"/>
        <v>0.45767744169209479</v>
      </c>
      <c r="E53" s="24">
        <f t="shared" si="5"/>
        <v>0.45284667755863955</v>
      </c>
      <c r="F53" s="24">
        <f t="shared" si="3"/>
        <v>2.7287398893479087E-2</v>
      </c>
      <c r="G53" s="24"/>
      <c r="H53" s="127"/>
      <c r="I53" s="133"/>
      <c r="J53" s="133"/>
      <c r="K53" s="133"/>
      <c r="L53" s="42"/>
      <c r="M53" s="42"/>
      <c r="N53" s="122"/>
      <c r="O53" s="73"/>
      <c r="P53" s="89"/>
      <c r="Q53" s="6"/>
      <c r="R53" s="76"/>
      <c r="S53" s="76"/>
      <c r="T53" s="76"/>
      <c r="U53" s="76"/>
      <c r="V53" s="76"/>
    </row>
    <row r="54" spans="1:22" ht="12.4" customHeight="1" x14ac:dyDescent="0.2">
      <c r="A54" s="133">
        <v>37.643112182617187</v>
      </c>
      <c r="B54" s="84">
        <v>0.87310954699296417</v>
      </c>
      <c r="C54" s="24">
        <f t="shared" si="4"/>
        <v>0.85715886497753668</v>
      </c>
      <c r="D54" s="24">
        <f t="shared" si="1"/>
        <v>0.48327716185882447</v>
      </c>
      <c r="E54" s="24">
        <f t="shared" si="5"/>
        <v>0.4786744284574741</v>
      </c>
      <c r="F54" s="24">
        <f t="shared" si="3"/>
        <v>2.5827750898834545E-2</v>
      </c>
      <c r="G54" s="24"/>
      <c r="H54" s="127"/>
      <c r="I54" s="133"/>
      <c r="J54" s="133"/>
      <c r="K54" s="133"/>
      <c r="L54" s="42"/>
      <c r="M54" s="42"/>
      <c r="N54" s="122"/>
      <c r="O54" s="73"/>
      <c r="P54" s="89"/>
      <c r="Q54" s="6"/>
      <c r="R54" s="76"/>
      <c r="S54" s="76"/>
      <c r="T54" s="76"/>
      <c r="U54" s="76"/>
      <c r="V54" s="76"/>
    </row>
    <row r="55" spans="1:22" ht="12.4" customHeight="1" x14ac:dyDescent="0.2">
      <c r="A55" s="133">
        <v>40.977954864501953</v>
      </c>
      <c r="B55" s="84">
        <v>0.91416839051995336</v>
      </c>
      <c r="C55" s="24">
        <f t="shared" si="4"/>
        <v>0.89821770850452587</v>
      </c>
      <c r="D55" s="24">
        <f t="shared" si="1"/>
        <v>0.50600375033477063</v>
      </c>
      <c r="E55" s="24">
        <f t="shared" si="5"/>
        <v>0.50160345510753557</v>
      </c>
      <c r="F55" s="24">
        <f t="shared" si="3"/>
        <v>2.2929026650061468E-2</v>
      </c>
      <c r="G55" s="24"/>
      <c r="H55" s="127"/>
      <c r="I55" s="133"/>
      <c r="J55" s="133"/>
      <c r="K55" s="133"/>
      <c r="L55" s="42"/>
      <c r="M55" s="42"/>
      <c r="N55" s="122"/>
      <c r="O55" s="73"/>
      <c r="P55" s="89"/>
      <c r="Q55" s="6"/>
      <c r="R55" s="76"/>
      <c r="S55" s="76"/>
      <c r="T55" s="76"/>
      <c r="U55" s="76"/>
      <c r="V55" s="76"/>
    </row>
    <row r="56" spans="1:22" ht="12.4" customHeight="1" x14ac:dyDescent="0.2">
      <c r="A56" s="133">
        <v>45.460674285888672</v>
      </c>
      <c r="B56" s="84">
        <v>0.95260117363188324</v>
      </c>
      <c r="C56" s="24">
        <f t="shared" si="4"/>
        <v>0.93665049161645575</v>
      </c>
      <c r="D56" s="24">
        <f t="shared" si="1"/>
        <v>0.52727678120316279</v>
      </c>
      <c r="E56" s="24">
        <f t="shared" si="5"/>
        <v>0.52306597651611397</v>
      </c>
      <c r="F56" s="24">
        <f t="shared" si="3"/>
        <v>2.1462521408578406E-2</v>
      </c>
      <c r="G56" s="24"/>
      <c r="H56" s="127"/>
      <c r="I56" s="133"/>
      <c r="J56" s="133"/>
      <c r="K56" s="133"/>
      <c r="L56" s="42"/>
      <c r="M56" s="42"/>
      <c r="N56" s="122"/>
      <c r="O56" s="73"/>
      <c r="P56" s="89"/>
      <c r="Q56" s="6"/>
      <c r="R56" s="76"/>
      <c r="S56" s="76"/>
      <c r="T56" s="76"/>
      <c r="U56" s="76"/>
      <c r="V56" s="76"/>
    </row>
    <row r="57" spans="1:22" ht="12.4" customHeight="1" x14ac:dyDescent="0.2">
      <c r="A57" s="133">
        <v>48.356235504150391</v>
      </c>
      <c r="B57" s="84">
        <v>0.98840789632875381</v>
      </c>
      <c r="C57" s="24">
        <f t="shared" si="4"/>
        <v>0.97245721431332632</v>
      </c>
      <c r="D57" s="24">
        <f t="shared" si="1"/>
        <v>0.54709625446400101</v>
      </c>
      <c r="E57" s="24">
        <f t="shared" si="5"/>
        <v>0.54306199268320909</v>
      </c>
      <c r="F57" s="24">
        <f t="shared" si="3"/>
        <v>1.9996016167095121E-2</v>
      </c>
      <c r="G57" s="24"/>
      <c r="H57" s="127"/>
      <c r="I57" s="42"/>
      <c r="J57" s="133"/>
      <c r="K57" s="133"/>
      <c r="L57" s="42"/>
      <c r="M57" s="42"/>
      <c r="N57" s="122"/>
      <c r="O57" s="73"/>
      <c r="P57" s="89"/>
      <c r="Q57" s="6"/>
      <c r="R57" s="76"/>
      <c r="S57" s="76"/>
      <c r="T57" s="76"/>
      <c r="U57" s="76"/>
      <c r="V57" s="76"/>
    </row>
    <row r="58" spans="1:22" ht="12.4" customHeight="1" x14ac:dyDescent="0.2">
      <c r="A58" s="133">
        <v>54.441654205322266</v>
      </c>
      <c r="B58" s="84">
        <v>1.0215885586105651</v>
      </c>
      <c r="C58" s="24">
        <f t="shared" si="4"/>
        <v>1.0056378765951377</v>
      </c>
      <c r="D58" s="24">
        <f t="shared" si="1"/>
        <v>0.56546217011728506</v>
      </c>
      <c r="E58" s="24">
        <f t="shared" si="5"/>
        <v>0.56159150360882126</v>
      </c>
      <c r="F58" s="24">
        <f t="shared" si="3"/>
        <v>1.8529510925612169E-2</v>
      </c>
      <c r="G58" s="24"/>
      <c r="H58" s="127"/>
      <c r="I58" s="42"/>
      <c r="J58" s="133"/>
      <c r="K58" s="133"/>
      <c r="L58" s="42"/>
      <c r="M58" s="42"/>
      <c r="N58" s="122"/>
      <c r="O58" s="73"/>
      <c r="P58" s="89"/>
      <c r="Q58" s="6"/>
      <c r="R58" s="76"/>
      <c r="S58" s="76"/>
      <c r="T58" s="76"/>
      <c r="U58" s="76"/>
      <c r="V58" s="76"/>
    </row>
    <row r="59" spans="1:22" ht="12.4" customHeight="1" x14ac:dyDescent="0.2">
      <c r="A59" s="133">
        <v>58.928813934326172</v>
      </c>
      <c r="B59" s="84">
        <v>1.0510739705525702</v>
      </c>
      <c r="C59" s="24">
        <f t="shared" si="4"/>
        <v>1.0351232885371429</v>
      </c>
      <c r="D59" s="24">
        <f t="shared" si="1"/>
        <v>0.58178271803552406</v>
      </c>
      <c r="E59" s="24">
        <f t="shared" si="5"/>
        <v>0.57805742758843537</v>
      </c>
      <c r="F59" s="24">
        <f t="shared" si="3"/>
        <v>1.6465923979614105E-2</v>
      </c>
      <c r="G59" s="24"/>
      <c r="H59" s="127"/>
      <c r="I59" s="42"/>
      <c r="J59" s="133"/>
      <c r="K59" s="133"/>
      <c r="L59" s="42"/>
      <c r="M59" s="42"/>
      <c r="N59" s="122"/>
      <c r="O59" s="73"/>
      <c r="P59" s="89"/>
      <c r="Q59" s="6"/>
      <c r="R59" s="76"/>
      <c r="S59" s="76"/>
      <c r="T59" s="76"/>
      <c r="U59" s="76"/>
      <c r="V59" s="76"/>
    </row>
    <row r="60" spans="1:22" ht="12.4" customHeight="1" x14ac:dyDescent="0.2">
      <c r="A60" s="133">
        <v>64.640953063964844</v>
      </c>
      <c r="B60" s="84">
        <v>1.0778892976604766</v>
      </c>
      <c r="C60" s="24">
        <f t="shared" si="4"/>
        <v>1.0619386156450492</v>
      </c>
      <c r="D60" s="24">
        <f t="shared" si="1"/>
        <v>0.59662534027423086</v>
      </c>
      <c r="E60" s="24">
        <f t="shared" si="5"/>
        <v>0.59303226119482144</v>
      </c>
      <c r="F60" s="24">
        <f t="shared" si="3"/>
        <v>1.4974833606386073E-2</v>
      </c>
      <c r="G60" s="24"/>
      <c r="H60" s="127"/>
      <c r="I60" s="42"/>
      <c r="J60" s="133"/>
      <c r="K60" s="133"/>
      <c r="L60" s="42"/>
      <c r="M60" s="42"/>
      <c r="N60" s="122"/>
      <c r="O60" s="73"/>
      <c r="P60" s="89"/>
      <c r="Q60" s="6"/>
      <c r="R60" s="76"/>
      <c r="S60" s="76"/>
      <c r="T60" s="76"/>
      <c r="U60" s="76"/>
      <c r="V60" s="76"/>
    </row>
    <row r="61" spans="1:22" ht="12.4" customHeight="1" x14ac:dyDescent="0.2">
      <c r="A61" s="133">
        <v>70.702125549316406</v>
      </c>
      <c r="B61" s="84">
        <v>1.0996580870263641</v>
      </c>
      <c r="C61" s="24">
        <f t="shared" si="4"/>
        <v>1.0837074050109368</v>
      </c>
      <c r="D61" s="24">
        <f t="shared" si="1"/>
        <v>0.60867464013366013</v>
      </c>
      <c r="E61" s="24">
        <f t="shared" si="5"/>
        <v>0.60518889076920079</v>
      </c>
      <c r="F61" s="24">
        <f t="shared" si="3"/>
        <v>1.2156629574379352E-2</v>
      </c>
      <c r="G61" s="24"/>
      <c r="H61" s="127"/>
      <c r="I61" s="42"/>
      <c r="J61" s="133"/>
      <c r="K61" s="133"/>
      <c r="L61" s="42"/>
      <c r="M61" s="42"/>
      <c r="N61" s="122"/>
      <c r="O61" s="73"/>
      <c r="P61" s="89"/>
      <c r="Q61" s="6"/>
      <c r="R61" s="76"/>
      <c r="S61" s="76"/>
      <c r="T61" s="76"/>
      <c r="U61" s="76"/>
      <c r="V61" s="76"/>
    </row>
    <row r="62" spans="1:22" ht="12.4" customHeight="1" x14ac:dyDescent="0.2">
      <c r="A62" s="133">
        <v>77.531982421875</v>
      </c>
      <c r="B62" s="84">
        <v>1.1167026921175784</v>
      </c>
      <c r="C62" s="24">
        <f t="shared" si="4"/>
        <v>1.1007520101021511</v>
      </c>
      <c r="D62" s="24">
        <f t="shared" si="1"/>
        <v>0.61810904432939484</v>
      </c>
      <c r="E62" s="24">
        <f t="shared" si="5"/>
        <v>0.61470733237166164</v>
      </c>
      <c r="F62" s="24">
        <f t="shared" si="3"/>
        <v>9.5184416024608476E-3</v>
      </c>
      <c r="G62" s="24"/>
      <c r="H62" s="127"/>
      <c r="I62" s="42"/>
      <c r="J62" s="133"/>
      <c r="K62" s="133"/>
      <c r="L62" s="42"/>
      <c r="M62" s="42"/>
      <c r="N62" s="122"/>
      <c r="O62" s="73"/>
      <c r="P62" s="89"/>
      <c r="Q62" s="6"/>
      <c r="R62" s="76"/>
      <c r="S62" s="76"/>
      <c r="T62" s="76"/>
      <c r="U62" s="76"/>
      <c r="V62" s="76"/>
    </row>
    <row r="63" spans="1:22" ht="12.4" customHeight="1" x14ac:dyDescent="0.2">
      <c r="A63" s="133">
        <v>84.764518737792969</v>
      </c>
      <c r="B63" s="84">
        <v>1.1314525275491543</v>
      </c>
      <c r="C63" s="24">
        <f t="shared" si="4"/>
        <v>1.1155018455337269</v>
      </c>
      <c r="D63" s="24">
        <f t="shared" si="1"/>
        <v>0.62627326453498855</v>
      </c>
      <c r="E63" s="24">
        <f t="shared" si="5"/>
        <v>0.62294427575932221</v>
      </c>
      <c r="F63" s="24">
        <f t="shared" si="3"/>
        <v>8.2369433876605669E-3</v>
      </c>
      <c r="G63" s="24"/>
      <c r="H63" s="127"/>
      <c r="I63" s="42"/>
      <c r="J63" s="133"/>
      <c r="K63" s="133"/>
      <c r="L63" s="42"/>
      <c r="M63" s="42"/>
      <c r="N63" s="122"/>
      <c r="O63" s="73"/>
      <c r="P63" s="89"/>
      <c r="Q63" s="6"/>
      <c r="R63" s="76"/>
      <c r="S63" s="76"/>
      <c r="T63" s="76"/>
      <c r="U63" s="76"/>
      <c r="V63" s="76"/>
    </row>
    <row r="64" spans="1:22" x14ac:dyDescent="0.2">
      <c r="A64" s="133">
        <v>92.472999572753906</v>
      </c>
      <c r="B64" s="84">
        <v>1.1456128584407634</v>
      </c>
      <c r="C64" s="24">
        <f t="shared" si="4"/>
        <v>1.1296621764253361</v>
      </c>
      <c r="D64" s="24">
        <f t="shared" si="1"/>
        <v>0.63411118653211662</v>
      </c>
      <c r="E64" s="24">
        <f t="shared" si="5"/>
        <v>0.63085201442161487</v>
      </c>
      <c r="F64" s="24">
        <f t="shared" si="3"/>
        <v>7.9077386622926626E-3</v>
      </c>
      <c r="G64" s="24"/>
      <c r="H64" s="127"/>
      <c r="I64" s="42"/>
      <c r="J64" s="133"/>
      <c r="K64" s="133"/>
      <c r="L64" s="42"/>
      <c r="M64" s="42"/>
      <c r="N64" s="122"/>
      <c r="O64" s="73"/>
      <c r="P64" s="89"/>
      <c r="Q64" s="6"/>
      <c r="R64" s="76"/>
      <c r="S64" s="76"/>
      <c r="T64" s="76"/>
      <c r="U64" s="76"/>
      <c r="V64" s="76"/>
    </row>
    <row r="65" spans="1:22" x14ac:dyDescent="0.2">
      <c r="A65" s="133">
        <v>101.61772918701172</v>
      </c>
      <c r="B65" s="84">
        <v>1.1595504446141784</v>
      </c>
      <c r="C65" s="24">
        <f t="shared" si="4"/>
        <v>1.1435997625987511</v>
      </c>
      <c r="D65" s="24">
        <f t="shared" si="1"/>
        <v>0.64182581651440118</v>
      </c>
      <c r="E65" s="24">
        <f t="shared" si="5"/>
        <v>0.63863536283954325</v>
      </c>
      <c r="F65" s="24">
        <f t="shared" si="3"/>
        <v>7.7833484179283818E-3</v>
      </c>
      <c r="G65" s="24"/>
      <c r="H65" s="127"/>
      <c r="I65" s="42"/>
      <c r="J65" s="133"/>
      <c r="K65" s="133"/>
      <c r="L65" s="42"/>
      <c r="M65" s="42"/>
      <c r="N65" s="122"/>
      <c r="O65" s="73"/>
      <c r="P65" s="89"/>
      <c r="Q65" s="6"/>
      <c r="R65" s="76"/>
      <c r="S65" s="76"/>
      <c r="T65" s="76"/>
      <c r="U65" s="76"/>
      <c r="V65" s="76"/>
    </row>
    <row r="66" spans="1:22" x14ac:dyDescent="0.2">
      <c r="A66" s="133">
        <v>111.69001007080078</v>
      </c>
      <c r="B66" s="84">
        <v>1.1716356950812405</v>
      </c>
      <c r="C66" s="24">
        <f t="shared" si="4"/>
        <v>1.1556850130658132</v>
      </c>
      <c r="D66" s="24">
        <f t="shared" si="1"/>
        <v>0.64851515528774284</v>
      </c>
      <c r="E66" s="24">
        <f t="shared" si="5"/>
        <v>0.64538428721803398</v>
      </c>
      <c r="F66" s="24">
        <f t="shared" si="3"/>
        <v>6.7489243784907282E-3</v>
      </c>
      <c r="G66" s="24"/>
      <c r="H66" s="127"/>
      <c r="I66" s="42"/>
      <c r="J66" s="133"/>
      <c r="K66" s="133"/>
      <c r="L66" s="42"/>
      <c r="M66" s="42"/>
      <c r="N66" s="122"/>
      <c r="O66" s="73"/>
      <c r="P66" s="89"/>
      <c r="Q66" s="6"/>
      <c r="R66" s="76"/>
      <c r="S66" s="76"/>
      <c r="T66" s="76"/>
      <c r="U66" s="76"/>
      <c r="V66" s="76"/>
    </row>
    <row r="67" spans="1:22" x14ac:dyDescent="0.2">
      <c r="A67" s="133">
        <v>120.97763061523437</v>
      </c>
      <c r="B67" s="84">
        <v>1.1824259299598998</v>
      </c>
      <c r="C67" s="24">
        <f t="shared" si="4"/>
        <v>1.1664752479444724</v>
      </c>
      <c r="D67" s="24">
        <f t="shared" si="1"/>
        <v>0.65448768657652345</v>
      </c>
      <c r="E67" s="24">
        <f t="shared" si="5"/>
        <v>0.65141001911500218</v>
      </c>
      <c r="F67" s="24">
        <f t="shared" si="3"/>
        <v>6.0257318969682006E-3</v>
      </c>
      <c r="G67" s="24"/>
      <c r="H67" s="127"/>
      <c r="I67" s="42"/>
      <c r="J67" s="133"/>
      <c r="K67" s="42"/>
      <c r="L67" s="42"/>
      <c r="M67" s="42"/>
      <c r="N67" s="122"/>
      <c r="O67" s="73"/>
      <c r="P67" s="89"/>
      <c r="Q67" s="6"/>
      <c r="R67" s="76"/>
      <c r="S67" s="76"/>
      <c r="T67" s="76"/>
      <c r="U67" s="76"/>
      <c r="V67" s="76"/>
    </row>
    <row r="68" spans="1:22" x14ac:dyDescent="0.2">
      <c r="A68" s="133">
        <v>133.46841430664062</v>
      </c>
      <c r="B68" s="84">
        <v>1.1937142085843151</v>
      </c>
      <c r="C68" s="24">
        <f t="shared" si="4"/>
        <v>1.1777635265688877</v>
      </c>
      <c r="D68" s="24">
        <f t="shared" si="1"/>
        <v>0.66073589136900068</v>
      </c>
      <c r="E68" s="24">
        <f t="shared" si="5"/>
        <v>0.65771388009058962</v>
      </c>
      <c r="F68" s="24">
        <f t="shared" si="3"/>
        <v>6.3038609755874386E-3</v>
      </c>
      <c r="G68" s="24"/>
      <c r="H68" s="127"/>
      <c r="I68" s="42"/>
      <c r="J68" s="133"/>
      <c r="K68" s="42"/>
      <c r="L68" s="42"/>
      <c r="M68" s="42"/>
      <c r="N68" s="122"/>
      <c r="O68" s="73"/>
      <c r="P68" s="89"/>
      <c r="Q68" s="76"/>
      <c r="R68" s="76"/>
      <c r="S68" s="76"/>
      <c r="T68" s="76"/>
      <c r="U68" s="76"/>
      <c r="V68" s="76"/>
    </row>
    <row r="69" spans="1:22" x14ac:dyDescent="0.2">
      <c r="A69" s="133">
        <v>145.53147888183594</v>
      </c>
      <c r="B69" s="84">
        <v>1.2044410931133098</v>
      </c>
      <c r="C69" s="24">
        <f t="shared" si="4"/>
        <v>1.1884904110978824</v>
      </c>
      <c r="D69" s="24">
        <f t="shared" si="1"/>
        <v>0.66667335743911083</v>
      </c>
      <c r="E69" s="24">
        <f t="shared" si="5"/>
        <v>0.66370423442377424</v>
      </c>
      <c r="F69" s="24">
        <f t="shared" si="3"/>
        <v>5.9903543331846221E-3</v>
      </c>
      <c r="G69" s="24"/>
      <c r="H69" s="127"/>
      <c r="I69" s="42"/>
      <c r="J69" s="128"/>
      <c r="K69" s="42"/>
      <c r="L69" s="42"/>
      <c r="M69" s="128"/>
      <c r="N69" s="122"/>
      <c r="O69" s="73"/>
      <c r="P69" s="89"/>
      <c r="Q69" s="76"/>
      <c r="R69" s="76"/>
      <c r="S69" s="76"/>
      <c r="T69" s="76"/>
      <c r="U69" s="76"/>
      <c r="V69" s="76"/>
    </row>
    <row r="70" spans="1:22" x14ac:dyDescent="0.2">
      <c r="A70" s="133">
        <v>159.3995361328125</v>
      </c>
      <c r="B70" s="84">
        <v>1.2150818130188055</v>
      </c>
      <c r="C70" s="24">
        <f t="shared" si="4"/>
        <v>1.1991311310033781</v>
      </c>
      <c r="D70" s="24">
        <f t="shared" si="1"/>
        <v>0.67256313030183279</v>
      </c>
      <c r="E70" s="24">
        <f t="shared" si="5"/>
        <v>0.66964647072004435</v>
      </c>
      <c r="F70" s="24">
        <f t="shared" si="3"/>
        <v>5.9422362962701092E-3</v>
      </c>
      <c r="G70" s="24"/>
      <c r="H70" s="127"/>
      <c r="I70" s="42"/>
      <c r="J70" s="128"/>
      <c r="K70" s="42"/>
      <c r="L70" s="42"/>
      <c r="M70" s="128"/>
      <c r="N70" s="122"/>
      <c r="O70" s="73"/>
      <c r="P70" s="89"/>
      <c r="Q70" s="76"/>
      <c r="R70" s="76"/>
      <c r="S70" s="76"/>
      <c r="T70" s="76"/>
      <c r="U70" s="76"/>
      <c r="V70" s="76"/>
    </row>
    <row r="71" spans="1:22" x14ac:dyDescent="0.2">
      <c r="A71" s="133">
        <v>174.43290710449219</v>
      </c>
      <c r="B71" s="84">
        <v>1.2255427686684197</v>
      </c>
      <c r="C71" s="24">
        <f t="shared" si="4"/>
        <v>1.2095920866529923</v>
      </c>
      <c r="D71" s="24">
        <f t="shared" si="1"/>
        <v>0.67835340137845557</v>
      </c>
      <c r="E71" s="24">
        <f t="shared" si="5"/>
        <v>0.6754883189132953</v>
      </c>
      <c r="F71" s="24">
        <f t="shared" si="3"/>
        <v>5.8418481932509536E-3</v>
      </c>
      <c r="G71" s="24"/>
      <c r="H71" s="127"/>
      <c r="I71" s="42"/>
      <c r="J71" s="128"/>
      <c r="K71" s="42"/>
      <c r="L71" s="42"/>
      <c r="M71" s="128"/>
      <c r="N71" s="122"/>
      <c r="O71" s="73"/>
      <c r="P71" s="89"/>
      <c r="Q71" s="76"/>
      <c r="R71" s="76"/>
      <c r="S71" s="76"/>
      <c r="T71" s="76"/>
      <c r="U71" s="76"/>
      <c r="V71" s="76"/>
    </row>
    <row r="72" spans="1:22" x14ac:dyDescent="0.2">
      <c r="A72" s="133">
        <v>190.41134643554687</v>
      </c>
      <c r="B72" s="84">
        <v>1.2353878407739467</v>
      </c>
      <c r="C72" s="24">
        <f t="shared" si="4"/>
        <v>1.2194371587585193</v>
      </c>
      <c r="D72" s="24">
        <f t="shared" si="1"/>
        <v>0.68380277313465843</v>
      </c>
      <c r="E72" s="24">
        <f t="shared" si="5"/>
        <v>0.68098623120912072</v>
      </c>
      <c r="F72" s="24">
        <f t="shared" si="3"/>
        <v>5.4979122958254134E-3</v>
      </c>
      <c r="G72" s="24"/>
      <c r="H72" s="127"/>
      <c r="I72" s="42"/>
      <c r="J72" s="128"/>
      <c r="K72" s="42"/>
      <c r="L72" s="42"/>
      <c r="M72" s="128"/>
      <c r="N72" s="122"/>
      <c r="O72" s="73"/>
      <c r="P72" s="89"/>
      <c r="Q72" s="76"/>
      <c r="R72" s="76"/>
      <c r="S72" s="76"/>
      <c r="T72" s="76"/>
      <c r="U72" s="76"/>
      <c r="V72" s="76"/>
    </row>
    <row r="73" spans="1:22" x14ac:dyDescent="0.2">
      <c r="A73" s="133">
        <v>207.18046569824219</v>
      </c>
      <c r="B73" s="84">
        <v>1.2456999943964546</v>
      </c>
      <c r="C73" s="24">
        <f t="shared" si="4"/>
        <v>1.2297493123810272</v>
      </c>
      <c r="D73" s="24">
        <f t="shared" si="1"/>
        <v>0.68951068040987007</v>
      </c>
      <c r="E73" s="24">
        <f t="shared" si="5"/>
        <v>0.68674498194145905</v>
      </c>
      <c r="F73" s="24">
        <f t="shared" si="3"/>
        <v>5.7587507323383358E-3</v>
      </c>
      <c r="G73" s="24"/>
      <c r="H73" s="127"/>
      <c r="I73" s="42"/>
      <c r="J73" s="128"/>
      <c r="K73" s="42"/>
      <c r="L73" s="42"/>
      <c r="M73" s="128"/>
      <c r="N73" s="122"/>
      <c r="O73" s="73"/>
      <c r="P73" s="89"/>
      <c r="Q73" s="76"/>
      <c r="R73" s="76"/>
      <c r="S73" s="76"/>
      <c r="T73" s="76"/>
      <c r="U73" s="76"/>
      <c r="V73" s="76"/>
    </row>
    <row r="74" spans="1:22" x14ac:dyDescent="0.2">
      <c r="A74" s="133">
        <v>228.50035095214844</v>
      </c>
      <c r="B74" s="84">
        <v>1.2562777713500326</v>
      </c>
      <c r="C74" s="24">
        <f t="shared" si="4"/>
        <v>1.2403270893346052</v>
      </c>
      <c r="D74" s="24">
        <f t="shared" si="1"/>
        <v>0.69536561355371995</v>
      </c>
      <c r="E74" s="24">
        <f t="shared" si="5"/>
        <v>0.69265206818239444</v>
      </c>
      <c r="F74" s="24">
        <f t="shared" si="3"/>
        <v>5.9070862409353886E-3</v>
      </c>
      <c r="G74" s="24"/>
      <c r="H74" s="127"/>
      <c r="I74" s="42"/>
      <c r="J74" s="128"/>
      <c r="K74" s="42"/>
      <c r="L74" s="128"/>
      <c r="M74" s="128"/>
      <c r="N74" s="122"/>
      <c r="O74" s="73"/>
      <c r="P74" s="89"/>
      <c r="Q74" s="76"/>
      <c r="R74" s="76"/>
      <c r="S74" s="76"/>
      <c r="T74" s="76"/>
      <c r="U74" s="76"/>
      <c r="V74" s="76"/>
    </row>
    <row r="75" spans="1:22" x14ac:dyDescent="0.2">
      <c r="A75" s="133">
        <v>250.71632385253906</v>
      </c>
      <c r="B75" s="84">
        <v>1.2668524928205078</v>
      </c>
      <c r="C75" s="24">
        <f t="shared" si="4"/>
        <v>1.2509018108050804</v>
      </c>
      <c r="D75" s="24">
        <f t="shared" si="1"/>
        <v>0.70121885544908091</v>
      </c>
      <c r="E75" s="24">
        <f t="shared" si="5"/>
        <v>0.69855744810996401</v>
      </c>
      <c r="F75" s="24">
        <f t="shared" si="3"/>
        <v>5.9053799275695651E-3</v>
      </c>
      <c r="G75" s="24"/>
      <c r="H75" s="127"/>
      <c r="I75" s="42"/>
      <c r="J75" s="128"/>
      <c r="K75" s="42"/>
      <c r="L75" s="128"/>
      <c r="M75" s="128"/>
      <c r="N75" s="122"/>
      <c r="O75" s="73"/>
      <c r="P75" s="89"/>
      <c r="Q75" s="76"/>
      <c r="R75" s="76"/>
      <c r="S75" s="76"/>
      <c r="T75" s="76"/>
      <c r="U75" s="76"/>
      <c r="V75" s="76"/>
    </row>
    <row r="76" spans="1:22" x14ac:dyDescent="0.2">
      <c r="A76" s="133">
        <v>274.07962036132812</v>
      </c>
      <c r="B76" s="84">
        <v>1.2773185409419603</v>
      </c>
      <c r="C76" s="24">
        <f t="shared" si="4"/>
        <v>1.2613678589265329</v>
      </c>
      <c r="D76" s="24">
        <f t="shared" si="1"/>
        <v>0.70701194527318534</v>
      </c>
      <c r="E76" s="24">
        <f t="shared" si="5"/>
        <v>0.70440214015882474</v>
      </c>
      <c r="F76" s="24">
        <f t="shared" si="3"/>
        <v>5.8446920488607335E-3</v>
      </c>
      <c r="G76" s="24"/>
      <c r="H76" s="127"/>
      <c r="I76" s="42"/>
      <c r="J76" s="128"/>
      <c r="K76" s="42"/>
      <c r="L76" s="128"/>
      <c r="M76" s="128"/>
      <c r="N76" s="122"/>
      <c r="O76" s="73"/>
      <c r="P76" s="89"/>
      <c r="Q76" s="76"/>
      <c r="R76" s="76"/>
      <c r="S76" s="76"/>
      <c r="T76" s="76"/>
      <c r="U76" s="76"/>
      <c r="V76" s="76"/>
    </row>
    <row r="77" spans="1:22" x14ac:dyDescent="0.2">
      <c r="A77" s="133">
        <v>299.63546752929687</v>
      </c>
      <c r="B77" s="84">
        <v>1.2881189607642956</v>
      </c>
      <c r="C77" s="24">
        <f t="shared" si="4"/>
        <v>1.2721682787488682</v>
      </c>
      <c r="D77" s="24">
        <f t="shared" si="1"/>
        <v>0.71299011405692914</v>
      </c>
      <c r="E77" s="24">
        <f t="shared" si="5"/>
        <v>0.71043355976701206</v>
      </c>
      <c r="F77" s="24">
        <f t="shared" si="3"/>
        <v>6.0314196081873162E-3</v>
      </c>
      <c r="G77" s="24"/>
      <c r="H77" s="127"/>
      <c r="I77" s="42"/>
      <c r="J77" s="128"/>
      <c r="K77" s="42"/>
      <c r="L77" s="128"/>
      <c r="M77" s="128"/>
      <c r="N77" s="122"/>
      <c r="O77" s="73"/>
      <c r="P77" s="89"/>
      <c r="Q77" s="76"/>
      <c r="R77" s="76"/>
      <c r="S77" s="76"/>
      <c r="T77" s="76"/>
      <c r="U77" s="76"/>
      <c r="V77" s="76"/>
    </row>
    <row r="78" spans="1:22" x14ac:dyDescent="0.2">
      <c r="A78" s="133">
        <v>327.44985961914062</v>
      </c>
      <c r="B78" s="84">
        <v>1.2995672448538607</v>
      </c>
      <c r="C78" s="24">
        <f t="shared" si="4"/>
        <v>1.2836165628384333</v>
      </c>
      <c r="D78" s="24">
        <f t="shared" si="1"/>
        <v>0.71932688389527699</v>
      </c>
      <c r="E78" s="24">
        <f t="shared" si="5"/>
        <v>0.71682677468585332</v>
      </c>
      <c r="F78" s="24">
        <f t="shared" si="3"/>
        <v>6.3932149188412613E-3</v>
      </c>
      <c r="G78" s="24"/>
      <c r="H78" s="127"/>
      <c r="I78" s="42"/>
      <c r="J78" s="128"/>
      <c r="K78" s="42"/>
      <c r="L78" s="128"/>
      <c r="M78" s="128"/>
      <c r="N78" s="122"/>
      <c r="O78" s="73"/>
      <c r="P78" s="89"/>
      <c r="Q78" s="76"/>
      <c r="R78" s="76"/>
      <c r="S78" s="76"/>
      <c r="T78" s="76"/>
      <c r="U78" s="76"/>
      <c r="V78" s="76"/>
    </row>
    <row r="79" spans="1:22" x14ac:dyDescent="0.2">
      <c r="A79" s="133">
        <v>359.35833740234375</v>
      </c>
      <c r="B79" s="84">
        <v>1.3112198389135665</v>
      </c>
      <c r="C79" s="24">
        <f t="shared" si="4"/>
        <v>1.2952691568981392</v>
      </c>
      <c r="D79" s="24">
        <f t="shared" si="1"/>
        <v>0.72577674188258523</v>
      </c>
      <c r="E79" s="24">
        <f t="shared" si="5"/>
        <v>0.72333408509175201</v>
      </c>
      <c r="F79" s="24">
        <f t="shared" si="3"/>
        <v>6.5073104058986919E-3</v>
      </c>
      <c r="G79" s="24"/>
      <c r="H79" s="127"/>
      <c r="I79" s="42"/>
      <c r="J79" s="128"/>
      <c r="K79" s="42"/>
      <c r="L79" s="128"/>
      <c r="M79" s="128"/>
      <c r="N79" s="122"/>
      <c r="O79" s="73"/>
      <c r="P79" s="89"/>
      <c r="Q79" s="76"/>
      <c r="R79" s="76"/>
      <c r="S79" s="76"/>
      <c r="T79" s="76"/>
      <c r="U79" s="76"/>
      <c r="V79" s="76"/>
    </row>
    <row r="80" spans="1:22" x14ac:dyDescent="0.2">
      <c r="A80" s="133">
        <v>391.6820068359375</v>
      </c>
      <c r="B80" s="84">
        <v>1.3236075822078055</v>
      </c>
      <c r="C80" s="24">
        <f t="shared" si="4"/>
        <v>1.3076569001923781</v>
      </c>
      <c r="D80" s="24">
        <f t="shared" si="1"/>
        <v>0.7326335142563315</v>
      </c>
      <c r="E80" s="24">
        <f t="shared" si="5"/>
        <v>0.73025193449345327</v>
      </c>
      <c r="F80" s="24">
        <f t="shared" si="3"/>
        <v>6.9178494017012593E-3</v>
      </c>
      <c r="G80" s="24"/>
      <c r="H80" s="127"/>
      <c r="I80" s="42"/>
      <c r="J80" s="128"/>
      <c r="K80" s="42"/>
      <c r="L80" s="128"/>
      <c r="M80" s="128"/>
      <c r="N80" s="122"/>
      <c r="O80" s="73"/>
      <c r="P80" s="89"/>
      <c r="Q80" s="76"/>
      <c r="R80" s="76"/>
      <c r="S80" s="76"/>
      <c r="T80" s="76"/>
      <c r="U80" s="76"/>
      <c r="V80" s="76"/>
    </row>
    <row r="81" spans="1:22" x14ac:dyDescent="0.2">
      <c r="A81" s="133">
        <v>428.17318725585938</v>
      </c>
      <c r="B81" s="84">
        <v>1.3366796518676347</v>
      </c>
      <c r="C81" s="24">
        <f t="shared" si="4"/>
        <v>1.3207289698522073</v>
      </c>
      <c r="D81" s="24">
        <f t="shared" si="1"/>
        <v>0.73986906991665002</v>
      </c>
      <c r="E81" s="24">
        <f t="shared" si="5"/>
        <v>0.73755194121197332</v>
      </c>
      <c r="F81" s="24">
        <f t="shared" si="3"/>
        <v>7.3000067185200468E-3</v>
      </c>
      <c r="G81" s="24"/>
      <c r="H81" s="127"/>
      <c r="I81" s="42"/>
      <c r="J81" s="128"/>
      <c r="K81" s="42"/>
      <c r="L81" s="128"/>
      <c r="M81" s="128"/>
      <c r="N81" s="122"/>
      <c r="O81" s="73"/>
      <c r="P81" s="89"/>
      <c r="Q81" s="76"/>
      <c r="R81" s="76"/>
      <c r="S81" s="76"/>
      <c r="T81" s="76"/>
      <c r="U81" s="76"/>
      <c r="V81" s="76"/>
    </row>
    <row r="82" spans="1:22" x14ac:dyDescent="0.2">
      <c r="A82" s="133">
        <v>469.24533081054687</v>
      </c>
      <c r="B82" s="84">
        <v>1.3503420408629245</v>
      </c>
      <c r="C82" s="24">
        <f t="shared" ref="C82:C113" si="6">IF(B82-I$27&lt;0,0,B82-I$27)</f>
        <v>1.3343913588474972</v>
      </c>
      <c r="D82" s="24">
        <f t="shared" si="1"/>
        <v>0.74743137478503108</v>
      </c>
      <c r="E82" s="24">
        <f t="shared" ref="E82:E113" si="7">C82/$H$23</f>
        <v>0.74518160767275876</v>
      </c>
      <c r="F82" s="24">
        <f t="shared" si="3"/>
        <v>7.6296664607854447E-3</v>
      </c>
      <c r="G82" s="24"/>
      <c r="H82" s="127"/>
      <c r="I82" s="42"/>
      <c r="J82" s="128"/>
      <c r="K82" s="42"/>
      <c r="L82" s="128"/>
      <c r="M82" s="128"/>
      <c r="N82" s="122"/>
      <c r="O82" s="73"/>
      <c r="P82" s="89"/>
      <c r="Q82" s="76"/>
      <c r="R82" s="76"/>
      <c r="S82" s="76"/>
      <c r="T82" s="76"/>
      <c r="U82" s="76"/>
      <c r="V82" s="76"/>
    </row>
    <row r="83" spans="1:22" x14ac:dyDescent="0.2">
      <c r="A83" s="133">
        <v>511.96231079101562</v>
      </c>
      <c r="B83" s="84">
        <v>1.3647216535918778</v>
      </c>
      <c r="C83" s="24">
        <f t="shared" si="6"/>
        <v>1.3487709715764504</v>
      </c>
      <c r="D83" s="24">
        <f t="shared" si="1"/>
        <v>0.75539067204871524</v>
      </c>
      <c r="E83" s="24">
        <f t="shared" si="7"/>
        <v>0.75321180275760091</v>
      </c>
      <c r="F83" s="24">
        <f t="shared" si="3"/>
        <v>8.0301950848421511E-3</v>
      </c>
      <c r="G83" s="24"/>
      <c r="H83" s="127"/>
      <c r="I83" s="128"/>
      <c r="J83" s="128"/>
      <c r="K83" s="42"/>
      <c r="L83" s="128"/>
      <c r="M83" s="128"/>
      <c r="N83" s="122"/>
      <c r="O83" s="73"/>
      <c r="P83" s="89"/>
      <c r="Q83" s="76"/>
      <c r="R83" s="76"/>
      <c r="S83" s="76"/>
      <c r="T83" s="76"/>
      <c r="U83" s="76"/>
      <c r="V83" s="76"/>
    </row>
    <row r="84" spans="1:22" x14ac:dyDescent="0.2">
      <c r="A84" s="133">
        <v>561.9442138671875</v>
      </c>
      <c r="B84" s="84">
        <v>1.3805183993839092</v>
      </c>
      <c r="C84" s="24">
        <f t="shared" si="6"/>
        <v>1.3645677173684818</v>
      </c>
      <c r="D84" s="24">
        <f t="shared" si="1"/>
        <v>0.76413437036156828</v>
      </c>
      <c r="E84" s="24">
        <f t="shared" si="7"/>
        <v>0.76203338598148418</v>
      </c>
      <c r="F84" s="24">
        <f t="shared" si="3"/>
        <v>8.821583223883267E-3</v>
      </c>
      <c r="G84" s="24"/>
      <c r="H84" s="127"/>
      <c r="I84" s="128"/>
      <c r="J84" s="128"/>
      <c r="K84" s="42"/>
      <c r="L84" s="128"/>
      <c r="M84" s="128"/>
      <c r="N84" s="122"/>
      <c r="O84" s="73"/>
      <c r="P84" s="89"/>
      <c r="Q84" s="76"/>
      <c r="R84" s="76"/>
      <c r="S84" s="76"/>
      <c r="T84" s="76"/>
      <c r="U84" s="76"/>
      <c r="V84" s="76"/>
    </row>
    <row r="85" spans="1:22" x14ac:dyDescent="0.2">
      <c r="A85" s="133">
        <v>613.33770751953125</v>
      </c>
      <c r="B85" s="84">
        <v>1.3964072170667714</v>
      </c>
      <c r="C85" s="24">
        <f t="shared" si="6"/>
        <v>1.380456535051344</v>
      </c>
      <c r="D85" s="24">
        <f t="shared" si="1"/>
        <v>0.77292903162888782</v>
      </c>
      <c r="E85" s="24">
        <f t="shared" si="7"/>
        <v>0.7709063861147889</v>
      </c>
      <c r="F85" s="24">
        <f t="shared" si="3"/>
        <v>8.8730001333047204E-3</v>
      </c>
      <c r="G85" s="24"/>
      <c r="H85" s="127"/>
      <c r="I85" s="128"/>
      <c r="J85" s="128"/>
      <c r="K85" s="42"/>
      <c r="L85" s="128"/>
      <c r="M85" s="128"/>
      <c r="N85" s="122"/>
      <c r="O85" s="73"/>
      <c r="P85" s="89"/>
      <c r="Q85" s="76"/>
      <c r="R85" s="76"/>
      <c r="S85" s="76"/>
      <c r="T85" s="76"/>
      <c r="U85" s="76"/>
      <c r="V85" s="76"/>
    </row>
    <row r="86" spans="1:22" x14ac:dyDescent="0.2">
      <c r="A86" s="133">
        <v>673.416259765625</v>
      </c>
      <c r="B86" s="84">
        <v>1.4131479034386938</v>
      </c>
      <c r="C86" s="24">
        <f t="shared" si="6"/>
        <v>1.3971972214232664</v>
      </c>
      <c r="D86" s="24">
        <f t="shared" si="1"/>
        <v>0.78219521297492289</v>
      </c>
      <c r="E86" s="24">
        <f t="shared" si="7"/>
        <v>0.78025510641446849</v>
      </c>
      <c r="F86" s="24">
        <f t="shared" si="3"/>
        <v>9.3487202996795915E-3</v>
      </c>
      <c r="G86" s="24"/>
      <c r="H86" s="127"/>
      <c r="I86" s="128"/>
      <c r="J86" s="128"/>
      <c r="K86" s="42"/>
      <c r="L86" s="128"/>
      <c r="M86" s="128"/>
      <c r="N86" s="122"/>
      <c r="O86" s="73"/>
      <c r="P86" s="89"/>
      <c r="Q86" s="76"/>
      <c r="R86" s="76"/>
      <c r="S86" s="76"/>
      <c r="T86" s="76"/>
      <c r="U86" s="76"/>
      <c r="V86" s="76"/>
    </row>
    <row r="87" spans="1:22" x14ac:dyDescent="0.2">
      <c r="A87" s="133">
        <v>735.20709228515625</v>
      </c>
      <c r="B87" s="84">
        <v>1.4301614444516964</v>
      </c>
      <c r="C87" s="24">
        <f t="shared" si="6"/>
        <v>1.414210762436269</v>
      </c>
      <c r="D87" s="24">
        <f t="shared" si="1"/>
        <v>0.79161242281102018</v>
      </c>
      <c r="E87" s="24">
        <f t="shared" si="7"/>
        <v>0.78975620049771078</v>
      </c>
      <c r="F87" s="24">
        <f t="shared" si="3"/>
        <v>9.5010940832422897E-3</v>
      </c>
      <c r="G87" s="24"/>
      <c r="H87" s="127"/>
      <c r="I87" s="128"/>
      <c r="J87" s="128"/>
      <c r="K87" s="42"/>
      <c r="L87" s="128"/>
      <c r="M87" s="128"/>
      <c r="N87" s="122"/>
      <c r="O87" s="73"/>
      <c r="P87" s="89"/>
      <c r="Q87" s="76"/>
      <c r="R87" s="76"/>
      <c r="S87" s="76"/>
      <c r="T87" s="76"/>
      <c r="U87" s="76"/>
      <c r="V87" s="76"/>
    </row>
    <row r="88" spans="1:22" x14ac:dyDescent="0.2">
      <c r="A88" s="133">
        <v>804.4375</v>
      </c>
      <c r="B88" s="84">
        <v>1.447750638481266</v>
      </c>
      <c r="C88" s="24">
        <f t="shared" si="6"/>
        <v>1.4317999564658386</v>
      </c>
      <c r="D88" s="24">
        <f t="shared" si="1"/>
        <v>0.80134826386243307</v>
      </c>
      <c r="E88" s="24">
        <f t="shared" si="7"/>
        <v>0.7995787640190628</v>
      </c>
      <c r="F88" s="24">
        <f t="shared" si="3"/>
        <v>9.8225635213520235E-3</v>
      </c>
      <c r="G88" s="24"/>
      <c r="H88" s="127"/>
      <c r="I88" s="128"/>
      <c r="J88" s="128"/>
      <c r="K88" s="42"/>
      <c r="L88" s="128"/>
      <c r="M88" s="128"/>
      <c r="N88" s="122"/>
      <c r="O88" s="73"/>
      <c r="P88" s="89"/>
      <c r="Q88" s="76"/>
      <c r="R88" s="76"/>
      <c r="S88" s="76"/>
      <c r="T88" s="76"/>
      <c r="U88" s="76"/>
      <c r="V88" s="76"/>
    </row>
    <row r="89" spans="1:22" x14ac:dyDescent="0.2">
      <c r="A89" s="133">
        <v>878.4713134765625</v>
      </c>
      <c r="B89" s="84">
        <v>1.4653900442831582</v>
      </c>
      <c r="C89" s="24">
        <f t="shared" si="6"/>
        <v>1.4494393622677308</v>
      </c>
      <c r="D89" s="24">
        <f t="shared" si="1"/>
        <v>0.81111189776401404</v>
      </c>
      <c r="E89" s="24">
        <f t="shared" si="7"/>
        <v>0.8094293679567256</v>
      </c>
      <c r="F89" s="24">
        <f t="shared" si="3"/>
        <v>9.8506039376627941E-3</v>
      </c>
      <c r="G89" s="24"/>
      <c r="H89" s="127"/>
      <c r="I89" s="128"/>
      <c r="J89" s="128"/>
      <c r="K89" s="42"/>
      <c r="L89" s="128"/>
      <c r="M89" s="128"/>
      <c r="N89" s="122"/>
      <c r="O89" s="73"/>
      <c r="P89" s="89"/>
      <c r="Q89" s="76"/>
      <c r="R89" s="76"/>
      <c r="S89" s="76"/>
      <c r="T89" s="76"/>
      <c r="U89" s="76"/>
      <c r="V89" s="76"/>
    </row>
    <row r="90" spans="1:22" x14ac:dyDescent="0.2">
      <c r="A90" s="133">
        <v>963.73516845703125</v>
      </c>
      <c r="B90" s="84">
        <v>1.4835396139137811</v>
      </c>
      <c r="C90" s="24">
        <f t="shared" si="6"/>
        <v>1.4675889318983537</v>
      </c>
      <c r="D90" s="24">
        <f t="shared" si="1"/>
        <v>0.82115791378829794</v>
      </c>
      <c r="E90" s="24">
        <f t="shared" si="7"/>
        <v>0.81956486934935857</v>
      </c>
      <c r="F90" s="24">
        <f t="shared" si="3"/>
        <v>1.0135501392632973E-2</v>
      </c>
      <c r="G90" s="24"/>
      <c r="H90" s="127"/>
      <c r="I90" s="128"/>
      <c r="J90" s="128"/>
      <c r="K90" s="42"/>
      <c r="L90" s="128"/>
      <c r="M90" s="128"/>
      <c r="N90" s="122"/>
      <c r="O90" s="73"/>
      <c r="P90" s="89"/>
      <c r="Q90" s="76"/>
      <c r="R90" s="76"/>
      <c r="S90" s="76"/>
      <c r="T90" s="76"/>
      <c r="U90" s="76"/>
      <c r="V90" s="76"/>
    </row>
    <row r="91" spans="1:22" x14ac:dyDescent="0.2">
      <c r="A91" s="133">
        <v>1047.3736572265625</v>
      </c>
      <c r="B91" s="84">
        <v>1.5005318683945006</v>
      </c>
      <c r="C91" s="24">
        <f t="shared" si="6"/>
        <v>1.4845811863790732</v>
      </c>
      <c r="D91" s="24">
        <f t="shared" si="1"/>
        <v>0.83056334125992215</v>
      </c>
      <c r="E91" s="24">
        <f t="shared" si="7"/>
        <v>0.82905407611615256</v>
      </c>
      <c r="F91" s="24">
        <f t="shared" si="3"/>
        <v>9.4892067667939894E-3</v>
      </c>
      <c r="G91" s="24"/>
      <c r="H91" s="127"/>
      <c r="I91" s="128"/>
      <c r="J91" s="128"/>
      <c r="K91" s="42"/>
      <c r="L91" s="128"/>
      <c r="M91" s="128"/>
      <c r="N91" s="122"/>
      <c r="O91" s="73"/>
      <c r="P91" s="89"/>
      <c r="Q91" s="76"/>
      <c r="R91" s="76"/>
      <c r="S91" s="76"/>
      <c r="T91" s="76"/>
      <c r="U91" s="76"/>
      <c r="V91" s="76"/>
    </row>
    <row r="92" spans="1:22" x14ac:dyDescent="0.2">
      <c r="A92" s="133">
        <v>1147.60498046875</v>
      </c>
      <c r="B92" s="84">
        <v>1.5186634106748169</v>
      </c>
      <c r="C92" s="24">
        <f t="shared" si="6"/>
        <v>1.5027127286593895</v>
      </c>
      <c r="D92" s="24">
        <f t="shared" si="1"/>
        <v>0.84059937891812131</v>
      </c>
      <c r="E92" s="24">
        <f t="shared" si="7"/>
        <v>0.83917951025992754</v>
      </c>
      <c r="F92" s="24">
        <f t="shared" si="3"/>
        <v>1.0125434143774981E-2</v>
      </c>
      <c r="G92" s="24"/>
      <c r="H92" s="127"/>
      <c r="I92" s="128"/>
      <c r="J92" s="128"/>
      <c r="K92" s="128"/>
      <c r="L92" s="128"/>
      <c r="M92" s="128"/>
      <c r="N92" s="122"/>
      <c r="O92" s="73"/>
      <c r="P92" s="89"/>
      <c r="Q92" s="76"/>
      <c r="R92" s="76"/>
      <c r="S92" s="76"/>
      <c r="T92" s="76"/>
      <c r="U92" s="76"/>
      <c r="V92" s="76"/>
    </row>
    <row r="93" spans="1:22" x14ac:dyDescent="0.2">
      <c r="A93" s="133">
        <v>1257.69873046875</v>
      </c>
      <c r="B93" s="84">
        <v>1.5362916130386657</v>
      </c>
      <c r="C93" s="24">
        <f t="shared" si="6"/>
        <v>1.5203409310232383</v>
      </c>
      <c r="D93" s="24">
        <f t="shared" si="1"/>
        <v>0.8503568115752429</v>
      </c>
      <c r="E93" s="24">
        <f t="shared" si="7"/>
        <v>0.84902385771524924</v>
      </c>
      <c r="F93" s="24">
        <f t="shared" si="3"/>
        <v>9.8443474553217003E-3</v>
      </c>
      <c r="G93" s="24"/>
      <c r="H93" s="127"/>
      <c r="I93" s="128"/>
      <c r="J93" s="128"/>
      <c r="K93" s="128"/>
      <c r="L93" s="128"/>
      <c r="M93" s="128"/>
      <c r="N93" s="122"/>
      <c r="O93" s="73"/>
      <c r="P93" s="89"/>
      <c r="Q93" s="76"/>
      <c r="R93" s="76"/>
      <c r="S93" s="76"/>
      <c r="T93" s="76"/>
      <c r="U93" s="76"/>
      <c r="V93" s="76"/>
    </row>
    <row r="94" spans="1:22" x14ac:dyDescent="0.2">
      <c r="A94" s="133">
        <v>1377.39111328125</v>
      </c>
      <c r="B94" s="84">
        <v>1.5536526643298929</v>
      </c>
      <c r="C94" s="24">
        <f t="shared" si="6"/>
        <v>1.5377019823144655</v>
      </c>
      <c r="D94" s="24">
        <f t="shared" si="1"/>
        <v>0.85996637273948184</v>
      </c>
      <c r="E94" s="24">
        <f t="shared" si="7"/>
        <v>0.85871901650529092</v>
      </c>
      <c r="F94" s="24">
        <f t="shared" si="3"/>
        <v>9.6951587900416802E-3</v>
      </c>
      <c r="G94" s="24"/>
      <c r="H94" s="127"/>
      <c r="I94" s="128"/>
      <c r="J94" s="128"/>
      <c r="K94" s="128"/>
      <c r="L94" s="128"/>
      <c r="M94" s="128"/>
      <c r="N94" s="122"/>
      <c r="O94" s="73"/>
      <c r="P94" s="89"/>
      <c r="Q94" s="76"/>
      <c r="R94" s="76"/>
      <c r="S94" s="76"/>
      <c r="T94" s="76"/>
      <c r="U94" s="76"/>
      <c r="V94" s="76"/>
    </row>
    <row r="95" spans="1:22" x14ac:dyDescent="0.2">
      <c r="A95" s="133">
        <v>1506.6187744140625</v>
      </c>
      <c r="B95" s="84">
        <v>1.5702103272639578</v>
      </c>
      <c r="C95" s="24">
        <f t="shared" si="6"/>
        <v>1.5542596452485304</v>
      </c>
      <c r="D95" s="24">
        <f t="shared" si="1"/>
        <v>0.86913124830102961</v>
      </c>
      <c r="E95" s="24">
        <f t="shared" si="7"/>
        <v>0.86796552863436127</v>
      </c>
      <c r="F95" s="24">
        <f t="shared" si="3"/>
        <v>9.24651212907035E-3</v>
      </c>
      <c r="G95" s="24"/>
      <c r="H95" s="127"/>
      <c r="I95" s="128"/>
      <c r="J95" s="128"/>
      <c r="K95" s="128"/>
      <c r="L95" s="128"/>
      <c r="M95" s="128"/>
      <c r="N95" s="122"/>
      <c r="O95" s="73"/>
      <c r="P95" s="89"/>
      <c r="Q95" s="76"/>
      <c r="R95" s="76"/>
      <c r="S95" s="76"/>
      <c r="T95" s="76"/>
      <c r="U95" s="76"/>
      <c r="V95" s="76"/>
    </row>
    <row r="96" spans="1:22" x14ac:dyDescent="0.2">
      <c r="A96" s="133">
        <v>1648.274658203125</v>
      </c>
      <c r="B96" s="84">
        <v>1.5862373546325035</v>
      </c>
      <c r="C96" s="24">
        <f t="shared" si="6"/>
        <v>1.5702866726170761</v>
      </c>
      <c r="D96" s="24">
        <f t="shared" si="1"/>
        <v>0.87800241037499893</v>
      </c>
      <c r="E96" s="24">
        <f t="shared" si="7"/>
        <v>0.87691571100891086</v>
      </c>
      <c r="F96" s="24">
        <f t="shared" si="3"/>
        <v>8.9501823745495868E-3</v>
      </c>
      <c r="G96" s="24"/>
      <c r="H96" s="127"/>
      <c r="I96" s="128"/>
      <c r="J96" s="128"/>
      <c r="K96" s="128"/>
      <c r="L96" s="128"/>
      <c r="M96" s="128"/>
      <c r="N96" s="122"/>
      <c r="O96" s="73"/>
      <c r="P96" s="89"/>
      <c r="Q96" s="76"/>
      <c r="R96" s="76"/>
      <c r="S96" s="76"/>
      <c r="T96" s="76"/>
      <c r="U96" s="76"/>
      <c r="V96" s="76"/>
    </row>
    <row r="97" spans="1:22" x14ac:dyDescent="0.2">
      <c r="A97" s="133">
        <v>1809.197998046875</v>
      </c>
      <c r="B97" s="84">
        <v>1.6023231491260594</v>
      </c>
      <c r="C97" s="24">
        <f t="shared" si="6"/>
        <v>1.5863724671106321</v>
      </c>
      <c r="D97" s="24">
        <f t="shared" si="1"/>
        <v>0.88690610079490528</v>
      </c>
      <c r="E97" s="24">
        <f t="shared" si="7"/>
        <v>0.88589871147719523</v>
      </c>
      <c r="F97" s="24">
        <f t="shared" si="3"/>
        <v>8.9830004682843745E-3</v>
      </c>
      <c r="G97" s="24"/>
      <c r="H97" s="127"/>
      <c r="I97" s="128"/>
      <c r="J97" s="128"/>
      <c r="K97" s="128"/>
      <c r="L97" s="128"/>
      <c r="M97" s="128"/>
      <c r="N97" s="122"/>
      <c r="O97" s="73"/>
      <c r="P97" s="89"/>
      <c r="Q97" s="76"/>
      <c r="R97" s="76"/>
      <c r="S97" s="76"/>
      <c r="T97" s="76"/>
      <c r="U97" s="76"/>
      <c r="V97" s="76"/>
    </row>
    <row r="98" spans="1:22" x14ac:dyDescent="0.2">
      <c r="A98" s="133">
        <v>1978.277587890625</v>
      </c>
      <c r="B98" s="84">
        <v>1.6167938152514763</v>
      </c>
      <c r="C98" s="24">
        <f t="shared" si="6"/>
        <v>1.6008431332360489</v>
      </c>
      <c r="D98" s="24">
        <f t="shared" si="1"/>
        <v>0.89491579726355974</v>
      </c>
      <c r="E98" s="24">
        <f t="shared" si="7"/>
        <v>0.89397975470033719</v>
      </c>
      <c r="F98" s="24">
        <f t="shared" si="3"/>
        <v>8.0810432231419593E-3</v>
      </c>
      <c r="G98" s="24"/>
      <c r="H98" s="127"/>
      <c r="I98" s="128"/>
      <c r="J98" s="128"/>
      <c r="K98" s="128"/>
      <c r="L98" s="128"/>
      <c r="M98" s="128"/>
      <c r="N98" s="122"/>
      <c r="O98" s="73"/>
      <c r="P98" s="89"/>
      <c r="Q98" s="76"/>
      <c r="R98" s="76"/>
      <c r="S98" s="76"/>
      <c r="T98" s="76"/>
      <c r="U98" s="76"/>
      <c r="V98" s="76"/>
    </row>
    <row r="99" spans="1:22" x14ac:dyDescent="0.2">
      <c r="A99" s="133">
        <v>2158.394775390625</v>
      </c>
      <c r="B99" s="84">
        <v>1.6305616184138125</v>
      </c>
      <c r="C99" s="24">
        <f t="shared" si="6"/>
        <v>1.6146109363983852</v>
      </c>
      <c r="D99" s="24">
        <f t="shared" si="1"/>
        <v>0.9025364502048091</v>
      </c>
      <c r="E99" s="24">
        <f t="shared" si="7"/>
        <v>0.90166828897224149</v>
      </c>
      <c r="F99" s="24">
        <f t="shared" si="3"/>
        <v>7.6885342719043015E-3</v>
      </c>
      <c r="G99" s="24"/>
      <c r="H99" s="127"/>
      <c r="I99" s="128"/>
      <c r="J99" s="128"/>
      <c r="K99" s="128"/>
      <c r="L99" s="128"/>
      <c r="M99" s="128"/>
      <c r="N99" s="122"/>
      <c r="O99" s="73"/>
      <c r="P99" s="89"/>
      <c r="Q99" s="76"/>
      <c r="R99" s="76"/>
      <c r="S99" s="76"/>
      <c r="T99" s="76"/>
      <c r="U99" s="76"/>
      <c r="V99" s="76"/>
    </row>
    <row r="100" spans="1:22" x14ac:dyDescent="0.2">
      <c r="A100" s="133">
        <v>2368.03857421875</v>
      </c>
      <c r="B100" s="84">
        <v>1.6445573606156176</v>
      </c>
      <c r="C100" s="24">
        <f t="shared" si="6"/>
        <v>1.6286066786001903</v>
      </c>
      <c r="D100" s="24">
        <f t="shared" si="1"/>
        <v>0.91028327028333322</v>
      </c>
      <c r="E100" s="24">
        <f t="shared" si="7"/>
        <v>0.90948411422123165</v>
      </c>
      <c r="F100" s="24">
        <f t="shared" si="3"/>
        <v>7.8158252489901603E-3</v>
      </c>
      <c r="G100" s="24"/>
      <c r="H100" s="127"/>
      <c r="I100" s="128"/>
      <c r="J100" s="128"/>
      <c r="K100" s="128"/>
      <c r="L100" s="128"/>
      <c r="M100" s="128"/>
      <c r="N100" s="122"/>
      <c r="O100" s="73"/>
      <c r="P100" s="89"/>
      <c r="Q100" s="76"/>
      <c r="R100" s="76"/>
      <c r="S100" s="76"/>
      <c r="T100" s="76"/>
      <c r="U100" s="76"/>
      <c r="V100" s="76"/>
    </row>
    <row r="101" spans="1:22" x14ac:dyDescent="0.2">
      <c r="A101" s="133">
        <v>2588.29150390625</v>
      </c>
      <c r="B101" s="84">
        <v>1.6566451573185987</v>
      </c>
      <c r="C101" s="24">
        <f t="shared" si="6"/>
        <v>1.6406944753031714</v>
      </c>
      <c r="D101" s="24">
        <f t="shared" si="1"/>
        <v>0.91697401843041559</v>
      </c>
      <c r="E101" s="24">
        <f t="shared" si="7"/>
        <v>0.91623446052752722</v>
      </c>
      <c r="F101" s="24">
        <f t="shared" si="3"/>
        <v>6.7503463062955626E-3</v>
      </c>
      <c r="G101" s="24"/>
      <c r="H101" s="127"/>
      <c r="I101" s="128"/>
      <c r="J101" s="128"/>
      <c r="K101" s="128"/>
      <c r="L101" s="128"/>
      <c r="M101" s="128"/>
      <c r="N101" s="122"/>
      <c r="O101" s="73"/>
      <c r="P101" s="89"/>
      <c r="Q101" s="76"/>
      <c r="R101" s="76"/>
      <c r="S101" s="76"/>
      <c r="T101" s="76"/>
      <c r="U101" s="76"/>
      <c r="V101" s="76"/>
    </row>
    <row r="102" spans="1:22" x14ac:dyDescent="0.2">
      <c r="A102" s="133">
        <v>2829.26611328125</v>
      </c>
      <c r="B102" s="84">
        <v>1.6678689652495451</v>
      </c>
      <c r="C102" s="24">
        <f t="shared" si="6"/>
        <v>1.6519182832341177</v>
      </c>
      <c r="D102" s="24">
        <f t="shared" si="1"/>
        <v>0.92318653787977634</v>
      </c>
      <c r="E102" s="24">
        <f t="shared" si="7"/>
        <v>0.92250231829109708</v>
      </c>
      <c r="F102" s="24">
        <f t="shared" si="3"/>
        <v>6.2678577635698618E-3</v>
      </c>
      <c r="G102" s="24"/>
      <c r="H102" s="127"/>
      <c r="I102" s="128"/>
      <c r="J102" s="128"/>
      <c r="K102" s="128"/>
      <c r="L102" s="128"/>
      <c r="M102" s="128"/>
      <c r="N102" s="122"/>
      <c r="O102" s="73"/>
      <c r="P102" s="89"/>
      <c r="Q102" s="76"/>
      <c r="R102" s="76"/>
      <c r="S102" s="76"/>
      <c r="T102" s="76"/>
      <c r="U102" s="76"/>
      <c r="V102" s="76"/>
    </row>
    <row r="103" spans="1:22" x14ac:dyDescent="0.2">
      <c r="A103" s="133">
        <v>3098.591552734375</v>
      </c>
      <c r="B103" s="84">
        <v>1.6790591628663605</v>
      </c>
      <c r="C103" s="24">
        <f t="shared" si="6"/>
        <v>1.6631084808509331</v>
      </c>
      <c r="D103" s="24">
        <f t="shared" si="1"/>
        <v>0.9293804535957586</v>
      </c>
      <c r="E103" s="24">
        <f t="shared" si="7"/>
        <v>0.92875140660764355</v>
      </c>
      <c r="F103" s="24">
        <f t="shared" si="3"/>
        <v>6.2490883165464695E-3</v>
      </c>
      <c r="G103" s="24"/>
      <c r="H103" s="127"/>
      <c r="I103" s="128"/>
      <c r="J103" s="128"/>
      <c r="K103" s="128"/>
      <c r="L103" s="128"/>
      <c r="M103" s="128"/>
      <c r="N103" s="122"/>
      <c r="O103" s="73"/>
      <c r="P103" s="89"/>
      <c r="Q103" s="76"/>
      <c r="R103" s="76"/>
      <c r="S103" s="76"/>
      <c r="T103" s="76"/>
      <c r="U103" s="76"/>
      <c r="V103" s="76"/>
    </row>
    <row r="104" spans="1:22" x14ac:dyDescent="0.2">
      <c r="A104" s="133">
        <v>3388.222412109375</v>
      </c>
      <c r="B104" s="84">
        <v>1.6896138199977941</v>
      </c>
      <c r="C104" s="24">
        <f t="shared" si="6"/>
        <v>1.6736631379823668</v>
      </c>
      <c r="D104" s="24">
        <f t="shared" si="1"/>
        <v>0.93522258962604232</v>
      </c>
      <c r="E104" s="24">
        <f t="shared" si="7"/>
        <v>0.93464558174411139</v>
      </c>
      <c r="F104" s="24">
        <f t="shared" si="3"/>
        <v>5.8941751364678385E-3</v>
      </c>
      <c r="G104" s="24"/>
      <c r="H104" s="127"/>
      <c r="I104" s="128"/>
      <c r="J104" s="128"/>
      <c r="K104" s="128"/>
      <c r="L104" s="128"/>
      <c r="M104" s="128"/>
      <c r="N104" s="122"/>
      <c r="O104" s="73"/>
      <c r="P104" s="89"/>
      <c r="Q104" s="76"/>
      <c r="R104" s="76"/>
      <c r="S104" s="76"/>
      <c r="T104" s="76"/>
      <c r="U104" s="76"/>
      <c r="V104" s="76"/>
    </row>
    <row r="105" spans="1:22" x14ac:dyDescent="0.2">
      <c r="A105" s="133">
        <v>3707.71044921875</v>
      </c>
      <c r="B105" s="84">
        <v>1.6996173698269195</v>
      </c>
      <c r="C105" s="24">
        <f t="shared" si="6"/>
        <v>1.6836666878114921</v>
      </c>
      <c r="D105" s="24">
        <f t="shared" si="1"/>
        <v>0.94075968080387129</v>
      </c>
      <c r="E105" s="24">
        <f t="shared" si="7"/>
        <v>0.94023199482650766</v>
      </c>
      <c r="F105" s="24">
        <f t="shared" si="3"/>
        <v>5.5864130823962688E-3</v>
      </c>
      <c r="G105" s="24"/>
      <c r="H105" s="127"/>
      <c r="I105" s="128"/>
      <c r="J105" s="128"/>
      <c r="K105" s="128"/>
      <c r="L105" s="128"/>
      <c r="M105" s="128"/>
      <c r="N105" s="122"/>
      <c r="O105" s="73"/>
      <c r="P105" s="89"/>
      <c r="Q105" s="76"/>
      <c r="R105" s="76"/>
      <c r="S105" s="76"/>
      <c r="T105" s="76"/>
      <c r="U105" s="76"/>
      <c r="V105" s="76"/>
    </row>
    <row r="106" spans="1:22" x14ac:dyDescent="0.2">
      <c r="A106" s="133">
        <v>4059.138671875</v>
      </c>
      <c r="B106" s="84">
        <v>1.7086973489635056</v>
      </c>
      <c r="C106" s="24">
        <f t="shared" si="6"/>
        <v>1.6927466669480782</v>
      </c>
      <c r="D106" s="24">
        <f t="shared" si="1"/>
        <v>0.94578556393844437</v>
      </c>
      <c r="E106" s="24">
        <f t="shared" si="7"/>
        <v>0.94530264625554583</v>
      </c>
      <c r="F106" s="24">
        <f t="shared" si="3"/>
        <v>5.0706514290381755E-3</v>
      </c>
      <c r="G106" s="24"/>
      <c r="H106" s="127"/>
      <c r="I106" s="128"/>
      <c r="J106" s="128"/>
      <c r="K106" s="128"/>
      <c r="L106" s="128"/>
      <c r="M106" s="128"/>
      <c r="N106" s="122"/>
      <c r="O106" s="73"/>
      <c r="P106" s="89"/>
      <c r="Q106" s="76"/>
      <c r="R106" s="76"/>
      <c r="S106" s="76"/>
      <c r="T106" s="76"/>
      <c r="U106" s="76"/>
      <c r="V106" s="76"/>
    </row>
    <row r="107" spans="1:22" x14ac:dyDescent="0.2">
      <c r="A107" s="133">
        <v>4436.59912109375</v>
      </c>
      <c r="B107" s="84">
        <v>1.718403498437292</v>
      </c>
      <c r="C107" s="24">
        <f t="shared" si="6"/>
        <v>1.7024528164218646</v>
      </c>
      <c r="D107" s="24">
        <f t="shared" si="1"/>
        <v>0.95115804026335038</v>
      </c>
      <c r="E107" s="24">
        <f t="shared" si="7"/>
        <v>0.95072297817034124</v>
      </c>
      <c r="F107" s="24">
        <f t="shared" si="3"/>
        <v>5.4203319147954065E-3</v>
      </c>
      <c r="G107" s="24"/>
      <c r="H107" s="127"/>
      <c r="I107" s="128"/>
      <c r="J107" s="128"/>
      <c r="K107" s="128"/>
      <c r="L107" s="128"/>
      <c r="M107" s="128"/>
      <c r="N107" s="122"/>
      <c r="O107" s="73"/>
      <c r="P107" s="89"/>
      <c r="Q107" s="76"/>
      <c r="R107" s="76"/>
      <c r="S107" s="76"/>
      <c r="T107" s="76"/>
      <c r="U107" s="76"/>
      <c r="V107" s="76"/>
    </row>
    <row r="108" spans="1:22" x14ac:dyDescent="0.2">
      <c r="A108" s="133">
        <v>4846.0673828125</v>
      </c>
      <c r="B108" s="84">
        <v>1.7264200676046675</v>
      </c>
      <c r="C108" s="24">
        <f t="shared" si="6"/>
        <v>1.7104693855892401</v>
      </c>
      <c r="D108" s="24">
        <f t="shared" si="1"/>
        <v>0.95559531254882379</v>
      </c>
      <c r="E108" s="24">
        <f t="shared" si="7"/>
        <v>0.95519977567098169</v>
      </c>
      <c r="F108" s="24">
        <f t="shared" si="3"/>
        <v>4.4767975006404503E-3</v>
      </c>
      <c r="G108" s="24"/>
      <c r="H108" s="127"/>
      <c r="I108" s="128"/>
      <c r="J108" s="128"/>
      <c r="K108" s="128"/>
      <c r="L108" s="128"/>
      <c r="M108" s="128"/>
      <c r="N108" s="122"/>
      <c r="O108" s="73"/>
      <c r="P108" s="89"/>
      <c r="Q108" s="76"/>
      <c r="R108" s="76"/>
      <c r="S108" s="76"/>
      <c r="T108" s="76"/>
      <c r="U108" s="76"/>
      <c r="V108" s="76"/>
    </row>
    <row r="109" spans="1:22" x14ac:dyDescent="0.2">
      <c r="A109" s="133">
        <v>5307.00390625</v>
      </c>
      <c r="B109" s="84">
        <v>1.734089228343255</v>
      </c>
      <c r="C109" s="24">
        <f t="shared" si="6"/>
        <v>1.7181385463278276</v>
      </c>
      <c r="D109" s="24">
        <f t="shared" si="1"/>
        <v>0.95984028988110526</v>
      </c>
      <c r="E109" s="24">
        <f t="shared" si="7"/>
        <v>0.9594825653419351</v>
      </c>
      <c r="F109" s="24">
        <f t="shared" si="3"/>
        <v>4.282789670953413E-3</v>
      </c>
      <c r="G109" s="24"/>
      <c r="H109" s="127"/>
      <c r="I109" s="128"/>
      <c r="J109" s="128"/>
      <c r="K109" s="128"/>
      <c r="L109" s="128"/>
      <c r="M109" s="128"/>
      <c r="N109" s="122"/>
      <c r="O109" s="73"/>
      <c r="P109" s="89"/>
      <c r="Q109" s="76"/>
      <c r="R109" s="76"/>
      <c r="S109" s="76"/>
      <c r="T109" s="76"/>
      <c r="U109" s="76"/>
      <c r="V109" s="76"/>
    </row>
    <row r="110" spans="1:22" x14ac:dyDescent="0.2">
      <c r="A110" s="133">
        <v>5806.4521484375</v>
      </c>
      <c r="B110" s="84">
        <v>1.7419944760762518</v>
      </c>
      <c r="C110" s="24">
        <f t="shared" si="6"/>
        <v>1.7260437940608244</v>
      </c>
      <c r="D110" s="24">
        <f t="shared" si="1"/>
        <v>0.96421594434663183</v>
      </c>
      <c r="E110" s="24">
        <f t="shared" si="7"/>
        <v>0.96389719615894953</v>
      </c>
      <c r="F110" s="24">
        <f t="shared" si="3"/>
        <v>4.4146308170144311E-3</v>
      </c>
      <c r="G110" s="24"/>
      <c r="H110" s="127"/>
      <c r="I110" s="128"/>
      <c r="J110" s="128"/>
      <c r="K110" s="128"/>
      <c r="L110" s="128"/>
      <c r="M110" s="128"/>
      <c r="N110" s="122"/>
      <c r="O110" s="73"/>
      <c r="P110" s="89"/>
      <c r="Q110" s="76"/>
      <c r="R110" s="76"/>
      <c r="S110" s="76"/>
      <c r="T110" s="76"/>
      <c r="U110" s="76"/>
      <c r="V110" s="76"/>
    </row>
    <row r="111" spans="1:22" x14ac:dyDescent="0.2">
      <c r="A111" s="133">
        <v>6356.62158203125</v>
      </c>
      <c r="B111" s="84">
        <v>1.74959162926305</v>
      </c>
      <c r="C111" s="24">
        <f t="shared" si="6"/>
        <v>1.7336409472476226</v>
      </c>
      <c r="D111" s="24">
        <f t="shared" si="1"/>
        <v>0.96842106458952404</v>
      </c>
      <c r="E111" s="24">
        <f t="shared" si="7"/>
        <v>0.96813977371158311</v>
      </c>
      <c r="F111" s="24">
        <f t="shared" si="3"/>
        <v>4.2425775526335752E-3</v>
      </c>
      <c r="G111" s="24"/>
      <c r="H111" s="127"/>
      <c r="I111" s="128"/>
      <c r="J111" s="128"/>
      <c r="K111" s="128"/>
      <c r="L111" s="128"/>
      <c r="M111" s="128"/>
      <c r="N111" s="122"/>
      <c r="O111" s="73"/>
      <c r="P111" s="89"/>
      <c r="Q111" s="76"/>
      <c r="R111" s="76"/>
      <c r="S111" s="76"/>
      <c r="T111" s="76"/>
      <c r="U111" s="76"/>
      <c r="V111" s="76"/>
    </row>
    <row r="112" spans="1:22" x14ac:dyDescent="0.2">
      <c r="A112" s="133">
        <v>6946.20654296875</v>
      </c>
      <c r="B112" s="84">
        <v>1.7551648304425544</v>
      </c>
      <c r="C112" s="24">
        <f t="shared" si="6"/>
        <v>1.7392141484271271</v>
      </c>
      <c r="D112" s="24">
        <f t="shared" si="1"/>
        <v>0.97150590183334451</v>
      </c>
      <c r="E112" s="24">
        <f t="shared" si="7"/>
        <v>0.97125208929073503</v>
      </c>
      <c r="F112" s="24">
        <f t="shared" si="3"/>
        <v>3.1123155791519252E-3</v>
      </c>
      <c r="G112" s="24"/>
      <c r="H112" s="127"/>
      <c r="I112" s="128"/>
      <c r="J112" s="128"/>
      <c r="K112" s="128"/>
      <c r="L112" s="128"/>
      <c r="M112" s="128"/>
      <c r="N112" s="122"/>
      <c r="O112" s="73"/>
      <c r="P112" s="89"/>
      <c r="Q112" s="76"/>
      <c r="R112" s="76"/>
      <c r="S112" s="76"/>
      <c r="T112" s="76"/>
      <c r="U112" s="76"/>
      <c r="V112" s="76"/>
    </row>
    <row r="113" spans="1:22" x14ac:dyDescent="0.2">
      <c r="A113" s="133">
        <v>7605.62109375</v>
      </c>
      <c r="B113" s="84">
        <v>1.7612997312657899</v>
      </c>
      <c r="C113" s="24">
        <f t="shared" si="6"/>
        <v>1.7453490492503625</v>
      </c>
      <c r="D113" s="24">
        <f t="shared" si="1"/>
        <v>0.97490164692438119</v>
      </c>
      <c r="E113" s="24">
        <f t="shared" si="7"/>
        <v>0.97467808214362639</v>
      </c>
      <c r="F113" s="24">
        <f t="shared" si="3"/>
        <v>3.4259928528913575E-3</v>
      </c>
      <c r="G113" s="24"/>
      <c r="H113" s="127"/>
      <c r="I113" s="128"/>
      <c r="J113" s="128"/>
      <c r="K113" s="128"/>
      <c r="L113" s="128"/>
      <c r="M113" s="128"/>
      <c r="N113" s="122"/>
      <c r="O113" s="73"/>
      <c r="P113" s="89"/>
      <c r="Q113" s="76"/>
      <c r="R113" s="76"/>
      <c r="S113" s="76"/>
      <c r="T113" s="76"/>
      <c r="U113" s="76"/>
      <c r="V113" s="76"/>
    </row>
    <row r="114" spans="1:22" x14ac:dyDescent="0.2">
      <c r="A114" s="133">
        <v>8316.7763671875</v>
      </c>
      <c r="B114" s="84">
        <v>1.766483154650814</v>
      </c>
      <c r="C114" s="24">
        <f t="shared" ref="C114:C136" si="8">IF(B114-I$27&lt;0,0,B114-I$27)</f>
        <v>1.7505324726353866</v>
      </c>
      <c r="D114" s="24">
        <f t="shared" si="1"/>
        <v>0.97777073723596297</v>
      </c>
      <c r="E114" s="24">
        <f t="shared" ref="E114:E136" si="9">C114/$H$23</f>
        <v>0.97757272901441916</v>
      </c>
      <c r="F114" s="24">
        <f t="shared" si="3"/>
        <v>2.8946468707927719E-3</v>
      </c>
      <c r="G114" s="24"/>
      <c r="H114" s="127"/>
      <c r="I114" s="128"/>
      <c r="J114" s="128"/>
      <c r="K114" s="128"/>
      <c r="L114" s="128"/>
      <c r="M114" s="128"/>
      <c r="N114" s="122"/>
      <c r="O114" s="73"/>
      <c r="P114" s="89"/>
      <c r="Q114" s="76"/>
      <c r="R114" s="76"/>
      <c r="S114" s="76"/>
      <c r="T114" s="76"/>
      <c r="U114" s="76"/>
      <c r="V114" s="76"/>
    </row>
    <row r="115" spans="1:22" x14ac:dyDescent="0.2">
      <c r="A115" s="133">
        <v>9097.396484375</v>
      </c>
      <c r="B115" s="84">
        <v>1.7712579580955572</v>
      </c>
      <c r="C115" s="24">
        <f t="shared" si="8"/>
        <v>1.7553072760801298</v>
      </c>
      <c r="D115" s="24">
        <f t="shared" si="1"/>
        <v>0.98041365124962443</v>
      </c>
      <c r="E115" s="24">
        <f t="shared" si="9"/>
        <v>0.98023918491109718</v>
      </c>
      <c r="F115" s="24">
        <f t="shared" si="3"/>
        <v>2.6664558966780216E-3</v>
      </c>
      <c r="G115" s="24"/>
      <c r="H115" s="127"/>
      <c r="I115" s="128"/>
      <c r="J115" s="128"/>
      <c r="K115" s="128"/>
      <c r="L115" s="128"/>
      <c r="M115" s="128"/>
      <c r="N115" s="122"/>
      <c r="O115" s="73"/>
      <c r="P115" s="89"/>
      <c r="Q115" s="76"/>
      <c r="R115" s="76"/>
      <c r="S115" s="76"/>
      <c r="T115" s="76"/>
      <c r="U115" s="76"/>
      <c r="V115" s="76"/>
    </row>
    <row r="116" spans="1:22" x14ac:dyDescent="0.2">
      <c r="A116" s="133">
        <v>9956.7275390625</v>
      </c>
      <c r="B116" s="84">
        <v>1.7762412473373479</v>
      </c>
      <c r="C116" s="24">
        <f t="shared" si="8"/>
        <v>1.7602905653219205</v>
      </c>
      <c r="D116" s="24">
        <f t="shared" si="1"/>
        <v>0.98317196478518076</v>
      </c>
      <c r="E116" s="24">
        <f t="shared" si="9"/>
        <v>0.98302206825643246</v>
      </c>
      <c r="F116" s="24">
        <f t="shared" si="3"/>
        <v>2.7828833453352742E-3</v>
      </c>
      <c r="G116" s="24"/>
      <c r="H116" s="127"/>
      <c r="I116" s="128"/>
      <c r="J116" s="128"/>
      <c r="K116" s="128"/>
      <c r="L116" s="128"/>
      <c r="M116" s="128"/>
      <c r="N116" s="122"/>
      <c r="O116" s="73"/>
      <c r="P116" s="89"/>
      <c r="Q116" s="76"/>
      <c r="R116" s="76"/>
      <c r="S116" s="76"/>
      <c r="T116" s="76"/>
      <c r="U116" s="76"/>
      <c r="V116" s="76"/>
    </row>
    <row r="117" spans="1:22" x14ac:dyDescent="0.2">
      <c r="A117" s="133">
        <v>10896.4423828125</v>
      </c>
      <c r="B117" s="84">
        <v>1.7803230672143764</v>
      </c>
      <c r="C117" s="24">
        <f t="shared" si="8"/>
        <v>1.764372385198949</v>
      </c>
      <c r="D117" s="24">
        <f t="shared" si="1"/>
        <v>0.98543130364155129</v>
      </c>
      <c r="E117" s="24">
        <f t="shared" si="9"/>
        <v>0.98530153228175543</v>
      </c>
      <c r="F117" s="24">
        <f t="shared" si="3"/>
        <v>2.2794640253229748E-3</v>
      </c>
      <c r="G117" s="24"/>
      <c r="H117" s="127"/>
      <c r="I117" s="128"/>
      <c r="J117" s="128"/>
      <c r="K117" s="128"/>
      <c r="L117" s="128"/>
      <c r="M117" s="128"/>
      <c r="N117" s="122"/>
      <c r="O117" s="73"/>
      <c r="P117" s="89"/>
      <c r="Q117" s="76"/>
      <c r="R117" s="76"/>
      <c r="S117" s="76"/>
      <c r="T117" s="76"/>
      <c r="U117" s="76"/>
      <c r="V117" s="76"/>
    </row>
    <row r="118" spans="1:22" x14ac:dyDescent="0.2">
      <c r="A118" s="133">
        <v>11895.58984375</v>
      </c>
      <c r="B118" s="84">
        <v>1.7845435041748352</v>
      </c>
      <c r="C118" s="24">
        <f t="shared" si="8"/>
        <v>1.7685928221594078</v>
      </c>
      <c r="D118" s="24">
        <f t="shared" si="1"/>
        <v>0.98776736880436999</v>
      </c>
      <c r="E118" s="24">
        <f t="shared" si="9"/>
        <v>0.98765840605677191</v>
      </c>
      <c r="F118" s="24">
        <f t="shared" si="3"/>
        <v>2.356873775016477E-3</v>
      </c>
      <c r="G118" s="24"/>
      <c r="H118" s="127"/>
      <c r="I118" s="128"/>
      <c r="J118" s="128"/>
      <c r="K118" s="128"/>
      <c r="L118" s="128"/>
      <c r="M118" s="128"/>
      <c r="N118" s="122"/>
      <c r="O118" s="73"/>
      <c r="P118" s="89"/>
      <c r="Q118" s="76"/>
      <c r="R118" s="76"/>
      <c r="S118" s="76"/>
      <c r="T118" s="76"/>
      <c r="U118" s="76"/>
      <c r="V118" s="76"/>
    </row>
    <row r="119" spans="1:22" x14ac:dyDescent="0.2">
      <c r="A119" s="133">
        <v>12996.1123046875</v>
      </c>
      <c r="B119" s="84">
        <v>1.7874214637093611</v>
      </c>
      <c r="C119" s="24">
        <f t="shared" si="8"/>
        <v>1.7714707816939337</v>
      </c>
      <c r="D119" s="24">
        <f t="shared" si="1"/>
        <v>0.98936035575609937</v>
      </c>
      <c r="E119" s="24">
        <f t="shared" si="9"/>
        <v>0.98926558261598418</v>
      </c>
      <c r="F119" s="24">
        <f t="shared" si="3"/>
        <v>1.6071765592122755E-3</v>
      </c>
      <c r="G119" s="24"/>
      <c r="H119" s="127"/>
      <c r="I119" s="128"/>
      <c r="J119" s="128"/>
      <c r="K119" s="128"/>
      <c r="L119" s="128"/>
      <c r="M119" s="128"/>
      <c r="N119" s="122"/>
      <c r="O119" s="73"/>
      <c r="P119" s="89"/>
      <c r="Q119" s="76"/>
      <c r="R119" s="76"/>
      <c r="S119" s="76"/>
      <c r="T119" s="76"/>
      <c r="U119" s="76"/>
      <c r="V119" s="76"/>
    </row>
    <row r="120" spans="1:22" x14ac:dyDescent="0.2">
      <c r="A120" s="133">
        <v>14296.1533203125</v>
      </c>
      <c r="B120" s="84">
        <v>1.7909792682342596</v>
      </c>
      <c r="C120" s="24">
        <f t="shared" si="8"/>
        <v>1.7750285862188322</v>
      </c>
      <c r="D120" s="24">
        <f t="shared" si="1"/>
        <v>0.99132964549661728</v>
      </c>
      <c r="E120" s="24">
        <f t="shared" si="9"/>
        <v>0.99125241389907881</v>
      </c>
      <c r="F120" s="24">
        <f t="shared" si="3"/>
        <v>1.9868312830946255E-3</v>
      </c>
      <c r="G120" s="24"/>
      <c r="H120" s="127"/>
      <c r="I120" s="128"/>
      <c r="J120" s="128"/>
      <c r="K120" s="128"/>
      <c r="L120" s="128"/>
      <c r="M120" s="128"/>
      <c r="N120" s="122"/>
      <c r="O120" s="73"/>
      <c r="P120" s="89"/>
      <c r="Q120" s="76"/>
      <c r="R120" s="76"/>
      <c r="S120" s="76"/>
      <c r="T120" s="76"/>
      <c r="U120" s="76"/>
      <c r="V120" s="76"/>
    </row>
    <row r="121" spans="1:22" x14ac:dyDescent="0.2">
      <c r="A121" s="133">
        <v>15595.4013671875</v>
      </c>
      <c r="B121" s="84">
        <v>1.7938300339691704</v>
      </c>
      <c r="C121" s="24">
        <f t="shared" si="8"/>
        <v>1.777879351953743</v>
      </c>
      <c r="D121" s="24">
        <f t="shared" si="1"/>
        <v>0.99290758033679505</v>
      </c>
      <c r="E121" s="24">
        <f t="shared" si="9"/>
        <v>0.99284440426933573</v>
      </c>
      <c r="F121" s="24">
        <f t="shared" si="3"/>
        <v>1.5919903702569238E-3</v>
      </c>
      <c r="G121" s="24"/>
      <c r="H121" s="127"/>
      <c r="I121" s="128"/>
      <c r="J121" s="128"/>
      <c r="K121" s="128"/>
      <c r="L121" s="128"/>
      <c r="M121" s="128"/>
      <c r="N121" s="122"/>
      <c r="O121" s="73"/>
      <c r="P121" s="89"/>
      <c r="Q121" s="76"/>
      <c r="R121" s="76"/>
      <c r="S121" s="76"/>
      <c r="T121" s="76"/>
      <c r="U121" s="76"/>
      <c r="V121" s="76"/>
    </row>
    <row r="122" spans="1:22" x14ac:dyDescent="0.2">
      <c r="A122" s="133">
        <v>17096.5859375</v>
      </c>
      <c r="B122" s="84">
        <v>1.7970528556965655</v>
      </c>
      <c r="C122" s="24">
        <f t="shared" si="8"/>
        <v>1.7811021736811381</v>
      </c>
      <c r="D122" s="24">
        <f t="shared" si="1"/>
        <v>0.99469145286797589</v>
      </c>
      <c r="E122" s="24">
        <f t="shared" si="9"/>
        <v>0.99464416673043043</v>
      </c>
      <c r="F122" s="24">
        <f t="shared" si="3"/>
        <v>1.7997624610947005E-3</v>
      </c>
      <c r="G122" s="24"/>
      <c r="H122" s="127"/>
      <c r="I122" s="128"/>
      <c r="J122" s="128"/>
      <c r="K122" s="128"/>
      <c r="L122" s="128"/>
      <c r="M122" s="128"/>
      <c r="N122" s="122"/>
      <c r="O122" s="73"/>
      <c r="P122" s="89"/>
      <c r="Q122" s="76"/>
      <c r="R122" s="76"/>
      <c r="S122" s="76"/>
      <c r="T122" s="76"/>
      <c r="U122" s="76"/>
      <c r="V122" s="76"/>
    </row>
    <row r="123" spans="1:22" x14ac:dyDescent="0.2">
      <c r="A123" s="133">
        <v>18695.119140625</v>
      </c>
      <c r="B123" s="84">
        <v>1.7987010851316518</v>
      </c>
      <c r="C123" s="24">
        <f t="shared" si="8"/>
        <v>1.7827504031162245</v>
      </c>
      <c r="D123" s="24">
        <f t="shared" si="1"/>
        <v>0.99560376867785805</v>
      </c>
      <c r="E123" s="24">
        <f t="shared" si="9"/>
        <v>0.99556460903703536</v>
      </c>
      <c r="F123" s="24">
        <f t="shared" si="3"/>
        <v>9.2044230660492943E-4</v>
      </c>
      <c r="G123" s="24"/>
      <c r="H123" s="127"/>
      <c r="I123" s="128"/>
      <c r="J123" s="128"/>
      <c r="K123" s="128"/>
      <c r="L123" s="128"/>
      <c r="M123" s="128"/>
      <c r="N123" s="122"/>
      <c r="O123" s="73"/>
      <c r="P123" s="89"/>
      <c r="Q123" s="76"/>
      <c r="R123" s="76"/>
      <c r="S123" s="76"/>
      <c r="T123" s="76"/>
      <c r="U123" s="76"/>
      <c r="V123" s="76"/>
    </row>
    <row r="124" spans="1:22" x14ac:dyDescent="0.2">
      <c r="A124" s="133">
        <v>20395.5078125</v>
      </c>
      <c r="B124" s="84">
        <v>1.8000325628184146</v>
      </c>
      <c r="C124" s="24">
        <f t="shared" si="8"/>
        <v>1.7840818808029872</v>
      </c>
      <c r="D124" s="24">
        <f t="shared" si="1"/>
        <v>0.99634075839438696</v>
      </c>
      <c r="E124" s="24">
        <f t="shared" si="9"/>
        <v>0.99630816352472273</v>
      </c>
      <c r="F124" s="24">
        <f t="shared" si="3"/>
        <v>7.4355448768737009E-4</v>
      </c>
      <c r="G124" s="24"/>
      <c r="H124" s="127"/>
      <c r="I124" s="128"/>
      <c r="J124" s="128"/>
      <c r="K124" s="128"/>
      <c r="L124" s="128"/>
      <c r="M124" s="128"/>
      <c r="N124" s="122"/>
      <c r="O124" s="73"/>
      <c r="P124" s="89"/>
      <c r="Q124" s="76"/>
      <c r="R124" s="76"/>
      <c r="S124" s="76"/>
      <c r="T124" s="76"/>
      <c r="U124" s="76"/>
      <c r="V124" s="76"/>
    </row>
    <row r="125" spans="1:22" x14ac:dyDescent="0.2">
      <c r="A125" s="133">
        <v>22296.91015625</v>
      </c>
      <c r="B125" s="84">
        <v>1.80172356901694</v>
      </c>
      <c r="C125" s="24">
        <f t="shared" si="8"/>
        <v>1.7857728870015126</v>
      </c>
      <c r="D125" s="24">
        <f t="shared" si="1"/>
        <v>0.99727675168311414</v>
      </c>
      <c r="E125" s="24">
        <f t="shared" si="9"/>
        <v>0.99725249421844819</v>
      </c>
      <c r="F125" s="24">
        <f t="shared" si="3"/>
        <v>9.4433069372545919E-4</v>
      </c>
      <c r="G125" s="24"/>
      <c r="H125" s="127"/>
      <c r="I125" s="128"/>
      <c r="J125" s="128"/>
      <c r="K125" s="128"/>
      <c r="L125" s="128"/>
      <c r="M125" s="128"/>
      <c r="N125" s="122"/>
      <c r="O125" s="73"/>
      <c r="P125" s="89"/>
      <c r="Q125" s="76"/>
      <c r="R125" s="76"/>
      <c r="S125" s="76"/>
      <c r="T125" s="76"/>
      <c r="U125" s="76"/>
      <c r="V125" s="76"/>
    </row>
    <row r="126" spans="1:22" x14ac:dyDescent="0.2">
      <c r="A126" s="133">
        <v>24397.017578125</v>
      </c>
      <c r="B126" s="84">
        <v>1.8028192652576036</v>
      </c>
      <c r="C126" s="24">
        <f t="shared" si="8"/>
        <v>1.7868685832421762</v>
      </c>
      <c r="D126" s="24">
        <f t="shared" si="1"/>
        <v>0.99788323339124685</v>
      </c>
      <c r="E126" s="24">
        <f t="shared" si="9"/>
        <v>0.99786437819141094</v>
      </c>
      <c r="F126" s="24">
        <f t="shared" si="3"/>
        <v>6.1188397296274566E-4</v>
      </c>
      <c r="G126" s="24"/>
      <c r="H126" s="127"/>
      <c r="I126" s="128"/>
      <c r="J126" s="128"/>
      <c r="K126" s="128"/>
      <c r="L126" s="128"/>
      <c r="M126" s="128"/>
      <c r="N126" s="122"/>
      <c r="O126" s="73"/>
      <c r="P126" s="89"/>
      <c r="Q126" s="76"/>
      <c r="R126" s="76"/>
      <c r="S126" s="76"/>
      <c r="T126" s="76"/>
      <c r="U126" s="76"/>
      <c r="V126" s="76"/>
    </row>
    <row r="127" spans="1:22" x14ac:dyDescent="0.2">
      <c r="A127" s="133">
        <v>26699.923828125</v>
      </c>
      <c r="B127" s="84">
        <v>1.803870453294403</v>
      </c>
      <c r="C127" s="24">
        <f t="shared" si="8"/>
        <v>1.7879197712789756</v>
      </c>
      <c r="D127" s="24">
        <f t="shared" si="1"/>
        <v>0.99846507924639072</v>
      </c>
      <c r="E127" s="24">
        <f t="shared" si="9"/>
        <v>0.99845140686634559</v>
      </c>
      <c r="F127" s="24">
        <f t="shared" si="3"/>
        <v>5.8702867493465316E-4</v>
      </c>
      <c r="G127" s="24"/>
      <c r="H127" s="127"/>
      <c r="I127" s="128"/>
      <c r="J127" s="128"/>
      <c r="K127" s="128"/>
      <c r="L127" s="128"/>
      <c r="M127" s="128"/>
      <c r="N127" s="122"/>
      <c r="O127" s="73"/>
      <c r="P127" s="89"/>
      <c r="Q127" s="76"/>
      <c r="R127" s="76"/>
      <c r="S127" s="76"/>
      <c r="T127" s="76"/>
      <c r="U127" s="76"/>
      <c r="V127" s="76"/>
    </row>
    <row r="128" spans="1:22" x14ac:dyDescent="0.2">
      <c r="A128" s="133">
        <v>29296.9375</v>
      </c>
      <c r="B128" s="84">
        <v>1.8041647981666393</v>
      </c>
      <c r="C128" s="24">
        <f t="shared" si="8"/>
        <v>1.788214116151212</v>
      </c>
      <c r="D128" s="24">
        <f t="shared" si="1"/>
        <v>0.99862800285082498</v>
      </c>
      <c r="E128" s="24">
        <f t="shared" si="9"/>
        <v>0.99861578172058074</v>
      </c>
      <c r="F128" s="24">
        <f t="shared" si="3"/>
        <v>1.6437485423514975E-4</v>
      </c>
      <c r="G128" s="24"/>
      <c r="H128" s="127"/>
      <c r="I128" s="128"/>
      <c r="J128" s="128"/>
      <c r="K128" s="128"/>
      <c r="L128" s="128"/>
      <c r="M128" s="128"/>
      <c r="N128" s="122"/>
      <c r="O128" s="73"/>
      <c r="P128" s="89"/>
      <c r="Q128" s="76"/>
      <c r="R128" s="76"/>
      <c r="S128" s="76"/>
      <c r="T128" s="76"/>
      <c r="U128" s="76"/>
      <c r="V128" s="76"/>
    </row>
    <row r="129" spans="1:23" x14ac:dyDescent="0.2">
      <c r="A129" s="133">
        <v>31994.310546875</v>
      </c>
      <c r="B129" s="84">
        <v>1.8058312586509055</v>
      </c>
      <c r="C129" s="24">
        <f t="shared" si="8"/>
        <v>1.7898805766354782</v>
      </c>
      <c r="D129" s="24">
        <f t="shared" si="1"/>
        <v>0.99955040977669096</v>
      </c>
      <c r="E129" s="24">
        <f t="shared" si="9"/>
        <v>0.99954640503026793</v>
      </c>
      <c r="F129" s="24">
        <f t="shared" si="3"/>
        <v>9.306233096871841E-4</v>
      </c>
      <c r="G129" s="24"/>
      <c r="H129" s="127"/>
      <c r="I129" s="128"/>
      <c r="J129" s="128"/>
      <c r="K129" s="128"/>
      <c r="L129" s="128"/>
      <c r="M129" s="128"/>
      <c r="N129" s="122"/>
      <c r="O129" s="73"/>
      <c r="P129" s="89"/>
      <c r="Q129" s="76"/>
      <c r="R129" s="76"/>
      <c r="S129" s="76"/>
      <c r="T129" s="76"/>
      <c r="U129" s="76"/>
      <c r="V129" s="76"/>
    </row>
    <row r="130" spans="1:23" x14ac:dyDescent="0.2">
      <c r="A130" s="133">
        <v>34990.04296875</v>
      </c>
      <c r="B130" s="84">
        <v>1.8063277746551103</v>
      </c>
      <c r="C130" s="24">
        <f t="shared" si="8"/>
        <v>1.7903770926396829</v>
      </c>
      <c r="D130" s="24">
        <f t="shared" si="1"/>
        <v>0.99982523765614317</v>
      </c>
      <c r="E130" s="24">
        <f t="shared" si="9"/>
        <v>0.99982368095220453</v>
      </c>
      <c r="F130" s="24">
        <f t="shared" si="3"/>
        <v>2.7727592193660389E-4</v>
      </c>
      <c r="G130" s="24"/>
      <c r="H130" s="127"/>
      <c r="I130" s="128"/>
      <c r="J130" s="128"/>
      <c r="K130" s="128"/>
      <c r="L130" s="128"/>
      <c r="M130" s="128"/>
      <c r="N130" s="122"/>
      <c r="O130" s="73"/>
      <c r="P130" s="89"/>
      <c r="Q130" s="76"/>
      <c r="R130" s="76"/>
      <c r="S130" s="76"/>
      <c r="T130" s="76"/>
      <c r="U130" s="76"/>
      <c r="V130" s="76"/>
    </row>
    <row r="131" spans="1:23" x14ac:dyDescent="0.2">
      <c r="A131" s="133">
        <v>38289.6875</v>
      </c>
      <c r="B131" s="84">
        <v>1.8065023445897168</v>
      </c>
      <c r="C131" s="24">
        <f t="shared" si="8"/>
        <v>1.7905516625742894</v>
      </c>
      <c r="D131" s="24">
        <f t="shared" si="1"/>
        <v>0.99992186431981112</v>
      </c>
      <c r="E131" s="24">
        <f t="shared" si="9"/>
        <v>0.99992116832250177</v>
      </c>
      <c r="F131" s="24">
        <f t="shared" si="3"/>
        <v>9.7487370297244524E-5</v>
      </c>
      <c r="G131" s="24"/>
      <c r="H131" s="127"/>
      <c r="I131" s="128"/>
      <c r="J131" s="128"/>
      <c r="K131" s="128"/>
      <c r="L131" s="128"/>
      <c r="M131" s="128"/>
      <c r="N131" s="122"/>
      <c r="O131" s="73"/>
      <c r="P131" s="89"/>
      <c r="Q131" s="76"/>
      <c r="R131" s="76"/>
      <c r="S131" s="76"/>
      <c r="T131" s="76"/>
      <c r="U131" s="76"/>
      <c r="V131" s="76"/>
    </row>
    <row r="132" spans="1:23" x14ac:dyDescent="0.2">
      <c r="A132" s="133">
        <v>41888.40234375</v>
      </c>
      <c r="B132" s="84">
        <v>1.8066435079090661</v>
      </c>
      <c r="C132" s="24">
        <f t="shared" si="8"/>
        <v>1.7906928258936388</v>
      </c>
      <c r="D132" s="24">
        <f t="shared" si="1"/>
        <v>1</v>
      </c>
      <c r="E132" s="24">
        <f t="shared" si="9"/>
        <v>1</v>
      </c>
      <c r="F132" s="24">
        <f t="shared" si="3"/>
        <v>7.8831677498225616E-5</v>
      </c>
      <c r="G132" s="24"/>
      <c r="H132" s="127"/>
      <c r="I132" s="128"/>
      <c r="J132" s="128"/>
      <c r="K132" s="128"/>
      <c r="L132" s="128"/>
      <c r="M132" s="128"/>
      <c r="N132" s="122"/>
      <c r="O132" s="73"/>
      <c r="P132" s="89"/>
      <c r="Q132" s="76"/>
      <c r="R132" s="76"/>
      <c r="S132" s="76"/>
      <c r="T132" s="76"/>
      <c r="U132" s="76"/>
      <c r="V132" s="76"/>
    </row>
    <row r="133" spans="1:23" x14ac:dyDescent="0.2">
      <c r="A133" s="133">
        <v>45782.06640625</v>
      </c>
      <c r="B133" s="84">
        <v>1.8066435079090661</v>
      </c>
      <c r="C133" s="24">
        <f t="shared" si="8"/>
        <v>1.7906928258936388</v>
      </c>
      <c r="D133" s="24">
        <f t="shared" si="1"/>
        <v>1</v>
      </c>
      <c r="E133" s="24">
        <f t="shared" si="9"/>
        <v>1</v>
      </c>
      <c r="F133" s="24">
        <f t="shared" si="3"/>
        <v>0</v>
      </c>
      <c r="G133" s="24"/>
      <c r="H133" s="127"/>
      <c r="I133" s="128"/>
      <c r="J133" s="128"/>
      <c r="K133" s="128"/>
      <c r="L133" s="128"/>
      <c r="M133" s="128"/>
      <c r="N133" s="122"/>
      <c r="O133" s="73"/>
      <c r="P133" s="89"/>
      <c r="Q133" s="76"/>
      <c r="R133" s="76"/>
      <c r="S133" s="76"/>
      <c r="T133" s="76"/>
      <c r="U133" s="76"/>
      <c r="V133" s="76"/>
    </row>
    <row r="134" spans="1:23" x14ac:dyDescent="0.2">
      <c r="A134" s="133">
        <v>50080.21875</v>
      </c>
      <c r="B134" s="84">
        <v>1.8066435079090661</v>
      </c>
      <c r="C134" s="24">
        <f t="shared" si="8"/>
        <v>1.7906928258936388</v>
      </c>
      <c r="D134" s="24">
        <f t="shared" si="1"/>
        <v>1</v>
      </c>
      <c r="E134" s="24">
        <f t="shared" si="9"/>
        <v>1</v>
      </c>
      <c r="F134" s="24">
        <f t="shared" si="3"/>
        <v>0</v>
      </c>
      <c r="G134" s="24"/>
      <c r="H134" s="127"/>
      <c r="I134" s="128"/>
      <c r="J134" s="128"/>
      <c r="K134" s="128"/>
      <c r="L134" s="128"/>
      <c r="M134" s="128"/>
      <c r="N134" s="122"/>
      <c r="O134" s="73"/>
      <c r="P134" s="89"/>
      <c r="Q134" s="76"/>
      <c r="R134" s="76"/>
      <c r="S134" s="76"/>
      <c r="T134" s="76"/>
      <c r="U134" s="76"/>
      <c r="V134" s="76"/>
    </row>
    <row r="135" spans="1:23" x14ac:dyDescent="0.2">
      <c r="A135" s="133">
        <v>54776.875</v>
      </c>
      <c r="B135" s="84">
        <v>1.8066435079090661</v>
      </c>
      <c r="C135" s="24">
        <f t="shared" si="8"/>
        <v>1.7906928258936388</v>
      </c>
      <c r="D135" s="24">
        <f t="shared" si="1"/>
        <v>1</v>
      </c>
      <c r="E135" s="24">
        <f t="shared" si="9"/>
        <v>1</v>
      </c>
      <c r="F135" s="24">
        <f t="shared" si="3"/>
        <v>0</v>
      </c>
      <c r="G135" s="24"/>
      <c r="H135" s="127"/>
      <c r="I135" s="128"/>
      <c r="J135" s="128"/>
      <c r="K135" s="128"/>
      <c r="L135" s="128"/>
      <c r="M135" s="128"/>
      <c r="N135" s="122"/>
      <c r="O135" s="73"/>
      <c r="P135" s="89"/>
      <c r="Q135" s="76"/>
      <c r="R135" s="76"/>
      <c r="S135" s="76"/>
      <c r="T135" s="76"/>
      <c r="U135" s="76"/>
      <c r="V135" s="76"/>
    </row>
    <row r="136" spans="1:23" x14ac:dyDescent="0.2">
      <c r="A136" s="133">
        <v>59462.98828125</v>
      </c>
      <c r="B136" s="84">
        <v>1.8066435079090661</v>
      </c>
      <c r="C136" s="24">
        <f t="shared" si="8"/>
        <v>1.7906928258936388</v>
      </c>
      <c r="D136" s="24">
        <f t="shared" si="1"/>
        <v>1</v>
      </c>
      <c r="E136" s="24">
        <f t="shared" si="9"/>
        <v>1</v>
      </c>
      <c r="F136" s="24">
        <f t="shared" si="3"/>
        <v>0</v>
      </c>
      <c r="G136" s="24"/>
      <c r="H136" s="83"/>
      <c r="I136" s="133"/>
      <c r="J136" s="133"/>
      <c r="K136" s="133"/>
      <c r="L136" s="133"/>
      <c r="M136" s="133"/>
      <c r="P136" s="89"/>
      <c r="Q136" s="76"/>
      <c r="R136" s="76"/>
      <c r="S136" s="76"/>
      <c r="T136" s="76"/>
      <c r="U136" s="76"/>
      <c r="V136" s="76"/>
    </row>
    <row r="137" spans="1:23" x14ac:dyDescent="0.2">
      <c r="A137" s="133"/>
      <c r="B137" s="84"/>
      <c r="C137" s="24"/>
      <c r="D137" s="24"/>
      <c r="E137" s="24"/>
      <c r="F137" s="24"/>
      <c r="G137" s="24"/>
      <c r="H137" s="83"/>
      <c r="I137" s="133"/>
      <c r="J137" s="133"/>
      <c r="K137" s="133"/>
      <c r="L137" s="133"/>
      <c r="M137" s="133"/>
      <c r="P137" s="48"/>
      <c r="Q137" s="76"/>
      <c r="R137" s="76"/>
      <c r="S137" s="76"/>
      <c r="T137" s="76"/>
      <c r="U137" s="76"/>
      <c r="V137" s="76"/>
    </row>
    <row r="138" spans="1:23" x14ac:dyDescent="0.2">
      <c r="A138" s="133"/>
      <c r="B138" s="84"/>
      <c r="C138" s="24"/>
      <c r="D138" s="24"/>
      <c r="E138" s="24"/>
      <c r="F138" s="24"/>
      <c r="G138" s="24"/>
      <c r="H138" s="83"/>
      <c r="I138" s="133"/>
      <c r="J138" s="133"/>
      <c r="K138" s="133"/>
      <c r="L138" s="133"/>
      <c r="M138" s="133"/>
      <c r="P138" s="48"/>
      <c r="Q138" s="76"/>
      <c r="R138" s="76"/>
      <c r="S138" s="76"/>
      <c r="T138" s="76"/>
      <c r="U138" s="76"/>
      <c r="V138" s="76"/>
    </row>
    <row r="139" spans="1:23" x14ac:dyDescent="0.2">
      <c r="A139" s="133"/>
      <c r="B139" s="84"/>
      <c r="C139" s="24"/>
      <c r="D139" s="24"/>
      <c r="E139" s="24"/>
      <c r="F139" s="24"/>
      <c r="G139" s="24"/>
      <c r="H139" s="83"/>
      <c r="I139" s="133"/>
      <c r="J139" s="133"/>
      <c r="K139" s="133"/>
      <c r="L139" s="133"/>
      <c r="M139" s="133"/>
      <c r="P139" s="48"/>
      <c r="Q139" s="76"/>
      <c r="R139" s="76"/>
      <c r="S139" s="76"/>
      <c r="T139" s="76"/>
      <c r="U139" s="76"/>
      <c r="V139" s="76"/>
    </row>
    <row r="140" spans="1:23" x14ac:dyDescent="0.2">
      <c r="A140" s="133"/>
      <c r="B140" s="84"/>
      <c r="C140" s="24"/>
      <c r="D140" s="24"/>
      <c r="E140" s="24"/>
      <c r="F140" s="24"/>
      <c r="G140" s="24"/>
      <c r="H140" s="83"/>
      <c r="I140" s="133"/>
      <c r="J140" s="133"/>
      <c r="K140" s="133"/>
      <c r="L140" s="133"/>
      <c r="M140" s="133"/>
      <c r="P140" s="48"/>
      <c r="Q140" s="76"/>
      <c r="R140" s="76"/>
      <c r="S140" s="76"/>
      <c r="T140" s="76"/>
      <c r="U140" s="76"/>
      <c r="V140" s="76"/>
    </row>
    <row r="141" spans="1:23" x14ac:dyDescent="0.2">
      <c r="A141" s="133"/>
      <c r="B141" s="8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83"/>
      <c r="P141" s="133"/>
      <c r="Q141" s="133"/>
      <c r="R141" s="133"/>
      <c r="S141" s="133"/>
      <c r="T141" s="133"/>
      <c r="W141" s="48"/>
    </row>
  </sheetData>
  <mergeCells count="5">
    <mergeCell ref="A5:M5"/>
    <mergeCell ref="I25:J25"/>
    <mergeCell ref="I26:J26"/>
    <mergeCell ref="K25:L25"/>
    <mergeCell ref="K26:L26"/>
  </mergeCells>
  <printOptions horizontalCentered="1"/>
  <pageMargins left="0.5" right="0.5" top="0.1" bottom="0.25" header="0" footer="0"/>
  <pageSetup scale="65" orientation="portrait"/>
  <rowBreaks count="2" manualBreakCount="2">
    <brk id="86" max="12" man="1"/>
    <brk id="162" max="1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0"/>
  <sheetViews>
    <sheetView showGridLines="0" workbookViewId="0">
      <selection activeCell="C6" sqref="C6"/>
    </sheetView>
  </sheetViews>
  <sheetFormatPr defaultColWidth="8.85546875" defaultRowHeight="12.75" x14ac:dyDescent="0.2"/>
  <cols>
    <col min="1" max="17" width="8.140625" style="151" customWidth="1"/>
    <col min="18" max="16384" width="8.85546875" style="151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4"/>
      <c r="O1" s="4"/>
    </row>
    <row r="2" spans="1:15" x14ac:dyDescent="0.2">
      <c r="C2" s="146" t="str">
        <f>Table!A7</f>
        <v>Shell Exploration &amp; Production Company</v>
      </c>
      <c r="K2" s="142" t="str">
        <f>Table!L7</f>
        <v>Sample Number:</v>
      </c>
      <c r="N2" s="75"/>
      <c r="O2" s="145" t="str">
        <f>Table!$P$7</f>
        <v>MC 11</v>
      </c>
    </row>
    <row r="3" spans="1:15" x14ac:dyDescent="0.2">
      <c r="C3" s="146" t="str">
        <f>Table!A8</f>
        <v>OCS-Y-2321 Burger J 001</v>
      </c>
      <c r="K3" s="142" t="str">
        <f>Table!L8</f>
        <v>Sample Depth, feet:</v>
      </c>
      <c r="N3" s="40"/>
      <c r="O3" s="60">
        <f>Table!$P$8</f>
        <v>0</v>
      </c>
    </row>
    <row r="4" spans="1:15" x14ac:dyDescent="0.2">
      <c r="C4" s="146" t="str">
        <f>Table!A9</f>
        <v>Offshore</v>
      </c>
      <c r="K4" s="142" t="str">
        <f>Table!L9</f>
        <v>Permeability to Air (calc), mD:</v>
      </c>
      <c r="M4" s="30"/>
      <c r="N4" s="10"/>
      <c r="O4" s="163">
        <f>Table!$P$9</f>
        <v>70.024154203287338</v>
      </c>
    </row>
    <row r="5" spans="1:15" x14ac:dyDescent="0.2">
      <c r="C5" s="146" t="str">
        <f>Table!A10</f>
        <v>HH-77445</v>
      </c>
      <c r="D5" s="21"/>
      <c r="E5" s="21"/>
      <c r="F5" s="129"/>
      <c r="G5" s="21"/>
      <c r="K5" s="142" t="str">
        <f>Table!L10</f>
        <v>Porosity, fraction:</v>
      </c>
      <c r="M5" s="30"/>
      <c r="N5" s="10"/>
      <c r="O5" s="114">
        <f>Table!$P$10</f>
        <v>0.25937635562369549</v>
      </c>
    </row>
    <row r="6" spans="1:15" ht="15" x14ac:dyDescent="0.2">
      <c r="A6" s="30"/>
      <c r="C6" s="174" t="s">
        <v>96</v>
      </c>
      <c r="D6" s="44"/>
      <c r="E6" s="44"/>
      <c r="F6" s="44"/>
      <c r="G6" s="30"/>
      <c r="K6" s="142" t="str">
        <f>Table!L11</f>
        <v>Grain Density, grams/cc:</v>
      </c>
      <c r="M6" s="44"/>
      <c r="N6" s="136"/>
      <c r="O6" s="129">
        <f>Table!$P$11</f>
        <v>2.6735002682030076</v>
      </c>
    </row>
    <row r="7" spans="1:15" x14ac:dyDescent="0.2">
      <c r="B7" s="146"/>
      <c r="D7" s="30"/>
      <c r="E7" s="30"/>
      <c r="I7" s="142"/>
      <c r="K7" s="44"/>
      <c r="L7" s="1"/>
      <c r="M7" s="16"/>
    </row>
    <row r="8" spans="1:15" x14ac:dyDescent="0.2">
      <c r="B8" s="146"/>
      <c r="D8" s="30"/>
      <c r="E8" s="30"/>
      <c r="I8" s="142"/>
      <c r="K8" s="44"/>
      <c r="L8" s="1"/>
      <c r="M8" s="16"/>
    </row>
    <row r="9" spans="1:15" ht="12" customHeight="1" x14ac:dyDescent="0.2">
      <c r="B9" s="30"/>
      <c r="C9" s="30"/>
      <c r="D9" s="30"/>
      <c r="E9" s="30"/>
      <c r="F9" s="30"/>
    </row>
    <row r="10" spans="1:15" x14ac:dyDescent="0.2">
      <c r="B10" s="30"/>
      <c r="C10" s="30"/>
      <c r="D10" s="30"/>
      <c r="E10" s="30"/>
      <c r="F10" s="30"/>
      <c r="K10" s="44"/>
      <c r="L10" s="1"/>
    </row>
    <row r="11" spans="1:15" x14ac:dyDescent="0.2">
      <c r="B11" s="30"/>
      <c r="C11" s="30"/>
      <c r="D11" s="44"/>
      <c r="E11" s="30"/>
      <c r="F11" s="30"/>
      <c r="K11" s="44"/>
      <c r="L11" s="1"/>
    </row>
    <row r="12" spans="1:15" x14ac:dyDescent="0.2">
      <c r="B12" s="30"/>
      <c r="C12" s="30"/>
      <c r="D12" s="44"/>
      <c r="E12" s="30"/>
      <c r="F12" s="30"/>
      <c r="G12" s="142"/>
      <c r="H12" s="30"/>
      <c r="I12" s="30"/>
      <c r="J12" s="114"/>
      <c r="K12" s="44"/>
      <c r="L12" s="1"/>
    </row>
    <row r="13" spans="1:15" x14ac:dyDescent="0.2">
      <c r="A13" s="146"/>
      <c r="B13" s="30"/>
      <c r="C13" s="30"/>
      <c r="D13" s="30"/>
      <c r="E13" s="30"/>
      <c r="F13" s="30"/>
      <c r="G13" s="30"/>
      <c r="H13" s="30"/>
      <c r="I13" s="10"/>
      <c r="J13" s="44"/>
      <c r="K13" s="44"/>
      <c r="L13" s="1"/>
    </row>
    <row r="14" spans="1:15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44"/>
      <c r="L14" s="1"/>
    </row>
    <row r="15" spans="1:15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30"/>
      <c r="L15" s="1"/>
    </row>
    <row r="16" spans="1:15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30"/>
      <c r="L16" s="1"/>
    </row>
    <row r="17" spans="1:12" x14ac:dyDescent="0.2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30"/>
      <c r="L17" s="89"/>
    </row>
    <row r="18" spans="1:12" x14ac:dyDescent="0.2">
      <c r="A18" s="48"/>
      <c r="B18" s="6"/>
      <c r="C18" s="6"/>
      <c r="D18" s="86"/>
      <c r="E18" s="107"/>
      <c r="F18" s="70"/>
      <c r="G18" s="70"/>
      <c r="H18" s="70"/>
      <c r="I18" s="70"/>
      <c r="J18" s="70"/>
      <c r="K18" s="30"/>
      <c r="L18" s="89"/>
    </row>
    <row r="19" spans="1:12" x14ac:dyDescent="0.2">
      <c r="A19" s="27"/>
      <c r="B19" s="6"/>
      <c r="C19" s="6"/>
      <c r="D19" s="86"/>
      <c r="E19" s="107"/>
      <c r="F19" s="70"/>
      <c r="G19" s="70"/>
      <c r="H19" s="70"/>
      <c r="I19" s="70"/>
      <c r="J19" s="70"/>
      <c r="K19" s="30"/>
      <c r="L19" s="89"/>
    </row>
    <row r="20" spans="1:12" x14ac:dyDescent="0.2">
      <c r="A20" s="27"/>
      <c r="B20" s="6"/>
      <c r="C20" s="6"/>
      <c r="D20" s="86"/>
      <c r="E20" s="107"/>
      <c r="F20" s="70"/>
      <c r="G20" s="70"/>
      <c r="H20" s="70"/>
      <c r="I20" s="70"/>
      <c r="J20" s="70"/>
      <c r="K20" s="30"/>
      <c r="L20" s="137"/>
    </row>
    <row r="21" spans="1:12" x14ac:dyDescent="0.2">
      <c r="A21" s="27"/>
      <c r="B21" s="6"/>
      <c r="C21" s="6"/>
      <c r="D21" s="86"/>
      <c r="E21" s="107"/>
      <c r="F21" s="70"/>
      <c r="G21" s="70"/>
      <c r="H21" s="70"/>
      <c r="I21" s="70"/>
      <c r="J21" s="70"/>
      <c r="K21" s="30"/>
      <c r="L21" s="94"/>
    </row>
    <row r="22" spans="1:12" x14ac:dyDescent="0.2">
      <c r="A22" s="27"/>
      <c r="B22" s="6"/>
      <c r="C22" s="6"/>
      <c r="D22" s="86"/>
      <c r="E22" s="107"/>
      <c r="F22" s="70"/>
      <c r="G22" s="70"/>
      <c r="H22" s="70"/>
      <c r="I22" s="70"/>
      <c r="J22" s="70"/>
      <c r="K22" s="30"/>
      <c r="L22" s="94"/>
    </row>
    <row r="23" spans="1:12" x14ac:dyDescent="0.2">
      <c r="A23" s="27"/>
      <c r="B23" s="6"/>
      <c r="C23" s="6"/>
      <c r="D23" s="86"/>
      <c r="E23" s="107"/>
      <c r="F23" s="70"/>
      <c r="G23" s="70"/>
      <c r="H23" s="70"/>
      <c r="I23" s="70"/>
      <c r="J23" s="70"/>
      <c r="K23" s="30"/>
      <c r="L23" s="94"/>
    </row>
    <row r="24" spans="1:12" x14ac:dyDescent="0.2">
      <c r="A24" s="134"/>
      <c r="B24" s="6"/>
      <c r="C24" s="6"/>
      <c r="D24" s="86"/>
      <c r="E24" s="107"/>
      <c r="F24" s="70"/>
      <c r="G24" s="70"/>
      <c r="H24" s="70"/>
      <c r="I24" s="70"/>
      <c r="J24" s="70"/>
      <c r="K24" s="30"/>
      <c r="L24" s="94"/>
    </row>
    <row r="25" spans="1:12" x14ac:dyDescent="0.2">
      <c r="A25" s="134"/>
      <c r="B25" s="6"/>
      <c r="C25" s="6"/>
      <c r="D25" s="86"/>
      <c r="E25" s="107"/>
      <c r="F25" s="70"/>
      <c r="G25" s="70"/>
      <c r="H25" s="70"/>
      <c r="I25" s="70"/>
      <c r="J25" s="70"/>
      <c r="K25" s="30"/>
      <c r="L25" s="94"/>
    </row>
    <row r="26" spans="1:12" x14ac:dyDescent="0.2">
      <c r="A26" s="134"/>
      <c r="B26" s="6"/>
      <c r="C26" s="6"/>
      <c r="D26" s="86"/>
      <c r="E26" s="107"/>
      <c r="F26" s="70"/>
      <c r="G26" s="70"/>
      <c r="H26" s="70"/>
      <c r="I26" s="70"/>
      <c r="J26" s="70"/>
      <c r="K26" s="30"/>
      <c r="L26" s="94"/>
    </row>
    <row r="27" spans="1:12" ht="15.75" customHeight="1" x14ac:dyDescent="0.2">
      <c r="A27" s="134"/>
      <c r="B27" s="6"/>
      <c r="C27" s="6"/>
      <c r="D27" s="86"/>
      <c r="E27" s="107"/>
      <c r="F27" s="70"/>
      <c r="G27" s="70"/>
      <c r="H27" s="70"/>
      <c r="I27" s="70"/>
      <c r="J27" s="70"/>
      <c r="K27" s="30"/>
      <c r="L27" s="94"/>
    </row>
    <row r="28" spans="1:12" x14ac:dyDescent="0.2">
      <c r="A28" s="134"/>
      <c r="B28" s="6"/>
      <c r="C28" s="6"/>
      <c r="D28" s="86"/>
      <c r="E28" s="107"/>
      <c r="F28" s="70"/>
      <c r="G28" s="70"/>
      <c r="H28" s="70"/>
      <c r="I28" s="70"/>
      <c r="J28" s="70"/>
      <c r="K28" s="30"/>
      <c r="L28" s="94"/>
    </row>
    <row r="29" spans="1:12" x14ac:dyDescent="0.2">
      <c r="A29" s="161"/>
      <c r="B29" s="6"/>
      <c r="C29" s="6"/>
      <c r="D29" s="86"/>
      <c r="E29" s="107"/>
      <c r="F29" s="70"/>
      <c r="G29" s="70"/>
      <c r="H29" s="70"/>
      <c r="I29" s="70"/>
      <c r="J29" s="70"/>
      <c r="K29" s="30"/>
      <c r="L29" s="94"/>
    </row>
    <row r="30" spans="1:12" x14ac:dyDescent="0.2">
      <c r="A30" s="161"/>
      <c r="B30" s="6"/>
      <c r="C30" s="6"/>
      <c r="D30" s="86"/>
      <c r="E30" s="107"/>
      <c r="F30" s="70"/>
      <c r="G30" s="70"/>
      <c r="H30" s="70"/>
      <c r="I30" s="70"/>
      <c r="J30" s="70"/>
      <c r="K30" s="30"/>
      <c r="L30" s="94"/>
    </row>
    <row r="31" spans="1:12" x14ac:dyDescent="0.2">
      <c r="A31" s="161"/>
      <c r="B31" s="6"/>
      <c r="C31" s="6"/>
      <c r="D31" s="86"/>
      <c r="E31" s="107"/>
      <c r="F31" s="70"/>
      <c r="G31" s="70"/>
      <c r="H31" s="70"/>
      <c r="I31" s="70"/>
      <c r="J31" s="70"/>
      <c r="K31" s="30"/>
      <c r="L31" s="94"/>
    </row>
    <row r="32" spans="1:12" x14ac:dyDescent="0.2">
      <c r="A32" s="161"/>
      <c r="B32" s="6"/>
      <c r="C32" s="6"/>
      <c r="D32" s="86"/>
      <c r="E32" s="107"/>
      <c r="F32" s="70"/>
      <c r="G32" s="70"/>
      <c r="H32" s="70"/>
      <c r="I32" s="70"/>
      <c r="J32" s="70"/>
      <c r="K32" s="30"/>
      <c r="L32" s="94"/>
    </row>
    <row r="33" spans="1:12" x14ac:dyDescent="0.2">
      <c r="A33" s="161"/>
      <c r="B33" s="6"/>
      <c r="C33" s="6"/>
      <c r="D33" s="86"/>
      <c r="E33" s="107"/>
      <c r="F33" s="70"/>
      <c r="G33" s="70"/>
      <c r="H33" s="70"/>
      <c r="I33" s="70"/>
      <c r="J33" s="70"/>
      <c r="K33" s="30"/>
      <c r="L33" s="94"/>
    </row>
    <row r="34" spans="1:12" x14ac:dyDescent="0.2">
      <c r="A34" s="32"/>
      <c r="B34" s="6"/>
      <c r="C34" s="6"/>
      <c r="D34" s="86"/>
      <c r="E34" s="107"/>
      <c r="F34" s="70"/>
      <c r="G34" s="70"/>
      <c r="H34" s="70"/>
      <c r="I34" s="70"/>
      <c r="J34" s="70"/>
      <c r="K34" s="30"/>
      <c r="L34" s="94"/>
    </row>
    <row r="35" spans="1:12" x14ac:dyDescent="0.2">
      <c r="A35" s="32"/>
      <c r="B35" s="6"/>
      <c r="C35" s="6"/>
      <c r="D35" s="86"/>
      <c r="E35" s="107"/>
      <c r="F35" s="70"/>
      <c r="G35" s="70"/>
      <c r="H35" s="70"/>
      <c r="I35" s="70"/>
      <c r="J35" s="70"/>
      <c r="K35" s="30"/>
      <c r="L35" s="94"/>
    </row>
    <row r="36" spans="1:12" x14ac:dyDescent="0.2">
      <c r="A36" s="32"/>
      <c r="B36" s="6"/>
      <c r="C36" s="6"/>
      <c r="D36" s="86"/>
      <c r="E36" s="107"/>
      <c r="F36" s="70"/>
      <c r="G36" s="70"/>
      <c r="H36" s="70"/>
      <c r="I36" s="70"/>
      <c r="J36" s="70"/>
      <c r="K36" s="30"/>
      <c r="L36" s="94"/>
    </row>
    <row r="37" spans="1:12" x14ac:dyDescent="0.2">
      <c r="A37" s="32"/>
      <c r="B37" s="6"/>
      <c r="C37" s="6"/>
      <c r="D37" s="86"/>
      <c r="E37" s="107"/>
      <c r="F37" s="70"/>
      <c r="G37" s="70"/>
      <c r="H37" s="70"/>
      <c r="I37" s="70"/>
      <c r="J37" s="70"/>
      <c r="K37" s="30"/>
      <c r="L37" s="94"/>
    </row>
    <row r="38" spans="1:12" x14ac:dyDescent="0.2">
      <c r="A38" s="32"/>
      <c r="B38" s="6"/>
      <c r="C38" s="6"/>
      <c r="D38" s="86"/>
      <c r="E38" s="107"/>
      <c r="F38" s="70"/>
      <c r="G38" s="70"/>
      <c r="H38" s="70"/>
      <c r="I38" s="70"/>
      <c r="J38" s="70"/>
      <c r="K38" s="30"/>
      <c r="L38" s="94"/>
    </row>
    <row r="39" spans="1:12" x14ac:dyDescent="0.2">
      <c r="A39" s="32"/>
      <c r="B39" s="6"/>
      <c r="C39" s="6"/>
      <c r="D39" s="86"/>
      <c r="E39" s="107"/>
      <c r="F39" s="70"/>
      <c r="G39" s="70"/>
      <c r="H39" s="70"/>
      <c r="I39" s="70"/>
      <c r="J39" s="70"/>
      <c r="K39" s="30"/>
      <c r="L39" s="94"/>
    </row>
    <row r="40" spans="1:12" x14ac:dyDescent="0.2">
      <c r="A40" s="32"/>
      <c r="B40" s="6"/>
      <c r="C40" s="6"/>
      <c r="D40" s="86"/>
      <c r="E40" s="107"/>
      <c r="F40" s="70"/>
      <c r="G40" s="70"/>
      <c r="H40" s="70"/>
      <c r="I40" s="70"/>
      <c r="J40" s="70"/>
      <c r="K40" s="30"/>
      <c r="L40" s="94"/>
    </row>
    <row r="41" spans="1:12" x14ac:dyDescent="0.2">
      <c r="A41" s="32"/>
      <c r="B41" s="6"/>
      <c r="C41" s="6"/>
      <c r="D41" s="86"/>
      <c r="E41" s="107"/>
      <c r="F41" s="70"/>
      <c r="G41" s="70"/>
      <c r="H41" s="70"/>
      <c r="I41" s="70"/>
      <c r="J41" s="70"/>
      <c r="K41" s="30"/>
      <c r="L41" s="94"/>
    </row>
    <row r="42" spans="1:12" x14ac:dyDescent="0.2">
      <c r="A42" s="32"/>
      <c r="B42" s="6"/>
      <c r="C42" s="6"/>
      <c r="D42" s="86"/>
      <c r="E42" s="107"/>
      <c r="F42" s="70"/>
      <c r="G42" s="70"/>
      <c r="H42" s="70"/>
      <c r="I42" s="70"/>
      <c r="J42" s="70"/>
      <c r="K42" s="30"/>
      <c r="L42" s="94"/>
    </row>
    <row r="43" spans="1:12" x14ac:dyDescent="0.2">
      <c r="A43" s="32"/>
      <c r="B43" s="6"/>
      <c r="C43" s="6"/>
      <c r="D43" s="86"/>
      <c r="E43" s="107"/>
      <c r="F43" s="70"/>
      <c r="G43" s="70"/>
      <c r="H43" s="70"/>
      <c r="I43" s="70"/>
      <c r="J43" s="70"/>
      <c r="K43" s="30"/>
      <c r="L43" s="94"/>
    </row>
    <row r="44" spans="1:12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2" ht="17.25" customHeight="1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2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2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</row>
    <row r="48" spans="1:12" ht="15" x14ac:dyDescent="0.2">
      <c r="A48" s="76"/>
      <c r="B48" s="76"/>
      <c r="C48" s="76"/>
      <c r="D48" s="76"/>
      <c r="E48" s="76"/>
      <c r="F48" s="76"/>
      <c r="G48" s="76"/>
      <c r="H48" s="29"/>
      <c r="I48" s="20"/>
      <c r="J48" s="90"/>
      <c r="K48" s="76"/>
    </row>
    <row r="49" spans="1:12" x14ac:dyDescent="0.2">
      <c r="A49" s="76"/>
      <c r="B49" s="76"/>
      <c r="C49" s="76"/>
      <c r="D49" s="76"/>
      <c r="E49" s="76"/>
      <c r="F49" s="76"/>
      <c r="G49" s="76"/>
      <c r="H49" s="20"/>
      <c r="I49" s="20"/>
      <c r="J49" s="90"/>
      <c r="K49" s="76"/>
    </row>
    <row r="50" spans="1:12" x14ac:dyDescent="0.2">
      <c r="G50" s="76"/>
      <c r="H50" s="20"/>
      <c r="I50" s="20"/>
      <c r="J50" s="90"/>
      <c r="K50" s="76"/>
    </row>
    <row r="51" spans="1:12" x14ac:dyDescent="0.2">
      <c r="G51" s="76"/>
      <c r="H51" s="20"/>
      <c r="I51" s="20"/>
      <c r="J51" s="90"/>
      <c r="K51" s="76"/>
    </row>
    <row r="52" spans="1:12" x14ac:dyDescent="0.2">
      <c r="G52" s="76"/>
      <c r="H52" s="20"/>
      <c r="I52" s="20"/>
      <c r="J52" s="90"/>
      <c r="K52" s="76"/>
    </row>
    <row r="53" spans="1:12" x14ac:dyDescent="0.2">
      <c r="G53" s="76"/>
      <c r="H53" s="76"/>
      <c r="I53" s="76"/>
      <c r="J53" s="76"/>
      <c r="K53" s="76"/>
    </row>
    <row r="54" spans="1:12" x14ac:dyDescent="0.2">
      <c r="G54" s="76"/>
      <c r="H54" s="76"/>
      <c r="I54" s="76"/>
      <c r="J54" s="76"/>
      <c r="K54" s="76"/>
    </row>
    <row r="56" spans="1:12" x14ac:dyDescent="0.2">
      <c r="J56"/>
      <c r="K56"/>
      <c r="L56"/>
    </row>
    <row r="57" spans="1:12" x14ac:dyDescent="0.2">
      <c r="J57"/>
      <c r="K57"/>
      <c r="L57"/>
    </row>
    <row r="58" spans="1:12" x14ac:dyDescent="0.2">
      <c r="J58"/>
      <c r="K58"/>
      <c r="L58"/>
    </row>
    <row r="59" spans="1:12" x14ac:dyDescent="0.2">
      <c r="J59"/>
      <c r="K59"/>
      <c r="L59"/>
    </row>
    <row r="60" spans="1:12" x14ac:dyDescent="0.2">
      <c r="J60"/>
      <c r="K60"/>
      <c r="L60"/>
    </row>
  </sheetData>
  <mergeCells count="1">
    <mergeCell ref="C1:M1"/>
  </mergeCells>
  <printOptions horizontalCentered="1"/>
  <pageMargins left="0.5" right="0.5" top="0.5" bottom="0.5" header="0" footer="0"/>
  <pageSetup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9"/>
  <sheetViews>
    <sheetView showGridLines="0" workbookViewId="0">
      <selection activeCell="C6" sqref="C6"/>
    </sheetView>
  </sheetViews>
  <sheetFormatPr defaultColWidth="8.85546875" defaultRowHeight="12.75" x14ac:dyDescent="0.2"/>
  <cols>
    <col min="1" max="7" width="8.28515625" style="151" customWidth="1"/>
    <col min="8" max="8" width="4.85546875" style="151" customWidth="1"/>
    <col min="9" max="14" width="8.28515625" style="151" customWidth="1"/>
    <col min="15" max="15" width="13.140625" style="151" customWidth="1"/>
    <col min="16" max="19" width="8.28515625" style="151" customWidth="1"/>
    <col min="20" max="16384" width="8.85546875" style="151"/>
  </cols>
  <sheetData>
    <row r="1" spans="1:15" ht="15.75" x14ac:dyDescent="0.25">
      <c r="C1" s="165" t="s">
        <v>11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5" x14ac:dyDescent="0.2">
      <c r="C2" s="146" t="str">
        <f>Table!A7</f>
        <v>Shell Exploration &amp; Production Company</v>
      </c>
      <c r="K2" s="142" t="str">
        <f>Table!L7</f>
        <v>Sample Number:</v>
      </c>
      <c r="O2" s="145" t="str">
        <f>Table!$P$7</f>
        <v>MC 11</v>
      </c>
    </row>
    <row r="3" spans="1:15" x14ac:dyDescent="0.2">
      <c r="C3" s="146" t="str">
        <f>Table!A8</f>
        <v>OCS-Y-2321 Burger J 001</v>
      </c>
      <c r="K3" s="142" t="str">
        <f>Table!L8</f>
        <v>Sample Depth, feet:</v>
      </c>
      <c r="O3" s="60">
        <f>Table!$P$8</f>
        <v>0</v>
      </c>
    </row>
    <row r="4" spans="1:15" x14ac:dyDescent="0.2">
      <c r="C4" s="146" t="str">
        <f>Table!A9</f>
        <v>Offshore</v>
      </c>
      <c r="K4" s="142" t="str">
        <f>Table!L9</f>
        <v>Permeability to Air (calc), mD:</v>
      </c>
      <c r="M4" s="30"/>
      <c r="N4" s="30"/>
      <c r="O4" s="163">
        <f>Table!$P$9</f>
        <v>70.024154203287338</v>
      </c>
    </row>
    <row r="5" spans="1:15" x14ac:dyDescent="0.2">
      <c r="C5" s="146" t="str">
        <f>Table!A10</f>
        <v>HH-77445</v>
      </c>
      <c r="D5" s="8"/>
      <c r="E5" s="8"/>
      <c r="F5" s="129"/>
      <c r="G5" s="8"/>
      <c r="K5" s="142" t="str">
        <f>Table!L10</f>
        <v>Porosity, fraction:</v>
      </c>
      <c r="M5" s="30"/>
      <c r="N5" s="30"/>
      <c r="O5" s="114">
        <f>Table!$P$10</f>
        <v>0.25937635562369549</v>
      </c>
    </row>
    <row r="6" spans="1:15" ht="15" x14ac:dyDescent="0.2">
      <c r="A6" s="30"/>
      <c r="C6" s="174" t="s">
        <v>96</v>
      </c>
      <c r="D6" s="44"/>
      <c r="E6" s="44"/>
      <c r="F6" s="44"/>
      <c r="G6" s="30"/>
      <c r="K6" s="142" t="str">
        <f>Table!L11</f>
        <v>Grain Density, grams/cc:</v>
      </c>
      <c r="M6" s="44"/>
      <c r="N6" s="44"/>
      <c r="O6" s="129">
        <f>Table!$P$11</f>
        <v>2.6735002682030076</v>
      </c>
    </row>
    <row r="7" spans="1:15" x14ac:dyDescent="0.2">
      <c r="B7" s="146"/>
      <c r="D7" s="30"/>
      <c r="E7" s="30"/>
      <c r="I7" s="142"/>
      <c r="K7" s="44"/>
      <c r="L7" s="1"/>
      <c r="M7" s="16"/>
    </row>
    <row r="8" spans="1:15" x14ac:dyDescent="0.2">
      <c r="B8" s="30"/>
      <c r="C8" s="30"/>
      <c r="D8" s="30"/>
      <c r="E8" s="30"/>
      <c r="F8" s="30"/>
    </row>
    <row r="9" spans="1:15" x14ac:dyDescent="0.2">
      <c r="B9" s="30"/>
      <c r="C9" s="30"/>
      <c r="D9" s="30"/>
      <c r="E9" s="30"/>
      <c r="F9" s="30"/>
      <c r="K9" s="44"/>
      <c r="L9" s="1"/>
    </row>
    <row r="10" spans="1:15" x14ac:dyDescent="0.2">
      <c r="B10" s="30"/>
      <c r="C10" s="30"/>
      <c r="D10" s="44"/>
      <c r="E10" s="30"/>
      <c r="F10" s="30"/>
      <c r="K10" s="44"/>
      <c r="L10" s="1"/>
    </row>
    <row r="11" spans="1:15" x14ac:dyDescent="0.2">
      <c r="B11" s="30"/>
      <c r="C11" s="30"/>
      <c r="D11" s="44"/>
      <c r="E11" s="30"/>
      <c r="F11" s="30"/>
      <c r="G11" s="142"/>
      <c r="H11" s="30"/>
      <c r="I11" s="30"/>
      <c r="J11" s="114"/>
      <c r="K11" s="44"/>
      <c r="L11" s="1"/>
    </row>
    <row r="12" spans="1:15" x14ac:dyDescent="0.2">
      <c r="A12" s="146"/>
      <c r="B12" s="30"/>
      <c r="C12" s="30"/>
      <c r="D12" s="30"/>
      <c r="E12" s="30"/>
      <c r="F12" s="30"/>
      <c r="G12" s="30"/>
      <c r="H12" s="30"/>
      <c r="I12" s="10"/>
      <c r="J12" s="44"/>
      <c r="K12" s="44"/>
      <c r="L12" s="1"/>
    </row>
    <row r="13" spans="1:15" x14ac:dyDescent="0.2">
      <c r="A13" s="55"/>
      <c r="B13" s="55"/>
      <c r="C13" s="55"/>
      <c r="D13" s="55"/>
      <c r="E13" s="55"/>
      <c r="F13" s="46"/>
      <c r="G13" s="46"/>
      <c r="H13" s="46"/>
      <c r="I13" s="46"/>
      <c r="J13" s="46"/>
      <c r="K13" s="44"/>
      <c r="L13" s="1"/>
    </row>
    <row r="14" spans="1:15" x14ac:dyDescent="0.2">
      <c r="A14" s="55"/>
      <c r="B14" s="55"/>
      <c r="C14" s="55"/>
      <c r="D14" s="55"/>
      <c r="E14" s="55"/>
      <c r="F14" s="55"/>
      <c r="G14" s="55"/>
      <c r="H14" s="55"/>
      <c r="I14" s="46"/>
      <c r="J14" s="46"/>
      <c r="K14" s="30"/>
      <c r="L14" s="1"/>
    </row>
    <row r="15" spans="1:15" x14ac:dyDescent="0.2">
      <c r="A15" s="55"/>
      <c r="B15" s="55"/>
      <c r="C15" s="55"/>
      <c r="D15" s="55"/>
      <c r="E15" s="55"/>
      <c r="F15" s="55"/>
      <c r="G15" s="55"/>
      <c r="H15" s="55"/>
      <c r="I15" s="46"/>
      <c r="J15" s="46"/>
      <c r="K15" s="30"/>
      <c r="L15" s="1"/>
    </row>
    <row r="16" spans="1:15" x14ac:dyDescent="0.2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30"/>
      <c r="L16" s="89"/>
    </row>
    <row r="17" spans="1:12" x14ac:dyDescent="0.2">
      <c r="A17" s="48"/>
      <c r="B17" s="6"/>
      <c r="C17" s="6"/>
      <c r="D17" s="86"/>
      <c r="E17" s="107"/>
      <c r="F17" s="70"/>
      <c r="G17" s="70"/>
      <c r="H17" s="70"/>
      <c r="I17" s="70"/>
      <c r="J17" s="70"/>
      <c r="K17" s="30"/>
      <c r="L17" s="89"/>
    </row>
    <row r="18" spans="1:12" x14ac:dyDescent="0.2">
      <c r="A18" s="27"/>
      <c r="B18" s="6"/>
      <c r="C18" s="6"/>
      <c r="D18" s="86"/>
      <c r="E18" s="107"/>
      <c r="F18" s="70"/>
      <c r="G18" s="70"/>
      <c r="H18" s="70"/>
      <c r="I18" s="70"/>
      <c r="J18" s="70"/>
      <c r="K18" s="30"/>
      <c r="L18" s="89"/>
    </row>
    <row r="19" spans="1:12" x14ac:dyDescent="0.2">
      <c r="A19" s="27"/>
      <c r="B19" s="6"/>
      <c r="C19" s="6"/>
      <c r="D19" s="86"/>
      <c r="E19" s="107"/>
      <c r="F19" s="70"/>
      <c r="G19" s="70"/>
      <c r="H19" s="70"/>
      <c r="I19" s="70"/>
      <c r="J19" s="70"/>
      <c r="K19" s="30"/>
      <c r="L19" s="137"/>
    </row>
    <row r="20" spans="1:12" x14ac:dyDescent="0.2">
      <c r="A20" s="27"/>
      <c r="B20" s="6"/>
      <c r="C20" s="6"/>
      <c r="D20" s="86"/>
      <c r="E20" s="107"/>
      <c r="F20" s="70"/>
      <c r="G20" s="70"/>
      <c r="H20" s="70"/>
      <c r="I20" s="70"/>
      <c r="J20" s="70"/>
      <c r="K20" s="30"/>
      <c r="L20" s="94"/>
    </row>
    <row r="21" spans="1:12" x14ac:dyDescent="0.2">
      <c r="A21" s="27"/>
      <c r="B21" s="6"/>
      <c r="C21" s="6"/>
      <c r="D21" s="86"/>
      <c r="E21" s="107"/>
      <c r="F21" s="70"/>
      <c r="G21" s="70"/>
      <c r="H21" s="70"/>
      <c r="I21" s="70"/>
      <c r="J21" s="70"/>
      <c r="K21" s="30"/>
      <c r="L21" s="94"/>
    </row>
    <row r="22" spans="1:12" x14ac:dyDescent="0.2">
      <c r="A22" s="27"/>
      <c r="B22" s="6"/>
      <c r="C22" s="6"/>
      <c r="D22" s="86"/>
      <c r="E22" s="107"/>
      <c r="F22" s="70"/>
      <c r="G22" s="70"/>
      <c r="H22" s="70"/>
      <c r="I22" s="70"/>
      <c r="J22" s="70"/>
      <c r="K22" s="30"/>
      <c r="L22" s="94"/>
    </row>
    <row r="23" spans="1:12" x14ac:dyDescent="0.2">
      <c r="A23" s="134"/>
      <c r="B23" s="6"/>
      <c r="C23" s="6"/>
      <c r="D23" s="86"/>
      <c r="E23" s="107"/>
      <c r="F23" s="70"/>
      <c r="G23" s="70"/>
      <c r="H23" s="70"/>
      <c r="I23" s="70"/>
      <c r="J23" s="70"/>
      <c r="K23" s="30"/>
      <c r="L23" s="94"/>
    </row>
    <row r="24" spans="1:12" x14ac:dyDescent="0.2">
      <c r="A24" s="134"/>
      <c r="B24" s="6"/>
      <c r="C24" s="6"/>
      <c r="D24" s="86"/>
      <c r="E24" s="107"/>
      <c r="F24" s="70"/>
      <c r="G24" s="70"/>
      <c r="H24" s="70"/>
      <c r="I24" s="70"/>
      <c r="J24" s="70"/>
      <c r="K24" s="30"/>
      <c r="L24" s="94"/>
    </row>
    <row r="25" spans="1:12" x14ac:dyDescent="0.2">
      <c r="A25" s="134"/>
      <c r="B25" s="6"/>
      <c r="C25" s="6"/>
      <c r="D25" s="86"/>
      <c r="E25" s="107"/>
      <c r="F25" s="70"/>
      <c r="G25" s="70"/>
      <c r="H25" s="70"/>
      <c r="I25" s="70"/>
      <c r="J25" s="70"/>
      <c r="K25" s="30"/>
      <c r="L25" s="94"/>
    </row>
    <row r="26" spans="1:12" x14ac:dyDescent="0.2">
      <c r="A26" s="134"/>
      <c r="B26" s="6"/>
      <c r="C26" s="6"/>
      <c r="D26" s="86"/>
      <c r="E26" s="107"/>
      <c r="F26" s="70"/>
      <c r="G26" s="70"/>
      <c r="H26" s="70"/>
      <c r="I26" s="70"/>
      <c r="J26" s="70"/>
      <c r="K26" s="30"/>
      <c r="L26" s="94"/>
    </row>
    <row r="27" spans="1:12" x14ac:dyDescent="0.2">
      <c r="A27" s="134"/>
      <c r="B27" s="6"/>
      <c r="C27" s="6"/>
      <c r="D27" s="86"/>
      <c r="E27" s="107"/>
      <c r="F27" s="70"/>
      <c r="G27" s="70"/>
      <c r="H27" s="70"/>
      <c r="I27" s="70"/>
      <c r="J27" s="70"/>
      <c r="K27" s="30"/>
      <c r="L27" s="94"/>
    </row>
    <row r="28" spans="1:12" x14ac:dyDescent="0.2">
      <c r="A28" s="161"/>
      <c r="B28" s="6"/>
      <c r="C28" s="6"/>
      <c r="D28" s="86"/>
      <c r="E28" s="107"/>
      <c r="F28" s="70"/>
      <c r="G28" s="70"/>
      <c r="H28" s="70"/>
      <c r="I28" s="70"/>
      <c r="J28" s="70"/>
      <c r="K28" s="30"/>
      <c r="L28" s="94"/>
    </row>
    <row r="29" spans="1:12" x14ac:dyDescent="0.2">
      <c r="A29" s="161"/>
      <c r="B29" s="6"/>
      <c r="C29" s="6"/>
      <c r="D29" s="86"/>
      <c r="E29" s="107"/>
      <c r="F29" s="70"/>
      <c r="G29" s="70"/>
      <c r="H29" s="70"/>
      <c r="I29" s="70"/>
      <c r="J29" s="70"/>
      <c r="K29" s="30"/>
      <c r="L29" s="94"/>
    </row>
    <row r="30" spans="1:12" x14ac:dyDescent="0.2">
      <c r="A30" s="161"/>
      <c r="B30" s="6"/>
      <c r="C30" s="6"/>
      <c r="D30" s="86"/>
      <c r="E30" s="107"/>
      <c r="F30" s="70"/>
      <c r="G30" s="70"/>
      <c r="H30" s="70"/>
      <c r="I30" s="70"/>
      <c r="J30" s="70"/>
      <c r="K30" s="30"/>
      <c r="L30" s="94"/>
    </row>
    <row r="31" spans="1:12" x14ac:dyDescent="0.2">
      <c r="A31" s="161"/>
      <c r="B31" s="6"/>
      <c r="C31" s="6"/>
      <c r="D31" s="86"/>
      <c r="E31" s="107"/>
      <c r="F31" s="70"/>
      <c r="G31" s="70"/>
      <c r="H31" s="70"/>
      <c r="I31" s="70"/>
      <c r="J31" s="70"/>
      <c r="K31" s="30"/>
      <c r="L31" s="94"/>
    </row>
    <row r="32" spans="1:12" x14ac:dyDescent="0.2">
      <c r="A32" s="161"/>
      <c r="B32" s="6"/>
      <c r="C32" s="6"/>
      <c r="D32" s="86"/>
      <c r="E32" s="107"/>
      <c r="F32" s="70"/>
      <c r="G32" s="70"/>
      <c r="H32" s="70"/>
      <c r="I32" s="70"/>
      <c r="J32" s="70"/>
      <c r="K32" s="30"/>
      <c r="L32" s="94"/>
    </row>
    <row r="33" spans="1:13" x14ac:dyDescent="0.2">
      <c r="A33" s="32"/>
      <c r="B33" s="6"/>
      <c r="C33" s="6"/>
      <c r="D33" s="86"/>
      <c r="E33" s="107"/>
      <c r="F33" s="70"/>
      <c r="G33" s="70"/>
      <c r="H33" s="70"/>
      <c r="I33" s="70"/>
      <c r="J33" s="70"/>
      <c r="K33" s="30"/>
      <c r="L33" s="94"/>
    </row>
    <row r="34" spans="1:13" x14ac:dyDescent="0.2">
      <c r="A34" s="32"/>
      <c r="B34" s="6"/>
      <c r="C34" s="6"/>
      <c r="D34" s="86"/>
      <c r="E34" s="107"/>
      <c r="F34" s="70"/>
      <c r="G34" s="70"/>
      <c r="H34" s="70"/>
      <c r="I34" s="70"/>
      <c r="J34" s="70"/>
      <c r="K34" s="30"/>
      <c r="L34" s="94"/>
    </row>
    <row r="35" spans="1:13" x14ac:dyDescent="0.2">
      <c r="A35" s="32"/>
      <c r="B35" s="6"/>
      <c r="C35" s="6"/>
      <c r="D35" s="86"/>
      <c r="E35" s="107"/>
      <c r="F35" s="70"/>
      <c r="G35" s="70"/>
      <c r="H35" s="70"/>
      <c r="I35" s="70"/>
      <c r="J35" s="70"/>
      <c r="K35" s="30"/>
      <c r="L35" s="94"/>
    </row>
    <row r="36" spans="1:13" x14ac:dyDescent="0.2">
      <c r="A36" s="32"/>
      <c r="B36" s="6"/>
      <c r="C36" s="6"/>
      <c r="D36" s="86"/>
      <c r="E36" s="107"/>
      <c r="F36" s="70"/>
      <c r="G36" s="70"/>
      <c r="H36" s="70"/>
      <c r="I36" s="70"/>
      <c r="J36" s="70"/>
      <c r="K36" s="30"/>
      <c r="L36" s="94"/>
    </row>
    <row r="37" spans="1:13" x14ac:dyDescent="0.2">
      <c r="A37" s="32"/>
      <c r="B37" s="6"/>
      <c r="C37" s="6"/>
      <c r="D37" s="86"/>
      <c r="E37" s="107"/>
      <c r="F37" s="70"/>
      <c r="G37" s="70"/>
      <c r="H37" s="70"/>
      <c r="I37" s="70"/>
      <c r="J37" s="70"/>
      <c r="K37"/>
      <c r="L37"/>
      <c r="M37"/>
    </row>
    <row r="38" spans="1:13" x14ac:dyDescent="0.2">
      <c r="A38" s="32"/>
      <c r="B38" s="6"/>
      <c r="C38" s="6"/>
      <c r="D38" s="86"/>
      <c r="E38" s="107"/>
      <c r="F38" s="70"/>
      <c r="G38" s="70"/>
      <c r="H38" s="70"/>
      <c r="I38" s="70"/>
      <c r="J38" s="70"/>
      <c r="K38"/>
      <c r="L38"/>
      <c r="M38"/>
    </row>
    <row r="39" spans="1:13" x14ac:dyDescent="0.2">
      <c r="A39" s="32"/>
      <c r="B39" s="6"/>
      <c r="C39" s="6"/>
      <c r="D39" s="86"/>
      <c r="E39" s="107"/>
      <c r="F39" s="70"/>
      <c r="G39" s="70"/>
      <c r="H39" s="70"/>
      <c r="I39" s="70"/>
      <c r="J39" s="70"/>
      <c r="K39"/>
      <c r="L39"/>
      <c r="M39"/>
    </row>
    <row r="40" spans="1:13" x14ac:dyDescent="0.2">
      <c r="A40" s="32"/>
      <c r="B40" s="6"/>
      <c r="C40" s="6"/>
      <c r="D40" s="86"/>
      <c r="E40" s="107"/>
      <c r="F40" s="70"/>
      <c r="G40" s="70"/>
      <c r="H40" s="70"/>
      <c r="I40" s="70"/>
      <c r="J40" s="70"/>
      <c r="K40"/>
      <c r="L40"/>
      <c r="M40"/>
    </row>
    <row r="41" spans="1:13" x14ac:dyDescent="0.2">
      <c r="A41" s="32"/>
      <c r="B41" s="6"/>
      <c r="C41" s="6"/>
      <c r="D41" s="86"/>
      <c r="E41" s="107"/>
      <c r="F41" s="70"/>
      <c r="G41" s="70"/>
      <c r="H41" s="70"/>
      <c r="I41" s="70"/>
      <c r="J41" s="70"/>
      <c r="K41"/>
      <c r="L41"/>
      <c r="M41"/>
    </row>
    <row r="42" spans="1:13" x14ac:dyDescent="0.2">
      <c r="A42" s="32"/>
      <c r="B42" s="6"/>
      <c r="C42" s="6"/>
      <c r="D42" s="86"/>
      <c r="E42" s="107"/>
      <c r="F42" s="70"/>
      <c r="G42" s="70"/>
      <c r="H42" s="70"/>
      <c r="I42" s="70"/>
      <c r="J42" s="70"/>
      <c r="K42" s="30"/>
      <c r="L42" s="94"/>
    </row>
    <row r="43" spans="1:13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</row>
    <row r="44" spans="1:13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</row>
    <row r="45" spans="1:13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</row>
    <row r="46" spans="1:13" x14ac:dyDescent="0.2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3" x14ac:dyDescent="0.2">
      <c r="A47" s="76"/>
      <c r="B47" s="76"/>
      <c r="C47" s="76"/>
      <c r="D47" s="76"/>
      <c r="E47" s="76"/>
      <c r="F47" s="76"/>
      <c r="G47" s="76"/>
    </row>
    <row r="48" spans="1:13" x14ac:dyDescent="0.2">
      <c r="A48" s="76"/>
      <c r="B48" s="76"/>
      <c r="C48" s="76"/>
      <c r="D48" s="76"/>
      <c r="E48" s="76"/>
      <c r="F48" s="76"/>
      <c r="G48" s="76"/>
    </row>
    <row r="55" spans="10:12" x14ac:dyDescent="0.2">
      <c r="J55"/>
      <c r="K55"/>
      <c r="L55"/>
    </row>
    <row r="56" spans="10:12" x14ac:dyDescent="0.2">
      <c r="J56"/>
      <c r="K56"/>
      <c r="L56"/>
    </row>
    <row r="57" spans="10:12" x14ac:dyDescent="0.2">
      <c r="J57"/>
      <c r="K57"/>
      <c r="L57"/>
    </row>
    <row r="58" spans="10:12" x14ac:dyDescent="0.2">
      <c r="J58"/>
      <c r="K58"/>
      <c r="L58"/>
    </row>
    <row r="59" spans="10:12" x14ac:dyDescent="0.2">
      <c r="J59"/>
      <c r="K59"/>
      <c r="L59"/>
    </row>
  </sheetData>
  <mergeCells count="1">
    <mergeCell ref="C1:M1"/>
  </mergeCells>
  <printOptions horizontalCentered="1"/>
  <pageMargins left="0.5" right="0.5" top="0.5" bottom="0.5" header="0" footer="0"/>
  <pageSetup scale="7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6"/>
  <dimension ref="A1:AV190"/>
  <sheetViews>
    <sheetView showGridLines="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11" sqref="A11"/>
    </sheetView>
  </sheetViews>
  <sheetFormatPr defaultColWidth="8.85546875" defaultRowHeight="12.75" x14ac:dyDescent="0.2"/>
  <cols>
    <col min="1" max="2" width="8.85546875" style="151"/>
    <col min="3" max="3" width="11.140625" style="151" customWidth="1"/>
    <col min="4" max="4" width="16.28515625" style="151" customWidth="1"/>
    <col min="5" max="8" width="10.85546875" style="151" customWidth="1"/>
    <col min="9" max="9" width="11.140625" style="151" customWidth="1"/>
    <col min="10" max="10" width="11.85546875" style="151" customWidth="1"/>
    <col min="11" max="11" width="9.85546875" style="151" bestFit="1" customWidth="1"/>
    <col min="12" max="12" width="10.5703125" style="151" customWidth="1"/>
    <col min="13" max="14" width="10.5703125" style="151" bestFit="1" customWidth="1"/>
    <col min="15" max="15" width="8.85546875" style="151" customWidth="1"/>
    <col min="16" max="16" width="10.5703125" style="151" bestFit="1" customWidth="1"/>
    <col min="17" max="17" width="9.5703125" style="151" customWidth="1"/>
    <col min="18" max="18" width="8.85546875" style="151" customWidth="1"/>
    <col min="19" max="19" width="10.85546875" style="151" customWidth="1"/>
    <col min="20" max="20" width="11.140625" style="151" customWidth="1"/>
    <col min="21" max="21" width="9.28515625" style="151" customWidth="1"/>
    <col min="22" max="22" width="10.7109375" style="151" customWidth="1"/>
    <col min="23" max="23" width="10.5703125" style="151" customWidth="1"/>
    <col min="24" max="24" width="11" style="151" customWidth="1"/>
    <col min="25" max="25" width="9.140625"/>
    <col min="26" max="26" width="13" style="151" customWidth="1"/>
    <col min="27" max="28" width="8.85546875" style="151"/>
    <col min="29" max="29" width="12.140625" style="151" bestFit="1" customWidth="1"/>
    <col min="30" max="39" width="8.85546875" style="151"/>
    <col min="40" max="40" width="15.85546875" style="151" customWidth="1"/>
    <col min="41" max="43" width="8.85546875" style="151"/>
    <col min="44" max="48" width="8.85546875" style="76"/>
    <col min="49" max="16384" width="8.85546875" style="151"/>
  </cols>
  <sheetData>
    <row r="1" spans="1:48" x14ac:dyDescent="0.2">
      <c r="P1" s="41"/>
      <c r="Q1" s="41"/>
      <c r="Z1" s="158" t="s">
        <v>49</v>
      </c>
      <c r="AA1" s="141"/>
      <c r="AB1" s="141"/>
      <c r="AC1" s="150"/>
      <c r="AD1" s="150"/>
    </row>
    <row r="2" spans="1:48" x14ac:dyDescent="0.2">
      <c r="Z2" s="82"/>
      <c r="AA2" s="139"/>
      <c r="AB2" s="96" t="s">
        <v>65</v>
      </c>
      <c r="AC2" s="96" t="s">
        <v>50</v>
      </c>
      <c r="AD2" s="113" t="s">
        <v>0</v>
      </c>
      <c r="AE2" s="147" t="s">
        <v>27</v>
      </c>
      <c r="AJ2" s="151">
        <v>74.956999999999994</v>
      </c>
    </row>
    <row r="3" spans="1:48" x14ac:dyDescent="0.2">
      <c r="P3" s="117"/>
      <c r="Q3" s="117"/>
      <c r="Z3" s="144" t="s">
        <v>82</v>
      </c>
      <c r="AA3" s="137"/>
      <c r="AB3" s="71">
        <v>140</v>
      </c>
      <c r="AC3" s="89"/>
      <c r="AD3" s="112"/>
      <c r="AE3" s="52"/>
      <c r="AJ3" s="151">
        <v>13.5512</v>
      </c>
    </row>
    <row r="4" spans="1:48" x14ac:dyDescent="0.2">
      <c r="Z4" s="144" t="s">
        <v>21</v>
      </c>
      <c r="AA4" s="137"/>
      <c r="AB4" s="71">
        <v>485</v>
      </c>
      <c r="AC4" s="89"/>
      <c r="AD4" s="112"/>
      <c r="AE4" s="52"/>
      <c r="AJ4" s="151">
        <v>228.34</v>
      </c>
      <c r="AN4" s="171" t="s">
        <v>29</v>
      </c>
      <c r="AO4" s="172"/>
      <c r="AP4" s="173"/>
      <c r="AR4" s="170"/>
      <c r="AS4" s="170"/>
      <c r="AT4" s="170"/>
    </row>
    <row r="5" spans="1:48" ht="15.75" x14ac:dyDescent="0.25">
      <c r="A5" s="165" t="s">
        <v>11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44"/>
      <c r="S5" s="44"/>
      <c r="T5" s="44"/>
      <c r="U5" s="44"/>
      <c r="V5" s="44"/>
      <c r="W5" s="44"/>
      <c r="X5" s="44"/>
      <c r="Z5" s="144" t="s">
        <v>30</v>
      </c>
      <c r="AA5" s="137"/>
      <c r="AB5" s="89"/>
      <c r="AC5" s="33">
        <v>0</v>
      </c>
      <c r="AD5" s="33">
        <v>0</v>
      </c>
      <c r="AE5" s="63">
        <v>30</v>
      </c>
      <c r="AJ5" s="151">
        <v>17.229800000000001</v>
      </c>
      <c r="AN5" s="47" t="s">
        <v>43</v>
      </c>
      <c r="AO5" s="47" t="s">
        <v>32</v>
      </c>
      <c r="AP5" s="47" t="s">
        <v>54</v>
      </c>
      <c r="AR5" s="105"/>
      <c r="AS5" s="105"/>
      <c r="AT5" s="105"/>
    </row>
    <row r="6" spans="1:48" x14ac:dyDescent="0.2">
      <c r="A6" s="30"/>
      <c r="B6" s="44"/>
      <c r="C6" s="44"/>
      <c r="D6" s="30"/>
      <c r="E6" s="30"/>
      <c r="F6" s="30"/>
      <c r="G6" s="30"/>
      <c r="H6" s="30"/>
      <c r="I6" s="30"/>
      <c r="J6" s="30"/>
      <c r="K6" s="44"/>
      <c r="L6" s="44"/>
      <c r="M6" s="44"/>
      <c r="N6" s="30"/>
      <c r="O6" s="44"/>
      <c r="P6" s="44"/>
      <c r="Q6" s="44"/>
      <c r="R6" s="44"/>
      <c r="S6" s="44"/>
      <c r="T6" s="44"/>
      <c r="U6" s="44"/>
      <c r="V6" s="44"/>
      <c r="W6" s="44"/>
      <c r="X6" s="44"/>
      <c r="Z6" s="144" t="s">
        <v>28</v>
      </c>
      <c r="AA6" s="137"/>
      <c r="AB6" s="89"/>
      <c r="AC6" s="77">
        <v>70</v>
      </c>
      <c r="AD6" s="71">
        <v>24</v>
      </c>
      <c r="AE6" s="104">
        <v>35</v>
      </c>
      <c r="AN6" s="91" t="s">
        <v>45</v>
      </c>
      <c r="AO6" s="91" t="s">
        <v>24</v>
      </c>
      <c r="AP6" s="91" t="s">
        <v>24</v>
      </c>
      <c r="AR6" s="105"/>
      <c r="AS6" s="105"/>
      <c r="AT6" s="105"/>
    </row>
    <row r="7" spans="1:48" ht="12.4" customHeight="1" x14ac:dyDescent="0.2">
      <c r="A7" s="22" t="s">
        <v>91</v>
      </c>
      <c r="B7" s="30"/>
      <c r="C7" s="30"/>
      <c r="D7" s="44"/>
      <c r="E7" s="44"/>
      <c r="F7" s="44"/>
      <c r="G7" s="44"/>
      <c r="H7" s="44"/>
      <c r="I7" s="44"/>
      <c r="J7" s="44"/>
      <c r="K7" s="30"/>
      <c r="L7" s="151" t="s">
        <v>39</v>
      </c>
      <c r="P7" s="145" t="s">
        <v>80</v>
      </c>
      <c r="Q7" s="145"/>
      <c r="R7" s="44"/>
      <c r="S7" s="44"/>
      <c r="T7" s="44"/>
      <c r="U7" s="44"/>
      <c r="V7" s="44"/>
      <c r="W7" s="44"/>
      <c r="X7" s="44"/>
      <c r="Z7" s="35" t="s">
        <v>23</v>
      </c>
      <c r="AA7" s="125"/>
      <c r="AB7" s="72"/>
      <c r="AC7" s="77">
        <v>0</v>
      </c>
      <c r="AD7" s="54"/>
      <c r="AE7" s="104">
        <v>30</v>
      </c>
      <c r="AN7" s="66" t="s">
        <v>81</v>
      </c>
      <c r="AO7" s="102">
        <v>1</v>
      </c>
      <c r="AP7" s="102">
        <f t="shared" ref="AP7:AP27" si="0">AO7-AO8</f>
        <v>0</v>
      </c>
      <c r="AR7" s="154" t="s">
        <v>81</v>
      </c>
      <c r="AS7" s="18"/>
      <c r="AT7" s="18"/>
      <c r="AU7" s="100"/>
      <c r="AV7" s="100"/>
    </row>
    <row r="8" spans="1:48" ht="12.4" customHeight="1" x14ac:dyDescent="0.2">
      <c r="A8" s="22" t="s">
        <v>95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151" t="s">
        <v>92</v>
      </c>
      <c r="P8" s="60">
        <v>0</v>
      </c>
      <c r="Q8" s="80"/>
      <c r="R8" s="44"/>
      <c r="S8" s="44"/>
      <c r="T8" s="44"/>
      <c r="U8" s="44"/>
      <c r="V8" s="44"/>
      <c r="W8" s="44"/>
      <c r="X8" s="44"/>
      <c r="Z8" s="153" t="s">
        <v>79</v>
      </c>
      <c r="AA8" s="43"/>
      <c r="AB8" s="162"/>
      <c r="AC8" s="110">
        <v>50</v>
      </c>
      <c r="AD8" s="148"/>
      <c r="AE8" s="15">
        <v>25</v>
      </c>
      <c r="AN8" s="64">
        <f>E135</f>
        <v>1.9940947186989958E-3</v>
      </c>
      <c r="AO8" s="102">
        <f>B135</f>
        <v>1</v>
      </c>
      <c r="AP8" s="102">
        <f t="shared" si="0"/>
        <v>0</v>
      </c>
      <c r="AR8" s="149">
        <v>1.8387307309880479E-3</v>
      </c>
      <c r="AS8" s="18"/>
      <c r="AT8" s="18"/>
      <c r="AU8" s="2"/>
      <c r="AV8" s="120"/>
    </row>
    <row r="9" spans="1:48" ht="12.4" customHeight="1" x14ac:dyDescent="0.2">
      <c r="A9" s="146" t="s">
        <v>93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142" t="s">
        <v>73</v>
      </c>
      <c r="N9" s="30"/>
      <c r="O9" s="30"/>
      <c r="P9" s="164">
        <f>MAX(V18:V136)</f>
        <v>70.024154203287338</v>
      </c>
      <c r="Q9" s="95"/>
      <c r="R9" s="44"/>
      <c r="S9" s="44"/>
      <c r="T9" s="44"/>
      <c r="U9" s="44"/>
      <c r="V9" s="44"/>
      <c r="W9" s="44"/>
      <c r="X9" s="44"/>
      <c r="Z9" s="50" t="s">
        <v>10</v>
      </c>
      <c r="AA9" s="125"/>
      <c r="AB9" s="125"/>
      <c r="AC9" s="19">
        <f>ABS($AC$6*COS($AC$5*PI()/180))</f>
        <v>70</v>
      </c>
      <c r="AD9" s="19">
        <f>ABS($AD$6*COS($AD$5*PI()/180))</f>
        <v>24</v>
      </c>
      <c r="AE9" s="23">
        <f>ABS($AE$6*COS($AE$5*PI()/180))</f>
        <v>30.310889132455355</v>
      </c>
      <c r="AN9" s="64">
        <f>E133</f>
        <v>2.3858747697203839E-3</v>
      </c>
      <c r="AO9" s="102">
        <f>B133</f>
        <v>1</v>
      </c>
      <c r="AP9" s="102">
        <f t="shared" si="0"/>
        <v>2.7475057815518067E-3</v>
      </c>
      <c r="AR9" s="149">
        <v>2.3796891258599209E-3</v>
      </c>
      <c r="AS9" s="18"/>
      <c r="AT9" s="18"/>
      <c r="AU9" s="2"/>
      <c r="AV9" s="120"/>
    </row>
    <row r="10" spans="1:48" ht="12.4" customHeight="1" x14ac:dyDescent="0.2">
      <c r="A10" s="37" t="s">
        <v>94</v>
      </c>
      <c r="B10" s="30"/>
      <c r="C10" s="30"/>
      <c r="D10" s="44"/>
      <c r="E10" s="44"/>
      <c r="F10" s="44"/>
      <c r="G10" s="44"/>
      <c r="H10" s="44"/>
      <c r="I10" s="44"/>
      <c r="J10" s="44"/>
      <c r="K10" s="30"/>
      <c r="L10" s="142" t="s">
        <v>51</v>
      </c>
      <c r="N10" s="30"/>
      <c r="O10" s="30"/>
      <c r="P10" s="114">
        <f>'Raw Data'!M10</f>
        <v>0.25937635562369549</v>
      </c>
      <c r="Q10" s="114"/>
      <c r="R10" s="44"/>
      <c r="S10" s="44"/>
      <c r="T10" s="44"/>
      <c r="U10" s="44"/>
      <c r="V10" s="44"/>
      <c r="W10" s="44"/>
      <c r="X10" s="44"/>
      <c r="Z10" s="5" t="s">
        <v>59</v>
      </c>
      <c r="AA10" s="43"/>
      <c r="AB10" s="43"/>
      <c r="AC10" s="115">
        <f>ABS($AC$8*COS($AC$7*PI()/180))</f>
        <v>50</v>
      </c>
      <c r="AD10" s="162"/>
      <c r="AE10" s="108">
        <f>ABS($AE$8*COS($AE$7*PI()/180))</f>
        <v>21.650635094610969</v>
      </c>
      <c r="AN10" s="64">
        <f>E125</f>
        <v>4.8988974875389599E-3</v>
      </c>
      <c r="AO10" s="102">
        <f>$B125</f>
        <v>0.99725249421844819</v>
      </c>
      <c r="AP10" s="102">
        <f t="shared" si="0"/>
        <v>6.000080319369383E-3</v>
      </c>
      <c r="AR10" s="149">
        <v>4.918869133300207E-3</v>
      </c>
      <c r="AS10" s="18"/>
      <c r="AT10" s="18"/>
      <c r="AU10" s="2"/>
      <c r="AV10" s="120"/>
    </row>
    <row r="11" spans="1:48" ht="12.4" customHeight="1" x14ac:dyDescent="0.2">
      <c r="A11" s="174" t="s">
        <v>96</v>
      </c>
      <c r="B11" s="30"/>
      <c r="C11" s="30"/>
      <c r="D11" s="44"/>
      <c r="E11" s="44"/>
      <c r="F11" s="44"/>
      <c r="G11" s="44"/>
      <c r="H11" s="44"/>
      <c r="I11" s="44"/>
      <c r="J11" s="44"/>
      <c r="K11" s="30"/>
      <c r="L11" s="151" t="s">
        <v>22</v>
      </c>
      <c r="P11" s="129">
        <f>'Raw Data'!M11</f>
        <v>2.6735002682030076</v>
      </c>
      <c r="Q11" s="129"/>
      <c r="R11" s="44"/>
      <c r="V11" s="44"/>
      <c r="W11" s="44"/>
      <c r="X11" s="44"/>
      <c r="Z11" s="30"/>
      <c r="AA11" s="81" t="s">
        <v>46</v>
      </c>
      <c r="AB11" s="57"/>
      <c r="AC11" s="57"/>
      <c r="AD11" s="156"/>
      <c r="AN11" s="64">
        <f>E120</f>
        <v>7.640536212572417E-3</v>
      </c>
      <c r="AO11" s="102">
        <f>$B120</f>
        <v>0.99125241389907881</v>
      </c>
      <c r="AP11" s="102">
        <f t="shared" si="0"/>
        <v>5.9508816173233781E-3</v>
      </c>
      <c r="AR11" s="149">
        <v>7.6659819593601552E-3</v>
      </c>
      <c r="AS11" s="18"/>
      <c r="AT11" s="18"/>
      <c r="AU11" s="2"/>
      <c r="AV11" s="120"/>
    </row>
    <row r="12" spans="1:48" ht="12.4" customHeight="1" x14ac:dyDescent="0.2">
      <c r="B12" s="30"/>
      <c r="C12" s="30"/>
      <c r="D12" s="38"/>
      <c r="E12" s="30"/>
      <c r="F12" s="30"/>
      <c r="G12" s="30"/>
      <c r="H12" s="30"/>
      <c r="I12" s="30"/>
      <c r="J12" s="30"/>
      <c r="K12" s="30"/>
      <c r="L12" s="30"/>
      <c r="M12" s="142"/>
      <c r="N12" s="30"/>
      <c r="O12" s="30"/>
      <c r="P12" s="16"/>
      <c r="Q12" s="16"/>
      <c r="R12" s="44"/>
      <c r="S12" s="44"/>
      <c r="T12" s="44"/>
      <c r="U12" s="44"/>
      <c r="V12" s="44"/>
      <c r="W12" s="44"/>
      <c r="X12" s="44"/>
      <c r="Z12" s="30"/>
      <c r="AA12" s="101" t="s">
        <v>70</v>
      </c>
      <c r="AB12" s="139"/>
      <c r="AC12" s="68">
        <v>0.433</v>
      </c>
      <c r="AD12" s="44"/>
      <c r="AN12" s="102">
        <f>E117</f>
        <v>1.0024398175741231E-2</v>
      </c>
      <c r="AO12" s="102">
        <f>$B117</f>
        <v>0.98530153228175543</v>
      </c>
      <c r="AP12" s="102">
        <f t="shared" si="0"/>
        <v>3.4578554111414195E-2</v>
      </c>
      <c r="AR12" s="18">
        <v>1.0017670706649362E-2</v>
      </c>
      <c r="AS12" s="18"/>
      <c r="AT12" s="18"/>
      <c r="AU12" s="2"/>
      <c r="AV12" s="120"/>
    </row>
    <row r="13" spans="1:48" ht="12.4" customHeight="1" x14ac:dyDescent="0.2">
      <c r="Z13" s="30"/>
      <c r="AA13" s="35" t="s">
        <v>14</v>
      </c>
      <c r="AB13" s="125"/>
      <c r="AC13" s="31">
        <v>0.34599999999999997</v>
      </c>
      <c r="AD13" s="30"/>
      <c r="AN13" s="102">
        <f>E107</f>
        <v>2.4620272006321504E-2</v>
      </c>
      <c r="AO13" s="102">
        <f>$B107</f>
        <v>0.95072297817034124</v>
      </c>
      <c r="AP13" s="102">
        <f t="shared" si="0"/>
        <v>4.9054689198099743E-2</v>
      </c>
      <c r="AR13" s="18">
        <v>2.4302503920103202E-2</v>
      </c>
      <c r="AS13" s="18"/>
      <c r="AT13" s="18"/>
      <c r="AU13" s="2"/>
      <c r="AV13" s="120"/>
    </row>
    <row r="14" spans="1:48" ht="12.4" customHeight="1" x14ac:dyDescent="0.2">
      <c r="A14" s="7" t="s">
        <v>84</v>
      </c>
      <c r="B14" s="7" t="s">
        <v>61</v>
      </c>
      <c r="C14" s="7" t="s">
        <v>44</v>
      </c>
      <c r="D14" s="14" t="s">
        <v>90</v>
      </c>
      <c r="E14" s="7" t="s">
        <v>88</v>
      </c>
      <c r="F14" s="7" t="s">
        <v>88</v>
      </c>
      <c r="G14" s="7" t="s">
        <v>13</v>
      </c>
      <c r="H14" s="7" t="s">
        <v>16</v>
      </c>
      <c r="I14" s="7" t="s">
        <v>66</v>
      </c>
      <c r="J14" s="7" t="s">
        <v>78</v>
      </c>
      <c r="K14" s="7"/>
      <c r="L14" s="12" t="s">
        <v>85</v>
      </c>
      <c r="M14" s="62"/>
      <c r="N14" s="9"/>
      <c r="O14" s="12" t="s">
        <v>17</v>
      </c>
      <c r="P14" s="9"/>
      <c r="Q14" s="9" t="s">
        <v>7</v>
      </c>
      <c r="R14" s="7" t="s">
        <v>61</v>
      </c>
      <c r="S14" s="7" t="s">
        <v>36</v>
      </c>
      <c r="T14" s="7" t="s">
        <v>57</v>
      </c>
      <c r="U14" s="7"/>
      <c r="V14" s="7" t="s">
        <v>26</v>
      </c>
      <c r="W14" s="7" t="s">
        <v>86</v>
      </c>
      <c r="X14" s="7" t="s">
        <v>86</v>
      </c>
      <c r="Z14" s="30"/>
      <c r="AA14" s="153" t="s">
        <v>12</v>
      </c>
      <c r="AB14" s="43"/>
      <c r="AC14" s="118">
        <v>0.1</v>
      </c>
      <c r="AD14" s="30"/>
      <c r="AN14" s="102">
        <f>E99</f>
        <v>5.0607181962144351E-2</v>
      </c>
      <c r="AO14" s="102">
        <f>$B99</f>
        <v>0.90166828897224149</v>
      </c>
      <c r="AP14" s="102">
        <f t="shared" si="0"/>
        <v>3.3702760337880222E-2</v>
      </c>
      <c r="AR14" s="18">
        <v>4.9484801750667114E-2</v>
      </c>
      <c r="AS14" s="18"/>
      <c r="AT14" s="18"/>
      <c r="AU14" s="2"/>
      <c r="AV14" s="120"/>
    </row>
    <row r="15" spans="1:48" ht="12.4" customHeight="1" x14ac:dyDescent="0.2">
      <c r="A15" s="79" t="s">
        <v>76</v>
      </c>
      <c r="B15" s="79" t="s">
        <v>5</v>
      </c>
      <c r="C15" s="79" t="s">
        <v>5</v>
      </c>
      <c r="D15" s="88" t="s">
        <v>68</v>
      </c>
      <c r="E15" s="79" t="s">
        <v>77</v>
      </c>
      <c r="F15" s="79" t="s">
        <v>52</v>
      </c>
      <c r="G15" s="79" t="s">
        <v>31</v>
      </c>
      <c r="H15" s="79" t="s">
        <v>31</v>
      </c>
      <c r="I15" s="79" t="s">
        <v>74</v>
      </c>
      <c r="J15" s="79" t="s">
        <v>74</v>
      </c>
      <c r="K15" s="79" t="s">
        <v>87</v>
      </c>
      <c r="L15" s="7" t="s">
        <v>72</v>
      </c>
      <c r="M15" s="7" t="s">
        <v>4</v>
      </c>
      <c r="N15" s="7" t="s">
        <v>40</v>
      </c>
      <c r="O15" s="135" t="s">
        <v>1</v>
      </c>
      <c r="P15" s="140"/>
      <c r="Q15" s="140" t="s">
        <v>8</v>
      </c>
      <c r="R15" s="79" t="s">
        <v>32</v>
      </c>
      <c r="S15" s="79" t="s">
        <v>42</v>
      </c>
      <c r="T15" s="79" t="s">
        <v>86</v>
      </c>
      <c r="U15" s="79" t="s">
        <v>26</v>
      </c>
      <c r="V15" s="79" t="s">
        <v>86</v>
      </c>
      <c r="W15" s="79" t="s">
        <v>41</v>
      </c>
      <c r="X15" s="79" t="s">
        <v>41</v>
      </c>
      <c r="Z15" s="44"/>
      <c r="AN15" s="102">
        <f>E95</f>
        <v>7.2500276114517204E-2</v>
      </c>
      <c r="AO15" s="102">
        <f>$B95</f>
        <v>0.86796552863436127</v>
      </c>
      <c r="AP15" s="102">
        <f t="shared" si="0"/>
        <v>3.8911452518208711E-2</v>
      </c>
      <c r="AR15" s="18">
        <v>7.1632047862346573E-2</v>
      </c>
      <c r="AS15" s="18"/>
      <c r="AT15" s="18"/>
      <c r="AU15" s="2"/>
      <c r="AV15" s="120"/>
    </row>
    <row r="16" spans="1:48" ht="12.4" customHeight="1" x14ac:dyDescent="0.2">
      <c r="A16" s="109" t="s">
        <v>47</v>
      </c>
      <c r="B16" s="109" t="s">
        <v>24</v>
      </c>
      <c r="C16" s="109" t="s">
        <v>24</v>
      </c>
      <c r="D16" s="119" t="s">
        <v>24</v>
      </c>
      <c r="E16" s="109" t="s">
        <v>53</v>
      </c>
      <c r="F16" s="109" t="s">
        <v>62</v>
      </c>
      <c r="G16" s="109" t="s">
        <v>58</v>
      </c>
      <c r="H16" s="109" t="s">
        <v>58</v>
      </c>
      <c r="I16" s="109" t="s">
        <v>53</v>
      </c>
      <c r="J16" s="109" t="s">
        <v>53</v>
      </c>
      <c r="K16" s="109" t="s">
        <v>67</v>
      </c>
      <c r="L16" s="109" t="s">
        <v>47</v>
      </c>
      <c r="M16" s="109" t="s">
        <v>47</v>
      </c>
      <c r="N16" s="109" t="s">
        <v>47</v>
      </c>
      <c r="O16" s="126" t="s">
        <v>64</v>
      </c>
      <c r="P16" s="126" t="s">
        <v>33</v>
      </c>
      <c r="Q16" s="109" t="s">
        <v>69</v>
      </c>
      <c r="R16" s="109" t="s">
        <v>20</v>
      </c>
      <c r="S16" s="109" t="s">
        <v>19</v>
      </c>
      <c r="T16" s="109"/>
      <c r="U16" s="109"/>
      <c r="V16" s="58"/>
      <c r="W16" s="119" t="s">
        <v>6</v>
      </c>
      <c r="X16" s="119" t="s">
        <v>89</v>
      </c>
      <c r="Z16" s="142" t="s">
        <v>71</v>
      </c>
      <c r="AA16" s="44"/>
      <c r="AB16" s="44"/>
      <c r="AC16" s="132">
        <f>ABS(Table!$AB$4*COS(Table!$AB$3*PI()/180))</f>
        <v>371.53155491270428</v>
      </c>
      <c r="AN16" s="102">
        <f>E91</f>
        <v>0.10428969297698015</v>
      </c>
      <c r="AO16" s="102">
        <f>$B91</f>
        <v>0.82905407611615256</v>
      </c>
      <c r="AP16" s="102">
        <f t="shared" si="0"/>
        <v>9.1502134904179244E-2</v>
      </c>
      <c r="AR16" s="18">
        <v>9.9921582517046942E-2</v>
      </c>
      <c r="AS16" s="18"/>
      <c r="AT16" s="18"/>
      <c r="AU16" s="2"/>
      <c r="AV16" s="120"/>
    </row>
    <row r="17" spans="1:48" ht="12.4" customHeight="1" x14ac:dyDescent="0.2">
      <c r="A17" s="133"/>
      <c r="B17" s="84"/>
      <c r="C17" s="44"/>
      <c r="D17" s="51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0"/>
      <c r="S17" s="30"/>
      <c r="T17" s="30"/>
      <c r="U17" s="30"/>
      <c r="V17" s="30"/>
      <c r="W17" s="30"/>
      <c r="X17" s="30"/>
      <c r="AC17" s="121">
        <f ca="1">FORECAST(200,OFFSET(L$17,MATCH(200,L$18:L136, 1),-9,2,1),OFFSET(L$17,MATCH(200,L$18:L136, 1),0,2,1))</f>
        <v>0.16951697950595151</v>
      </c>
      <c r="AD17" s="151">
        <f ca="1">LOOKUP('Raw Data'!K27,Table!A18:A136,OFFSET(Table!S18:S136,-1,0))</f>
        <v>0</v>
      </c>
      <c r="AE17" s="151">
        <f ca="1">IF('Raw Data'!$I$27=0,Table!$E$18,OFFSET(INDEX($E$18:$E$136,MATCH('Raw Data'!$K$27,Table!$A$18:$A$136,0)),-1,0))</f>
        <v>9.1874817932378487</v>
      </c>
      <c r="AN17" s="102">
        <f>E81</f>
        <v>0.25510770033122915</v>
      </c>
      <c r="AO17" s="102">
        <f>$B81</f>
        <v>0.73755194121197332</v>
      </c>
      <c r="AP17" s="102">
        <f t="shared" si="0"/>
        <v>5.0806959270514263E-2</v>
      </c>
      <c r="AR17" s="18">
        <v>0.25452110435346964</v>
      </c>
      <c r="AS17" s="18"/>
      <c r="AT17" s="18"/>
      <c r="AU17" s="2"/>
      <c r="AV17" s="120"/>
    </row>
    <row r="18" spans="1:48" ht="12.4" customHeight="1" x14ac:dyDescent="0.2">
      <c r="A18" s="133">
        <f>'Raw Data'!A18</f>
        <v>1.5110735893249512</v>
      </c>
      <c r="B18" s="84">
        <f>'Raw Data'!E18</f>
        <v>0</v>
      </c>
      <c r="C18" s="84">
        <f t="shared" ref="C18:C136" si="1">1-B18</f>
        <v>1</v>
      </c>
      <c r="D18" s="97">
        <f t="shared" ref="D18:D136" si="2">B18-B17</f>
        <v>0</v>
      </c>
      <c r="E18" s="87">
        <f>(2*Table!$AC$16*0.147)/A18</f>
        <v>72.286537145508575</v>
      </c>
      <c r="F18" s="87">
        <f t="shared" ref="F18:F136" si="3">E18*2</f>
        <v>144.57307429101715</v>
      </c>
      <c r="G18" s="133">
        <f>IF((('Raw Data'!C18)/('Raw Data'!C$136)*100)&lt;0,0,('Raw Data'!C18)/('Raw Data'!C$136)*100)</f>
        <v>0</v>
      </c>
      <c r="H18" s="133">
        <f t="shared" ref="H18:H136" si="4">G18-G17</f>
        <v>0</v>
      </c>
      <c r="I18" s="49">
        <f t="shared" ref="I18:I136" si="5">IF(E17&gt;0,LOG(E17)-LOG(E18), LOG(E18))</f>
        <v>1.8590574205607959</v>
      </c>
      <c r="J18" s="87">
        <f>'Raw Data'!F18/I18</f>
        <v>0</v>
      </c>
      <c r="K18" s="127">
        <f t="shared" ref="K18:K136" si="6">(0.217*A18*(SQRT(P$9/P$10)))/($AB$4*-COS(RADIANS($AB$3)))</f>
        <v>1.4501348430897778E-2</v>
      </c>
      <c r="L18" s="133">
        <f>A18*Table!$AC$9/$AC$16</f>
        <v>0.28470031644445304</v>
      </c>
      <c r="M18" s="133">
        <f>A18*Table!$AD$9/$AC$16</f>
        <v>9.7611537066669612E-2</v>
      </c>
      <c r="N18" s="133">
        <f>ABS(A18*Table!$AE$9/$AC$16)</f>
        <v>0.12327885325318244</v>
      </c>
      <c r="O18" s="133">
        <f>($L18*(Table!$AC$10/Table!$AC$9)/(Table!$AC$12-Table!$AC$14))</f>
        <v>0.6106827894561413</v>
      </c>
      <c r="P18" s="133">
        <f>$N18*(Table!$AE$10/Table!$AE$9)/(Table!$AC$12-Table!$AC$13)</f>
        <v>1.0121416523249789</v>
      </c>
      <c r="Q18" s="133">
        <f>'Raw Data'!C18</f>
        <v>0</v>
      </c>
      <c r="R18" s="133">
        <f>'Raw Data'!C18/'Raw Data'!I$23*100</f>
        <v>0</v>
      </c>
      <c r="S18" s="157">
        <f t="shared" ref="S18:S136" si="7">D18/MAX($D$18:$D$136)</f>
        <v>0</v>
      </c>
      <c r="T18" s="157">
        <f t="shared" ref="T18:T136" si="8">1-(X18/$X$136)</f>
        <v>1</v>
      </c>
      <c r="U18" s="26">
        <f t="shared" ref="U18:U136" si="9">R18/A18</f>
        <v>0</v>
      </c>
      <c r="V18" s="26">
        <f t="shared" ref="V18:V136" si="10">(U18^1.691)*399</f>
        <v>0</v>
      </c>
      <c r="W18" s="26">
        <f t="shared" ref="W18:W136" si="11">((E18*E18)/8)*S18</f>
        <v>0</v>
      </c>
      <c r="X18" s="138">
        <f t="shared" ref="X18:X136" si="12">W18+X17</f>
        <v>0</v>
      </c>
      <c r="Z18" s="85"/>
      <c r="AA18" s="44"/>
      <c r="AB18" s="44"/>
      <c r="AC18" s="99"/>
      <c r="AN18" s="102">
        <f>E73</f>
        <v>0.52722285750350939</v>
      </c>
      <c r="AO18" s="102">
        <f>$B73</f>
        <v>0.68674498194145905</v>
      </c>
      <c r="AP18" s="102">
        <f t="shared" si="0"/>
        <v>2.9031101850869434E-2</v>
      </c>
      <c r="AR18" s="18">
        <v>0.47874420207019219</v>
      </c>
      <c r="AS18" s="18"/>
      <c r="AT18" s="18"/>
      <c r="AU18" s="2"/>
      <c r="AV18" s="120"/>
    </row>
    <row r="19" spans="1:48" ht="12.4" customHeight="1" x14ac:dyDescent="0.2">
      <c r="A19" s="133">
        <f>'Raw Data'!A19</f>
        <v>1.588789701461792</v>
      </c>
      <c r="B19" s="84">
        <f>'Raw Data'!E19</f>
        <v>0</v>
      </c>
      <c r="C19" s="84">
        <f t="shared" si="1"/>
        <v>1</v>
      </c>
      <c r="D19" s="97">
        <f t="shared" si="2"/>
        <v>0</v>
      </c>
      <c r="E19" s="87">
        <f>(2*Table!$AC$16*0.147)/A19</f>
        <v>68.750620075039478</v>
      </c>
      <c r="F19" s="87">
        <f t="shared" si="3"/>
        <v>137.50124015007896</v>
      </c>
      <c r="G19" s="133">
        <f>IF((('Raw Data'!C19)/('Raw Data'!C$136)*100)&lt;0,0,('Raw Data'!C19)/('Raw Data'!C$136)*100)</f>
        <v>0</v>
      </c>
      <c r="H19" s="133">
        <f t="shared" si="4"/>
        <v>0</v>
      </c>
      <c r="I19" s="49">
        <f t="shared" si="5"/>
        <v>2.178080105553426E-2</v>
      </c>
      <c r="J19" s="87">
        <f>'Raw Data'!F19/I19</f>
        <v>0</v>
      </c>
      <c r="K19" s="127">
        <f t="shared" si="6"/>
        <v>1.5247168110860894E-2</v>
      </c>
      <c r="L19" s="133">
        <f>A19*Table!$AC$9/$AC$16</f>
        <v>0.29934275469133914</v>
      </c>
      <c r="M19" s="133">
        <f>A19*Table!$AD$9/$AC$16</f>
        <v>0.10263180160845914</v>
      </c>
      <c r="N19" s="133">
        <f>ABS(A19*Table!$AE$9/$AC$16)</f>
        <v>0.12961921500075657</v>
      </c>
      <c r="O19" s="133">
        <f>($L19*(Table!$AC$10/Table!$AC$9)/(Table!$AC$12-Table!$AC$14))</f>
        <v>0.64209085090377338</v>
      </c>
      <c r="P19" s="133">
        <f>$N19*(Table!$AE$10/Table!$AE$9)/(Table!$AC$12-Table!$AC$13)</f>
        <v>1.0641971674938959</v>
      </c>
      <c r="Q19" s="133">
        <f>'Raw Data'!C19</f>
        <v>0</v>
      </c>
      <c r="R19" s="133">
        <f>'Raw Data'!C19/'Raw Data'!I$23*100</f>
        <v>0</v>
      </c>
      <c r="S19" s="157">
        <f t="shared" si="7"/>
        <v>0</v>
      </c>
      <c r="T19" s="157">
        <f t="shared" si="8"/>
        <v>1</v>
      </c>
      <c r="U19" s="26">
        <f t="shared" si="9"/>
        <v>0</v>
      </c>
      <c r="V19" s="26">
        <f t="shared" si="10"/>
        <v>0</v>
      </c>
      <c r="W19" s="26">
        <f t="shared" si="11"/>
        <v>0</v>
      </c>
      <c r="X19" s="138">
        <f t="shared" si="12"/>
        <v>0</v>
      </c>
      <c r="AN19" s="102">
        <f>E68</f>
        <v>0.81839795364153345</v>
      </c>
      <c r="AO19" s="102">
        <f>$B68</f>
        <v>0.65771388009058962</v>
      </c>
      <c r="AP19" s="102">
        <f t="shared" si="0"/>
        <v>2.6861865668974749E-2</v>
      </c>
      <c r="AR19" s="18">
        <v>0.74938444802644799</v>
      </c>
      <c r="AS19" s="18"/>
      <c r="AT19" s="18"/>
      <c r="AU19" s="2"/>
      <c r="AV19" s="120"/>
    </row>
    <row r="20" spans="1:48" ht="12.4" customHeight="1" x14ac:dyDescent="0.2">
      <c r="A20" s="133">
        <f>'Raw Data'!A20</f>
        <v>1.8008730411529541</v>
      </c>
      <c r="B20" s="84">
        <f>'Raw Data'!E20</f>
        <v>0</v>
      </c>
      <c r="C20" s="84">
        <f t="shared" si="1"/>
        <v>1</v>
      </c>
      <c r="D20" s="97">
        <f t="shared" si="2"/>
        <v>0</v>
      </c>
      <c r="E20" s="87">
        <f>(2*Table!$AC$16*0.147)/A20</f>
        <v>60.654068692373613</v>
      </c>
      <c r="F20" s="87">
        <f t="shared" si="3"/>
        <v>121.30813738474723</v>
      </c>
      <c r="G20" s="133">
        <f>IF((('Raw Data'!C20)/('Raw Data'!C$136)*100)&lt;0,0,('Raw Data'!C20)/('Raw Data'!C$136)*100)</f>
        <v>0</v>
      </c>
      <c r="H20" s="133">
        <f t="shared" si="4"/>
        <v>0</v>
      </c>
      <c r="I20" s="49">
        <f t="shared" si="5"/>
        <v>5.4416680726753874E-2</v>
      </c>
      <c r="J20" s="87">
        <f>'Raw Data'!F20/I20</f>
        <v>0</v>
      </c>
      <c r="K20" s="127">
        <f t="shared" si="6"/>
        <v>1.7282472299205501E-2</v>
      </c>
      <c r="L20" s="133">
        <f>A20*Table!$AC$9/$AC$16</f>
        <v>0.33930122815631725</v>
      </c>
      <c r="M20" s="133">
        <f>A20*Table!$AD$9/$AC$16</f>
        <v>0.11633184965359449</v>
      </c>
      <c r="N20" s="133">
        <f>ABS(A20*Table!$AE$9/$AC$16)</f>
        <v>0.14692174155931531</v>
      </c>
      <c r="O20" s="133">
        <f>($L20*(Table!$AC$10/Table!$AC$9)/(Table!$AC$12-Table!$AC$14))</f>
        <v>0.72780186219716281</v>
      </c>
      <c r="P20" s="133">
        <f>$N20*(Table!$AE$10/Table!$AE$9)/(Table!$AC$12-Table!$AC$13)</f>
        <v>1.2062540357907658</v>
      </c>
      <c r="Q20" s="133">
        <f>'Raw Data'!C20</f>
        <v>0</v>
      </c>
      <c r="R20" s="133">
        <f>'Raw Data'!C20/'Raw Data'!I$23*100</f>
        <v>0</v>
      </c>
      <c r="S20" s="157">
        <f t="shared" si="7"/>
        <v>0</v>
      </c>
      <c r="T20" s="157">
        <f t="shared" si="8"/>
        <v>1</v>
      </c>
      <c r="U20" s="26">
        <f t="shared" si="9"/>
        <v>0</v>
      </c>
      <c r="V20" s="26">
        <f t="shared" si="10"/>
        <v>0</v>
      </c>
      <c r="W20" s="26">
        <f t="shared" si="11"/>
        <v>0</v>
      </c>
      <c r="X20" s="138">
        <f t="shared" si="12"/>
        <v>0</v>
      </c>
      <c r="AN20" s="3">
        <f>E64</f>
        <v>1.1812126528716873</v>
      </c>
      <c r="AO20" s="102">
        <f>$B64</f>
        <v>0.63085201442161487</v>
      </c>
      <c r="AP20" s="102">
        <f t="shared" si="0"/>
        <v>0.1292485593140793</v>
      </c>
      <c r="AR20" s="92">
        <v>1.0742552826940897</v>
      </c>
      <c r="AS20" s="18"/>
      <c r="AT20" s="18"/>
      <c r="AU20" s="2"/>
      <c r="AV20" s="120"/>
    </row>
    <row r="21" spans="1:48" ht="12.4" customHeight="1" x14ac:dyDescent="0.2">
      <c r="A21" s="133">
        <f>'Raw Data'!A21</f>
        <v>2.0034613609313965</v>
      </c>
      <c r="B21" s="84">
        <f>'Raw Data'!E21</f>
        <v>0</v>
      </c>
      <c r="C21" s="84">
        <f t="shared" si="1"/>
        <v>1</v>
      </c>
      <c r="D21" s="97">
        <f t="shared" si="2"/>
        <v>0</v>
      </c>
      <c r="E21" s="87">
        <f>(2*Table!$AC$16*0.147)/A21</f>
        <v>54.520780522342882</v>
      </c>
      <c r="F21" s="87">
        <f t="shared" si="3"/>
        <v>109.04156104468576</v>
      </c>
      <c r="G21" s="133">
        <f>IF((('Raw Data'!C21)/('Raw Data'!C$136)*100)&lt;0,0,('Raw Data'!C21)/('Raw Data'!C$136)*100)</f>
        <v>0</v>
      </c>
      <c r="H21" s="133">
        <f t="shared" si="4"/>
        <v>0</v>
      </c>
      <c r="I21" s="49">
        <f t="shared" si="5"/>
        <v>4.6297874188870658E-2</v>
      </c>
      <c r="J21" s="87">
        <f>'Raw Data'!F21/I21</f>
        <v>0</v>
      </c>
      <c r="K21" s="127">
        <f t="shared" si="6"/>
        <v>1.9226655450768459E-2</v>
      </c>
      <c r="L21" s="133">
        <f>A21*Table!$AC$9/$AC$16</f>
        <v>0.37747075157088428</v>
      </c>
      <c r="M21" s="133">
        <f>A21*Table!$AD$9/$AC$16</f>
        <v>0.12941854339573175</v>
      </c>
      <c r="N21" s="133">
        <f>ABS(A21*Table!$AE$9/$AC$16)</f>
        <v>0.16344963002299531</v>
      </c>
      <c r="O21" s="133">
        <f>($L21*(Table!$AC$10/Table!$AC$9)/(Table!$AC$12-Table!$AC$14))</f>
        <v>0.80967557179511873</v>
      </c>
      <c r="P21" s="133">
        <f>$N21*(Table!$AE$10/Table!$AE$9)/(Table!$AC$12-Table!$AC$13)</f>
        <v>1.3419509854104703</v>
      </c>
      <c r="Q21" s="133">
        <f>'Raw Data'!C21</f>
        <v>0</v>
      </c>
      <c r="R21" s="133">
        <f>'Raw Data'!C21/'Raw Data'!I$23*100</f>
        <v>0</v>
      </c>
      <c r="S21" s="157">
        <f t="shared" si="7"/>
        <v>0</v>
      </c>
      <c r="T21" s="157">
        <f t="shared" si="8"/>
        <v>1</v>
      </c>
      <c r="U21" s="26">
        <f t="shared" si="9"/>
        <v>0</v>
      </c>
      <c r="V21" s="26">
        <f t="shared" si="10"/>
        <v>0</v>
      </c>
      <c r="W21" s="26">
        <f t="shared" si="11"/>
        <v>0</v>
      </c>
      <c r="X21" s="138">
        <f t="shared" si="12"/>
        <v>0</v>
      </c>
      <c r="AN21" s="3">
        <f>$E55</f>
        <v>2.6655863501611243</v>
      </c>
      <c r="AO21" s="102">
        <f>$B55</f>
        <v>0.50160345510753557</v>
      </c>
      <c r="AP21" s="102">
        <f t="shared" si="0"/>
        <v>0.31248254866894276</v>
      </c>
      <c r="AR21" s="92">
        <v>2.3818202604521379</v>
      </c>
      <c r="AS21" s="18"/>
      <c r="AT21" s="18"/>
      <c r="AU21" s="2"/>
      <c r="AV21" s="120"/>
    </row>
    <row r="22" spans="1:48" ht="12.4" customHeight="1" x14ac:dyDescent="0.2">
      <c r="A22" s="133">
        <f>'Raw Data'!A22</f>
        <v>2.1601700782775879</v>
      </c>
      <c r="B22" s="84">
        <f>'Raw Data'!E22</f>
        <v>0</v>
      </c>
      <c r="C22" s="84">
        <f t="shared" si="1"/>
        <v>1</v>
      </c>
      <c r="D22" s="97">
        <f t="shared" si="2"/>
        <v>0</v>
      </c>
      <c r="E22" s="87">
        <f>(2*Table!$AC$16*0.147)/A22</f>
        <v>50.56559122021995</v>
      </c>
      <c r="F22" s="87">
        <f t="shared" si="3"/>
        <v>101.1311824404399</v>
      </c>
      <c r="G22" s="133">
        <f>IF((('Raw Data'!C22)/('Raw Data'!C$136)*100)&lt;0,0,('Raw Data'!C22)/('Raw Data'!C$136)*100)</f>
        <v>0</v>
      </c>
      <c r="H22" s="133">
        <f t="shared" si="4"/>
        <v>0</v>
      </c>
      <c r="I22" s="49">
        <f t="shared" si="5"/>
        <v>3.270697514928278E-2</v>
      </c>
      <c r="J22" s="87">
        <f>'Raw Data'!F22/I22</f>
        <v>0</v>
      </c>
      <c r="K22" s="127">
        <f t="shared" si="6"/>
        <v>2.073054495585298E-2</v>
      </c>
      <c r="L22" s="133">
        <f>A22*Table!$AC$9/$AC$16</f>
        <v>0.40699613123025358</v>
      </c>
      <c r="M22" s="133">
        <f>A22*Table!$AD$9/$AC$16</f>
        <v>0.13954153070751552</v>
      </c>
      <c r="N22" s="133">
        <f>ABS(A22*Table!$AE$9/$AC$16)</f>
        <v>0.17623449444369235</v>
      </c>
      <c r="O22" s="133">
        <f>($L22*(Table!$AC$10/Table!$AC$9)/(Table!$AC$12-Table!$AC$14))</f>
        <v>0.8730075744964686</v>
      </c>
      <c r="P22" s="133">
        <f>$N22*(Table!$AE$10/Table!$AE$9)/(Table!$AC$12-Table!$AC$13)</f>
        <v>1.4469170315574083</v>
      </c>
      <c r="Q22" s="133">
        <f>'Raw Data'!C22</f>
        <v>0</v>
      </c>
      <c r="R22" s="133">
        <f>'Raw Data'!C22/'Raw Data'!I$23*100</f>
        <v>0</v>
      </c>
      <c r="S22" s="157">
        <f t="shared" si="7"/>
        <v>0</v>
      </c>
      <c r="T22" s="157">
        <f t="shared" si="8"/>
        <v>1</v>
      </c>
      <c r="U22" s="26">
        <f t="shared" si="9"/>
        <v>0</v>
      </c>
      <c r="V22" s="26">
        <f t="shared" si="10"/>
        <v>0</v>
      </c>
      <c r="W22" s="26">
        <f t="shared" si="11"/>
        <v>0</v>
      </c>
      <c r="X22" s="138">
        <f t="shared" si="12"/>
        <v>0</v>
      </c>
      <c r="AN22" s="3">
        <f>$E47</f>
        <v>5.3896153798000288</v>
      </c>
      <c r="AO22" s="102">
        <f>$B47</f>
        <v>0.18912090643859283</v>
      </c>
      <c r="AP22" s="102">
        <f t="shared" si="0"/>
        <v>0.18801322201253698</v>
      </c>
      <c r="AR22" s="92">
        <v>4.9092259390712378</v>
      </c>
      <c r="AS22" s="18"/>
      <c r="AT22" s="18"/>
      <c r="AU22" s="2"/>
      <c r="AV22" s="120"/>
    </row>
    <row r="23" spans="1:48" ht="12.4" customHeight="1" x14ac:dyDescent="0.2">
      <c r="A23" s="133">
        <f>'Raw Data'!A23</f>
        <v>2.3577313423156738</v>
      </c>
      <c r="B23" s="84">
        <f>'Raw Data'!E23</f>
        <v>0</v>
      </c>
      <c r="C23" s="84">
        <f t="shared" si="1"/>
        <v>1</v>
      </c>
      <c r="D23" s="97">
        <f t="shared" si="2"/>
        <v>0</v>
      </c>
      <c r="E23" s="87">
        <f>(2*Table!$AC$16*0.147)/A23</f>
        <v>46.328551172863165</v>
      </c>
      <c r="F23" s="87">
        <f t="shared" si="3"/>
        <v>92.657102345726329</v>
      </c>
      <c r="G23" s="133">
        <f>IF((('Raw Data'!C23)/('Raw Data'!C$136)*100)&lt;0,0,('Raw Data'!C23)/('Raw Data'!C$136)*100)</f>
        <v>0</v>
      </c>
      <c r="H23" s="133">
        <f t="shared" si="4"/>
        <v>0</v>
      </c>
      <c r="I23" s="49">
        <f t="shared" si="5"/>
        <v>3.8006370663259625E-2</v>
      </c>
      <c r="J23" s="87">
        <f>'Raw Data'!F23/I23</f>
        <v>0</v>
      </c>
      <c r="K23" s="127">
        <f t="shared" si="6"/>
        <v>2.2626484866724385E-2</v>
      </c>
      <c r="L23" s="133">
        <f>A23*Table!$AC$9/$AC$16</f>
        <v>0.44421851059427653</v>
      </c>
      <c r="M23" s="133">
        <f>A23*Table!$AD$9/$AC$16</f>
        <v>0.15230348934660912</v>
      </c>
      <c r="N23" s="133">
        <f>ABS(A23*Table!$AE$9/$AC$16)</f>
        <v>0.19235225750296517</v>
      </c>
      <c r="O23" s="133">
        <f>($L23*(Table!$AC$10/Table!$AC$9)/(Table!$AC$12-Table!$AC$14))</f>
        <v>0.95284965807438138</v>
      </c>
      <c r="P23" s="133">
        <f>$N23*(Table!$AE$10/Table!$AE$9)/(Table!$AC$12-Table!$AC$13)</f>
        <v>1.5792467775284493</v>
      </c>
      <c r="Q23" s="133">
        <f>'Raw Data'!C23</f>
        <v>0</v>
      </c>
      <c r="R23" s="133">
        <f>'Raw Data'!C23/'Raw Data'!I$23*100</f>
        <v>0</v>
      </c>
      <c r="S23" s="157">
        <f t="shared" si="7"/>
        <v>0</v>
      </c>
      <c r="T23" s="157">
        <f t="shared" si="8"/>
        <v>1</v>
      </c>
      <c r="U23" s="26">
        <f t="shared" si="9"/>
        <v>0</v>
      </c>
      <c r="V23" s="26">
        <f t="shared" si="10"/>
        <v>0</v>
      </c>
      <c r="W23" s="26">
        <f t="shared" si="11"/>
        <v>0</v>
      </c>
      <c r="X23" s="138">
        <f t="shared" si="12"/>
        <v>0</v>
      </c>
      <c r="AN23" s="3">
        <f>$E42</f>
        <v>8.4747626031927741</v>
      </c>
      <c r="AO23" s="102">
        <f>$B42</f>
        <v>1.107684426055866E-3</v>
      </c>
      <c r="AP23" s="102">
        <f t="shared" si="0"/>
        <v>1.107684426055866E-3</v>
      </c>
      <c r="AR23" s="92">
        <v>7.6545393934362336</v>
      </c>
      <c r="AS23" s="18"/>
      <c r="AT23" s="18"/>
      <c r="AU23" s="2"/>
      <c r="AV23" s="120"/>
    </row>
    <row r="24" spans="1:48" ht="12.4" customHeight="1" x14ac:dyDescent="0.2">
      <c r="A24" s="133">
        <f>'Raw Data'!A24</f>
        <v>2.5686178207397461</v>
      </c>
      <c r="B24" s="84">
        <f>'Raw Data'!E24</f>
        <v>0</v>
      </c>
      <c r="C24" s="84">
        <f t="shared" si="1"/>
        <v>1</v>
      </c>
      <c r="D24" s="97">
        <f t="shared" si="2"/>
        <v>0</v>
      </c>
      <c r="E24" s="87">
        <f>(2*Table!$AC$16*0.147)/A24</f>
        <v>42.524923817929988</v>
      </c>
      <c r="F24" s="87">
        <f t="shared" si="3"/>
        <v>85.049847635859976</v>
      </c>
      <c r="G24" s="133">
        <f>IF((('Raw Data'!C24)/('Raw Data'!C$136)*100)&lt;0,0,('Raw Data'!C24)/('Raw Data'!C$136)*100)</f>
        <v>0</v>
      </c>
      <c r="H24" s="133">
        <f t="shared" si="4"/>
        <v>0</v>
      </c>
      <c r="I24" s="49">
        <f t="shared" si="5"/>
        <v>3.7205174516762307E-2</v>
      </c>
      <c r="J24" s="87">
        <f>'Raw Data'!F24/I24</f>
        <v>0</v>
      </c>
      <c r="K24" s="127">
        <f t="shared" si="6"/>
        <v>2.4650303113960544E-2</v>
      </c>
      <c r="L24" s="133">
        <f>A24*Table!$AC$9/$AC$16</f>
        <v>0.48395148426633405</v>
      </c>
      <c r="M24" s="133">
        <f>A24*Table!$AD$9/$AC$16</f>
        <v>0.16592622317702882</v>
      </c>
      <c r="N24" s="133">
        <f>ABS(A24*Table!$AE$9/$AC$16)</f>
        <v>0.2095571397869152</v>
      </c>
      <c r="O24" s="133">
        <f>($L24*(Table!$AC$10/Table!$AC$9)/(Table!$AC$12-Table!$AC$14))</f>
        <v>1.0380769718282585</v>
      </c>
      <c r="P24" s="133">
        <f>$N24*(Table!$AE$10/Table!$AE$9)/(Table!$AC$12-Table!$AC$13)</f>
        <v>1.7205019686938847</v>
      </c>
      <c r="Q24" s="133">
        <f>'Raw Data'!C24</f>
        <v>0</v>
      </c>
      <c r="R24" s="133">
        <f>'Raw Data'!C24/'Raw Data'!I$23*100</f>
        <v>0</v>
      </c>
      <c r="S24" s="157">
        <f t="shared" si="7"/>
        <v>0</v>
      </c>
      <c r="T24" s="157">
        <f t="shared" si="8"/>
        <v>1</v>
      </c>
      <c r="U24" s="26">
        <f t="shared" si="9"/>
        <v>0</v>
      </c>
      <c r="V24" s="26">
        <f t="shared" si="10"/>
        <v>0</v>
      </c>
      <c r="W24" s="26">
        <f t="shared" si="11"/>
        <v>0</v>
      </c>
      <c r="X24" s="138">
        <f t="shared" si="12"/>
        <v>0</v>
      </c>
      <c r="AN24" s="98">
        <f>$E39</f>
        <v>11.045986921147863</v>
      </c>
      <c r="AO24" s="102">
        <f>$B39</f>
        <v>0</v>
      </c>
      <c r="AP24" s="102">
        <f t="shared" si="0"/>
        <v>0</v>
      </c>
      <c r="AR24" s="13">
        <v>10.01194107647434</v>
      </c>
      <c r="AS24" s="18"/>
      <c r="AT24" s="18"/>
      <c r="AU24" s="2"/>
      <c r="AV24" s="120"/>
    </row>
    <row r="25" spans="1:48" ht="12.4" customHeight="1" x14ac:dyDescent="0.2">
      <c r="A25" s="133">
        <f>'Raw Data'!A25</f>
        <v>2.8085479736328125</v>
      </c>
      <c r="B25" s="84">
        <f>'Raw Data'!E25</f>
        <v>0</v>
      </c>
      <c r="C25" s="84">
        <f t="shared" si="1"/>
        <v>1</v>
      </c>
      <c r="D25" s="97">
        <f t="shared" si="2"/>
        <v>0</v>
      </c>
      <c r="E25" s="87">
        <f>(2*Table!$AC$16*0.147)/A25</f>
        <v>38.892081662770181</v>
      </c>
      <c r="F25" s="87">
        <f t="shared" si="3"/>
        <v>77.784163325540362</v>
      </c>
      <c r="G25" s="133">
        <f>IF((('Raw Data'!C25)/('Raw Data'!C$136)*100)&lt;0,0,('Raw Data'!C25)/('Raw Data'!C$136)*100)</f>
        <v>0</v>
      </c>
      <c r="H25" s="133">
        <f t="shared" si="4"/>
        <v>0</v>
      </c>
      <c r="I25" s="49">
        <f t="shared" si="5"/>
        <v>3.8782355279509462E-2</v>
      </c>
      <c r="J25" s="87">
        <f>'Raw Data'!F25/I25</f>
        <v>0</v>
      </c>
      <c r="K25" s="127">
        <f t="shared" si="6"/>
        <v>2.6952845340070964E-2</v>
      </c>
      <c r="L25" s="133">
        <f>A25*Table!$AC$9/$AC$16</f>
        <v>0.52915655629974678</v>
      </c>
      <c r="M25" s="133">
        <f>A25*Table!$AD$9/$AC$16</f>
        <v>0.18142510501705605</v>
      </c>
      <c r="N25" s="133">
        <f>ABS(A25*Table!$AE$9/$AC$16)</f>
        <v>0.22913151016733566</v>
      </c>
      <c r="O25" s="133">
        <f>($L25*(Table!$AC$10/Table!$AC$9)/(Table!$AC$12-Table!$AC$14))</f>
        <v>1.1350419483049052</v>
      </c>
      <c r="P25" s="133">
        <f>$N25*(Table!$AE$10/Table!$AE$9)/(Table!$AC$12-Table!$AC$13)</f>
        <v>1.881211085117698</v>
      </c>
      <c r="Q25" s="133">
        <f>'Raw Data'!C25</f>
        <v>0</v>
      </c>
      <c r="R25" s="133">
        <f>'Raw Data'!C25/'Raw Data'!I$23*100</f>
        <v>0</v>
      </c>
      <c r="S25" s="157">
        <f t="shared" si="7"/>
        <v>0</v>
      </c>
      <c r="T25" s="157">
        <f t="shared" si="8"/>
        <v>1</v>
      </c>
      <c r="U25" s="26">
        <f t="shared" si="9"/>
        <v>0</v>
      </c>
      <c r="V25" s="26">
        <f t="shared" si="10"/>
        <v>0</v>
      </c>
      <c r="W25" s="26">
        <f t="shared" si="11"/>
        <v>0</v>
      </c>
      <c r="X25" s="138">
        <f t="shared" si="12"/>
        <v>0</v>
      </c>
      <c r="AN25" s="98">
        <f>$E29</f>
        <v>26.987923271319225</v>
      </c>
      <c r="AO25" s="102">
        <f>$B29</f>
        <v>0</v>
      </c>
      <c r="AP25" s="102">
        <f t="shared" si="0"/>
        <v>0</v>
      </c>
      <c r="AR25" s="13">
        <v>23.954008145687514</v>
      </c>
      <c r="AS25" s="18"/>
      <c r="AT25" s="18"/>
      <c r="AU25" s="2"/>
      <c r="AV25" s="120"/>
    </row>
    <row r="26" spans="1:48" ht="12.4" customHeight="1" x14ac:dyDescent="0.2">
      <c r="A26" s="133">
        <f>'Raw Data'!A26</f>
        <v>3.092841625213623</v>
      </c>
      <c r="B26" s="84">
        <f>'Raw Data'!E26</f>
        <v>0</v>
      </c>
      <c r="C26" s="84">
        <f t="shared" si="1"/>
        <v>1</v>
      </c>
      <c r="D26" s="97">
        <f t="shared" si="2"/>
        <v>0</v>
      </c>
      <c r="E26" s="87">
        <f>(2*Table!$AC$16*0.147)/A26</f>
        <v>35.317125925188783</v>
      </c>
      <c r="F26" s="87">
        <f t="shared" si="3"/>
        <v>70.634251850377566</v>
      </c>
      <c r="G26" s="133">
        <f>IF((('Raw Data'!C26)/('Raw Data'!C$136)*100)&lt;0,0,('Raw Data'!C26)/('Raw Data'!C$136)*100)</f>
        <v>0</v>
      </c>
      <c r="H26" s="133">
        <f t="shared" si="4"/>
        <v>0</v>
      </c>
      <c r="I26" s="49">
        <f t="shared" si="5"/>
        <v>4.1875835117709315E-2</v>
      </c>
      <c r="J26" s="87">
        <f>'Raw Data'!F26/I26</f>
        <v>0</v>
      </c>
      <c r="K26" s="127">
        <f t="shared" si="6"/>
        <v>2.9681131591243758E-2</v>
      </c>
      <c r="L26" s="133">
        <f>A26*Table!$AC$9/$AC$16</f>
        <v>0.58272012404389872</v>
      </c>
      <c r="M26" s="133">
        <f>A26*Table!$AD$9/$AC$16</f>
        <v>0.19978975681505098</v>
      </c>
      <c r="N26" s="133">
        <f>ABS(A26*Table!$AE$9/$AC$16)</f>
        <v>0.25232521535921781</v>
      </c>
      <c r="O26" s="133">
        <f>($L26*(Table!$AC$10/Table!$AC$9)/(Table!$AC$12-Table!$AC$14))</f>
        <v>1.2499359160100789</v>
      </c>
      <c r="P26" s="133">
        <f>$N26*(Table!$AE$10/Table!$AE$9)/(Table!$AC$12-Table!$AC$13)</f>
        <v>2.0716355940822475</v>
      </c>
      <c r="Q26" s="133">
        <f>'Raw Data'!C26</f>
        <v>0</v>
      </c>
      <c r="R26" s="133">
        <f>'Raw Data'!C26/'Raw Data'!I$23*100</f>
        <v>0</v>
      </c>
      <c r="S26" s="157">
        <f t="shared" si="7"/>
        <v>0</v>
      </c>
      <c r="T26" s="157">
        <f t="shared" si="8"/>
        <v>1</v>
      </c>
      <c r="U26" s="26">
        <f t="shared" si="9"/>
        <v>0</v>
      </c>
      <c r="V26" s="26">
        <f t="shared" si="10"/>
        <v>0</v>
      </c>
      <c r="W26" s="26">
        <f t="shared" si="11"/>
        <v>0</v>
      </c>
      <c r="X26" s="138">
        <f t="shared" si="12"/>
        <v>0</v>
      </c>
      <c r="AN26" s="98">
        <f>$E21</f>
        <v>54.520780522342882</v>
      </c>
      <c r="AO26" s="102">
        <f>$B22</f>
        <v>0</v>
      </c>
      <c r="AP26" s="102">
        <f t="shared" si="0"/>
        <v>0</v>
      </c>
      <c r="AR26" s="13">
        <v>51.76790385987443</v>
      </c>
      <c r="AS26" s="18"/>
      <c r="AT26" s="18"/>
      <c r="AU26" s="2"/>
      <c r="AV26" s="120"/>
    </row>
    <row r="27" spans="1:48" ht="12.4" customHeight="1" x14ac:dyDescent="0.2">
      <c r="A27" s="133">
        <f>'Raw Data'!A27</f>
        <v>3.3805665969848633</v>
      </c>
      <c r="B27" s="84">
        <f>'Raw Data'!E27</f>
        <v>0</v>
      </c>
      <c r="C27" s="84">
        <f t="shared" si="1"/>
        <v>1</v>
      </c>
      <c r="D27" s="97">
        <f t="shared" si="2"/>
        <v>0</v>
      </c>
      <c r="E27" s="87">
        <f>(2*Table!$AC$16*0.147)/A27</f>
        <v>32.311233638100141</v>
      </c>
      <c r="F27" s="87">
        <f t="shared" si="3"/>
        <v>64.622467276200283</v>
      </c>
      <c r="G27" s="133">
        <f>IF((('Raw Data'!C27)/('Raw Data'!C$136)*100)&lt;0,0,('Raw Data'!C27)/('Raw Data'!C$136)*100)</f>
        <v>0</v>
      </c>
      <c r="H27" s="133">
        <f t="shared" si="4"/>
        <v>0</v>
      </c>
      <c r="I27" s="49">
        <f t="shared" si="5"/>
        <v>3.8631814230125627E-2</v>
      </c>
      <c r="J27" s="87">
        <f>'Raw Data'!F27/I27</f>
        <v>0</v>
      </c>
      <c r="K27" s="127">
        <f t="shared" si="6"/>
        <v>3.2442347257642203E-2</v>
      </c>
      <c r="L27" s="133">
        <f>A27*Table!$AC$9/$AC$16</f>
        <v>0.63693018442145977</v>
      </c>
      <c r="M27" s="133">
        <f>A27*Table!$AD$9/$AC$16</f>
        <v>0.21837606323021477</v>
      </c>
      <c r="N27" s="133">
        <f>ABS(A27*Table!$AE$9/$AC$16)</f>
        <v>0.27579886007304583</v>
      </c>
      <c r="O27" s="133">
        <f>($L27*(Table!$AC$10/Table!$AC$9)/(Table!$AC$12-Table!$AC$14))</f>
        <v>1.3662166118006431</v>
      </c>
      <c r="P27" s="133">
        <f>$N27*(Table!$AE$10/Table!$AE$9)/(Table!$AC$12-Table!$AC$13)</f>
        <v>2.2643584570857613</v>
      </c>
      <c r="Q27" s="133">
        <f>'Raw Data'!C27</f>
        <v>0</v>
      </c>
      <c r="R27" s="133">
        <f>'Raw Data'!C27/'Raw Data'!I$23*100</f>
        <v>0</v>
      </c>
      <c r="S27" s="157">
        <f t="shared" si="7"/>
        <v>0</v>
      </c>
      <c r="T27" s="157">
        <f t="shared" si="8"/>
        <v>1</v>
      </c>
      <c r="U27" s="26">
        <f t="shared" si="9"/>
        <v>0</v>
      </c>
      <c r="V27" s="26">
        <f t="shared" si="10"/>
        <v>0</v>
      </c>
      <c r="W27" s="26">
        <f t="shared" si="11"/>
        <v>0</v>
      </c>
      <c r="X27" s="138">
        <f t="shared" si="12"/>
        <v>0</v>
      </c>
      <c r="AN27" s="98">
        <f>$E18</f>
        <v>72.286537145508575</v>
      </c>
      <c r="AO27" s="102">
        <f>$B18</f>
        <v>0</v>
      </c>
      <c r="AP27" s="102">
        <f t="shared" si="0"/>
        <v>0</v>
      </c>
      <c r="AR27" s="13">
        <v>72.33793188366559</v>
      </c>
      <c r="AS27" s="18"/>
      <c r="AT27" s="18"/>
      <c r="AU27" s="2"/>
      <c r="AV27" s="120"/>
    </row>
    <row r="28" spans="1:48" ht="12.4" customHeight="1" x14ac:dyDescent="0.2">
      <c r="A28" s="133">
        <f>'Raw Data'!A28</f>
        <v>3.7120962142944336</v>
      </c>
      <c r="B28" s="84">
        <f>'Raw Data'!E28</f>
        <v>0</v>
      </c>
      <c r="C28" s="84">
        <f t="shared" si="1"/>
        <v>1</v>
      </c>
      <c r="D28" s="97">
        <f t="shared" si="2"/>
        <v>0</v>
      </c>
      <c r="E28" s="87">
        <f>(2*Table!$AC$16*0.147)/A28</f>
        <v>29.42549730357587</v>
      </c>
      <c r="F28" s="87">
        <f t="shared" si="3"/>
        <v>58.85099460715174</v>
      </c>
      <c r="G28" s="133">
        <f>IF((('Raw Data'!C28)/('Raw Data'!C$136)*100)&lt;0,0,('Raw Data'!C28)/('Raw Data'!C$136)*100)</f>
        <v>0</v>
      </c>
      <c r="H28" s="133">
        <f t="shared" si="4"/>
        <v>0</v>
      </c>
      <c r="I28" s="49">
        <f t="shared" si="5"/>
        <v>4.062972829172895E-2</v>
      </c>
      <c r="J28" s="87">
        <f>'Raw Data'!F28/I28</f>
        <v>0</v>
      </c>
      <c r="K28" s="127">
        <f t="shared" si="6"/>
        <v>3.5623943792537645E-2</v>
      </c>
      <c r="L28" s="133">
        <f>A28*Table!$AC$9/$AC$16</f>
        <v>0.69939344737936027</v>
      </c>
      <c r="M28" s="133">
        <f>A28*Table!$AD$9/$AC$16</f>
        <v>0.23979203910149496</v>
      </c>
      <c r="N28" s="133">
        <f>ABS(A28*Table!$AE$9/$AC$16)</f>
        <v>0.30284624633545054</v>
      </c>
      <c r="O28" s="133">
        <f>($L28*(Table!$AC$10/Table!$AC$9)/(Table!$AC$12-Table!$AC$14))</f>
        <v>1.5002004448291728</v>
      </c>
      <c r="P28" s="133">
        <f>$N28*(Table!$AE$10/Table!$AE$9)/(Table!$AC$12-Table!$AC$13)</f>
        <v>2.4864223837064898</v>
      </c>
      <c r="Q28" s="133">
        <f>'Raw Data'!C28</f>
        <v>0</v>
      </c>
      <c r="R28" s="133">
        <f>'Raw Data'!C28/'Raw Data'!I$23*100</f>
        <v>0</v>
      </c>
      <c r="S28" s="157">
        <f t="shared" si="7"/>
        <v>0</v>
      </c>
      <c r="T28" s="157">
        <f t="shared" si="8"/>
        <v>1</v>
      </c>
      <c r="U28" s="26">
        <f t="shared" si="9"/>
        <v>0</v>
      </c>
      <c r="V28" s="26">
        <f t="shared" si="10"/>
        <v>0</v>
      </c>
      <c r="W28" s="26">
        <f t="shared" si="11"/>
        <v>0</v>
      </c>
      <c r="X28" s="138">
        <f t="shared" si="12"/>
        <v>0</v>
      </c>
      <c r="AN28" s="17"/>
      <c r="AO28" s="102"/>
      <c r="AP28" s="102"/>
      <c r="AS28" s="18"/>
      <c r="AT28" s="18"/>
      <c r="AU28" s="120"/>
      <c r="AV28" s="120"/>
    </row>
    <row r="29" spans="1:48" ht="12.4" customHeight="1" x14ac:dyDescent="0.2">
      <c r="A29" s="133">
        <f>'Raw Data'!A29</f>
        <v>4.0473761558532715</v>
      </c>
      <c r="B29" s="84">
        <f>'Raw Data'!E29</f>
        <v>0</v>
      </c>
      <c r="C29" s="84">
        <f t="shared" si="1"/>
        <v>1</v>
      </c>
      <c r="D29" s="97">
        <f t="shared" si="2"/>
        <v>0</v>
      </c>
      <c r="E29" s="87">
        <f>(2*Table!$AC$16*0.147)/A29</f>
        <v>26.987923271319225</v>
      </c>
      <c r="F29" s="87">
        <f t="shared" si="3"/>
        <v>53.97584654263845</v>
      </c>
      <c r="G29" s="133">
        <f>IF((('Raw Data'!C29)/('Raw Data'!C$136)*100)&lt;0,0,('Raw Data'!C29)/('Raw Data'!C$136)*100)</f>
        <v>0</v>
      </c>
      <c r="H29" s="133">
        <f t="shared" si="4"/>
        <v>0</v>
      </c>
      <c r="I29" s="49">
        <f t="shared" si="5"/>
        <v>3.7554344587883204E-2</v>
      </c>
      <c r="J29" s="87">
        <f>'Raw Data'!F29/I29</f>
        <v>0</v>
      </c>
      <c r="K29" s="127">
        <f t="shared" si="6"/>
        <v>3.884153113493026E-2</v>
      </c>
      <c r="L29" s="133">
        <f>A29*Table!$AC$9/$AC$16</f>
        <v>0.76256330630193048</v>
      </c>
      <c r="M29" s="133">
        <f>A29*Table!$AD$9/$AC$16</f>
        <v>0.26145027644637614</v>
      </c>
      <c r="N29" s="133">
        <f>ABS(A29*Table!$AE$9/$AC$16)</f>
        <v>0.33019959762566298</v>
      </c>
      <c r="O29" s="133">
        <f>($L29*(Table!$AC$10/Table!$AC$9)/(Table!$AC$12-Table!$AC$14))</f>
        <v>1.635699927717569</v>
      </c>
      <c r="P29" s="133">
        <f>$N29*(Table!$AE$10/Table!$AE$9)/(Table!$AC$12-Table!$AC$13)</f>
        <v>2.7109983384701386</v>
      </c>
      <c r="Q29" s="133">
        <f>'Raw Data'!C29</f>
        <v>0</v>
      </c>
      <c r="R29" s="133">
        <f>'Raw Data'!C29/'Raw Data'!I$23*100</f>
        <v>0</v>
      </c>
      <c r="S29" s="157">
        <f t="shared" si="7"/>
        <v>0</v>
      </c>
      <c r="T29" s="157">
        <f t="shared" si="8"/>
        <v>1</v>
      </c>
      <c r="U29" s="26">
        <f t="shared" si="9"/>
        <v>0</v>
      </c>
      <c r="V29" s="26">
        <f t="shared" si="10"/>
        <v>0</v>
      </c>
      <c r="W29" s="26">
        <f t="shared" si="11"/>
        <v>0</v>
      </c>
      <c r="X29" s="138">
        <f t="shared" si="12"/>
        <v>0</v>
      </c>
      <c r="AS29" s="18"/>
      <c r="AT29" s="18"/>
    </row>
    <row r="30" spans="1:48" ht="12.4" customHeight="1" x14ac:dyDescent="0.2">
      <c r="A30" s="133">
        <f>'Raw Data'!A30</f>
        <v>4.4245462417602539</v>
      </c>
      <c r="B30" s="84">
        <f>'Raw Data'!E30</f>
        <v>0</v>
      </c>
      <c r="C30" s="84">
        <f t="shared" si="1"/>
        <v>1</v>
      </c>
      <c r="D30" s="97">
        <f t="shared" si="2"/>
        <v>0</v>
      </c>
      <c r="E30" s="87">
        <f>(2*Table!$AC$16*0.147)/A30</f>
        <v>24.687339938587478</v>
      </c>
      <c r="F30" s="87">
        <f t="shared" si="3"/>
        <v>49.374679877174955</v>
      </c>
      <c r="G30" s="133">
        <f>IF((('Raw Data'!C30)/('Raw Data'!C$136)*100)&lt;0,0,('Raw Data'!C30)/('Raw Data'!C$136)*100)</f>
        <v>0</v>
      </c>
      <c r="H30" s="133">
        <f t="shared" si="4"/>
        <v>0</v>
      </c>
      <c r="I30" s="49">
        <f t="shared" si="5"/>
        <v>3.8695169540352126E-2</v>
      </c>
      <c r="J30" s="87">
        <f>'Raw Data'!F30/I30</f>
        <v>0</v>
      </c>
      <c r="K30" s="127">
        <f t="shared" si="6"/>
        <v>4.2461126416118523E-2</v>
      </c>
      <c r="L30" s="133">
        <f>A30*Table!$AC$9/$AC$16</f>
        <v>0.83362565797672217</v>
      </c>
      <c r="M30" s="133">
        <f>A30*Table!$AD$9/$AC$16</f>
        <v>0.28581451130630475</v>
      </c>
      <c r="N30" s="133">
        <f>ABS(A30*Table!$AE$9/$AC$16)</f>
        <v>0.36097049852717955</v>
      </c>
      <c r="O30" s="133">
        <f>($L30*(Table!$AC$10/Table!$AC$9)/(Table!$AC$12-Table!$AC$14))</f>
        <v>1.788128824488894</v>
      </c>
      <c r="P30" s="133">
        <f>$N30*(Table!$AE$10/Table!$AE$9)/(Table!$AC$12-Table!$AC$13)</f>
        <v>2.9636329928339857</v>
      </c>
      <c r="Q30" s="133">
        <f>'Raw Data'!C30</f>
        <v>0</v>
      </c>
      <c r="R30" s="133">
        <f>'Raw Data'!C30/'Raw Data'!I$23*100</f>
        <v>0</v>
      </c>
      <c r="S30" s="157">
        <f t="shared" si="7"/>
        <v>0</v>
      </c>
      <c r="T30" s="157">
        <f t="shared" si="8"/>
        <v>1</v>
      </c>
      <c r="U30" s="26">
        <f t="shared" si="9"/>
        <v>0</v>
      </c>
      <c r="V30" s="26">
        <f t="shared" si="10"/>
        <v>0</v>
      </c>
      <c r="W30" s="26">
        <f t="shared" si="11"/>
        <v>0</v>
      </c>
      <c r="X30" s="138">
        <f t="shared" si="12"/>
        <v>0</v>
      </c>
      <c r="AS30" s="18"/>
      <c r="AT30" s="18"/>
    </row>
    <row r="31" spans="1:48" ht="12.4" customHeight="1" x14ac:dyDescent="0.2">
      <c r="A31" s="133">
        <f>'Raw Data'!A31</f>
        <v>4.8120889663696289</v>
      </c>
      <c r="B31" s="84">
        <f>'Raw Data'!E31</f>
        <v>0</v>
      </c>
      <c r="C31" s="84">
        <f t="shared" si="1"/>
        <v>1</v>
      </c>
      <c r="D31" s="97">
        <f t="shared" si="2"/>
        <v>0</v>
      </c>
      <c r="E31" s="87">
        <f>(2*Table!$AC$16*0.147)/A31</f>
        <v>22.699139169644518</v>
      </c>
      <c r="F31" s="87">
        <f t="shared" si="3"/>
        <v>45.398278339289035</v>
      </c>
      <c r="G31" s="133">
        <f>IF((('Raw Data'!C31)/('Raw Data'!C$136)*100)&lt;0,0,('Raw Data'!C31)/('Raw Data'!C$136)*100)</f>
        <v>0</v>
      </c>
      <c r="H31" s="133">
        <f t="shared" si="4"/>
        <v>0</v>
      </c>
      <c r="I31" s="49">
        <f t="shared" si="5"/>
        <v>3.6464909665807177E-2</v>
      </c>
      <c r="J31" s="87">
        <f>'Raw Data'!F31/I31</f>
        <v>0</v>
      </c>
      <c r="K31" s="127">
        <f t="shared" si="6"/>
        <v>4.6180264994889267E-2</v>
      </c>
      <c r="L31" s="133">
        <f>A31*Table!$AC$9/$AC$16</f>
        <v>0.90664231124330752</v>
      </c>
      <c r="M31" s="133">
        <f>A31*Table!$AD$9/$AC$16</f>
        <v>0.31084879242627683</v>
      </c>
      <c r="N31" s="133">
        <f>ABS(A31*Table!$AE$9/$AC$16)</f>
        <v>0.39258763684127107</v>
      </c>
      <c r="O31" s="133">
        <f>($L31*(Table!$AC$10/Table!$AC$9)/(Table!$AC$12-Table!$AC$14))</f>
        <v>1.9447497023665974</v>
      </c>
      <c r="P31" s="133">
        <f>$N31*(Table!$AE$10/Table!$AE$9)/(Table!$AC$12-Table!$AC$13)</f>
        <v>3.2232154092058374</v>
      </c>
      <c r="Q31" s="133">
        <f>'Raw Data'!C31</f>
        <v>0</v>
      </c>
      <c r="R31" s="133">
        <f>'Raw Data'!C31/'Raw Data'!I$23*100</f>
        <v>0</v>
      </c>
      <c r="S31" s="157">
        <f t="shared" si="7"/>
        <v>0</v>
      </c>
      <c r="T31" s="157">
        <f t="shared" si="8"/>
        <v>1</v>
      </c>
      <c r="U31" s="26">
        <f t="shared" si="9"/>
        <v>0</v>
      </c>
      <c r="V31" s="26">
        <f t="shared" si="10"/>
        <v>0</v>
      </c>
      <c r="W31" s="26">
        <f t="shared" si="11"/>
        <v>0</v>
      </c>
      <c r="X31" s="138">
        <f t="shared" si="12"/>
        <v>0</v>
      </c>
      <c r="AS31" s="18"/>
      <c r="AT31" s="18"/>
    </row>
    <row r="32" spans="1:48" ht="12.4" customHeight="1" x14ac:dyDescent="0.2">
      <c r="A32" s="133">
        <f>'Raw Data'!A32</f>
        <v>5.2726402282714844</v>
      </c>
      <c r="B32" s="84">
        <f>'Raw Data'!E32</f>
        <v>0</v>
      </c>
      <c r="C32" s="84">
        <f t="shared" si="1"/>
        <v>1</v>
      </c>
      <c r="D32" s="97">
        <f t="shared" si="2"/>
        <v>0</v>
      </c>
      <c r="E32" s="87">
        <f>(2*Table!$AC$16*0.147)/A32</f>
        <v>20.716429040360243</v>
      </c>
      <c r="F32" s="87">
        <f t="shared" si="3"/>
        <v>41.432858080720486</v>
      </c>
      <c r="G32" s="133">
        <f>IF((('Raw Data'!C32)/('Raw Data'!C$136)*100)&lt;0,0,('Raw Data'!C32)/('Raw Data'!C$136)*100)</f>
        <v>0</v>
      </c>
      <c r="H32" s="133">
        <f t="shared" si="4"/>
        <v>0</v>
      </c>
      <c r="I32" s="49">
        <f t="shared" si="5"/>
        <v>3.9694490804203619E-2</v>
      </c>
      <c r="J32" s="87">
        <f>'Raw Data'!F32/I32</f>
        <v>0</v>
      </c>
      <c r="K32" s="127">
        <f t="shared" si="6"/>
        <v>5.0600045981275259E-2</v>
      </c>
      <c r="L32" s="133">
        <f>A32*Table!$AC$9/$AC$16</f>
        <v>0.99341445187805044</v>
      </c>
      <c r="M32" s="133">
        <f>A32*Table!$AD$9/$AC$16</f>
        <v>0.34059924064390301</v>
      </c>
      <c r="N32" s="133">
        <f>ABS(A32*Table!$AE$9/$AC$16)</f>
        <v>0.43016107590649272</v>
      </c>
      <c r="O32" s="133">
        <f>($L32*(Table!$AC$10/Table!$AC$9)/(Table!$AC$12-Table!$AC$14))</f>
        <v>2.1308761301545487</v>
      </c>
      <c r="P32" s="133">
        <f>$N32*(Table!$AE$10/Table!$AE$9)/(Table!$AC$12-Table!$AC$13)</f>
        <v>3.5317001305951776</v>
      </c>
      <c r="Q32" s="133">
        <f>'Raw Data'!C32</f>
        <v>0</v>
      </c>
      <c r="R32" s="133">
        <f>'Raw Data'!C32/'Raw Data'!I$23*100</f>
        <v>0</v>
      </c>
      <c r="S32" s="157">
        <f t="shared" si="7"/>
        <v>0</v>
      </c>
      <c r="T32" s="157">
        <f t="shared" si="8"/>
        <v>1</v>
      </c>
      <c r="U32" s="26">
        <f t="shared" si="9"/>
        <v>0</v>
      </c>
      <c r="V32" s="26">
        <f t="shared" si="10"/>
        <v>0</v>
      </c>
      <c r="W32" s="26">
        <f t="shared" si="11"/>
        <v>0</v>
      </c>
      <c r="X32" s="138">
        <f t="shared" si="12"/>
        <v>0</v>
      </c>
      <c r="AS32" s="18"/>
      <c r="AT32" s="18"/>
    </row>
    <row r="33" spans="1:46" ht="12.4" customHeight="1" x14ac:dyDescent="0.2">
      <c r="A33" s="133">
        <f>'Raw Data'!A33</f>
        <v>5.7738046646118164</v>
      </c>
      <c r="B33" s="84">
        <f>'Raw Data'!E33</f>
        <v>0</v>
      </c>
      <c r="C33" s="84">
        <f t="shared" si="1"/>
        <v>1</v>
      </c>
      <c r="D33" s="97">
        <f t="shared" si="2"/>
        <v>0</v>
      </c>
      <c r="E33" s="87">
        <f>(2*Table!$AC$16*0.147)/A33</f>
        <v>18.918249488732712</v>
      </c>
      <c r="F33" s="87">
        <f t="shared" si="3"/>
        <v>37.836498977465425</v>
      </c>
      <c r="G33" s="133">
        <f>IF((('Raw Data'!C33)/('Raw Data'!C$136)*100)&lt;0,0,('Raw Data'!C33)/('Raw Data'!C$136)*100)</f>
        <v>0</v>
      </c>
      <c r="H33" s="133">
        <f t="shared" si="4"/>
        <v>0</v>
      </c>
      <c r="I33" s="49">
        <f t="shared" si="5"/>
        <v>3.9433948216102799E-2</v>
      </c>
      <c r="J33" s="87">
        <f>'Raw Data'!F33/I33</f>
        <v>0</v>
      </c>
      <c r="K33" s="127">
        <f t="shared" si="6"/>
        <v>5.5409580185226452E-2</v>
      </c>
      <c r="L33" s="133">
        <f>A33*Table!$AC$9/$AC$16</f>
        <v>1.0878384922588629</v>
      </c>
      <c r="M33" s="133">
        <f>A33*Table!$AD$9/$AC$16</f>
        <v>0.37297319734589585</v>
      </c>
      <c r="N33" s="133">
        <f>ABS(A33*Table!$AE$9/$AC$16)</f>
        <v>0.47104788475536835</v>
      </c>
      <c r="O33" s="133">
        <f>($L33*(Table!$AC$10/Table!$AC$9)/(Table!$AC$12-Table!$AC$14))</f>
        <v>2.3334158993111607</v>
      </c>
      <c r="P33" s="133">
        <f>$N33*(Table!$AE$10/Table!$AE$9)/(Table!$AC$12-Table!$AC$13)</f>
        <v>3.8673882163823334</v>
      </c>
      <c r="Q33" s="133">
        <f>'Raw Data'!C33</f>
        <v>0</v>
      </c>
      <c r="R33" s="133">
        <f>'Raw Data'!C33/'Raw Data'!I$23*100</f>
        <v>0</v>
      </c>
      <c r="S33" s="157">
        <f t="shared" si="7"/>
        <v>0</v>
      </c>
      <c r="T33" s="157">
        <f t="shared" si="8"/>
        <v>1</v>
      </c>
      <c r="U33" s="26">
        <f t="shared" si="9"/>
        <v>0</v>
      </c>
      <c r="V33" s="26">
        <f t="shared" si="10"/>
        <v>0</v>
      </c>
      <c r="W33" s="26">
        <f t="shared" si="11"/>
        <v>0</v>
      </c>
      <c r="X33" s="138">
        <f t="shared" si="12"/>
        <v>0</v>
      </c>
      <c r="AS33" s="18"/>
      <c r="AT33" s="18"/>
    </row>
    <row r="34" spans="1:46" ht="12.4" customHeight="1" x14ac:dyDescent="0.2">
      <c r="A34" s="133">
        <f>'Raw Data'!A34</f>
        <v>6.3101568222045898</v>
      </c>
      <c r="B34" s="84">
        <f>'Raw Data'!E34</f>
        <v>0</v>
      </c>
      <c r="C34" s="84">
        <f t="shared" si="1"/>
        <v>1</v>
      </c>
      <c r="D34" s="97">
        <f t="shared" si="2"/>
        <v>0</v>
      </c>
      <c r="E34" s="87">
        <f>(2*Table!$AC$16*0.147)/A34</f>
        <v>17.310231777436726</v>
      </c>
      <c r="F34" s="87">
        <f t="shared" si="3"/>
        <v>34.620463554873453</v>
      </c>
      <c r="G34" s="133">
        <f>IF((('Raw Data'!C34)/('Raw Data'!C$136)*100)&lt;0,0,('Raw Data'!C34)/('Raw Data'!C$136)*100)</f>
        <v>0</v>
      </c>
      <c r="H34" s="133">
        <f t="shared" si="4"/>
        <v>0</v>
      </c>
      <c r="I34" s="49">
        <f t="shared" si="5"/>
        <v>3.8578065574225606E-2</v>
      </c>
      <c r="J34" s="87">
        <f>'Raw Data'!F34/I34</f>
        <v>0</v>
      </c>
      <c r="K34" s="127">
        <f t="shared" si="6"/>
        <v>6.0556801057765973E-2</v>
      </c>
      <c r="L34" s="133">
        <f>A34*Table!$AC$9/$AC$16</f>
        <v>1.1888922265515414</v>
      </c>
      <c r="M34" s="133">
        <f>A34*Table!$AD$9/$AC$16</f>
        <v>0.40762019196052851</v>
      </c>
      <c r="N34" s="133">
        <f>ABS(A34*Table!$AE$9/$AC$16)</f>
        <v>0.51480543527773948</v>
      </c>
      <c r="O34" s="133">
        <f>($L34*(Table!$AC$10/Table!$AC$9)/(Table!$AC$12-Table!$AC$14))</f>
        <v>2.5501763761294329</v>
      </c>
      <c r="P34" s="133">
        <f>$N34*(Table!$AE$10/Table!$AE$9)/(Table!$AC$12-Table!$AC$13)</f>
        <v>4.2266456098336569</v>
      </c>
      <c r="Q34" s="133">
        <f>'Raw Data'!C34</f>
        <v>0</v>
      </c>
      <c r="R34" s="133">
        <f>'Raw Data'!C34/'Raw Data'!I$23*100</f>
        <v>0</v>
      </c>
      <c r="S34" s="157">
        <f t="shared" si="7"/>
        <v>0</v>
      </c>
      <c r="T34" s="157">
        <f t="shared" si="8"/>
        <v>1</v>
      </c>
      <c r="U34" s="26">
        <f t="shared" si="9"/>
        <v>0</v>
      </c>
      <c r="V34" s="26">
        <f t="shared" si="10"/>
        <v>0</v>
      </c>
      <c r="W34" s="26">
        <f t="shared" si="11"/>
        <v>0</v>
      </c>
      <c r="X34" s="138">
        <f t="shared" si="12"/>
        <v>0</v>
      </c>
      <c r="AS34" s="18"/>
      <c r="AT34" s="18"/>
    </row>
    <row r="35" spans="1:46" ht="12.4" customHeight="1" x14ac:dyDescent="0.2">
      <c r="A35" s="133">
        <f>'Raw Data'!A35</f>
        <v>6.9004478454589844</v>
      </c>
      <c r="B35" s="84">
        <f>'Raw Data'!E35</f>
        <v>0</v>
      </c>
      <c r="C35" s="84">
        <f t="shared" si="1"/>
        <v>1</v>
      </c>
      <c r="D35" s="97">
        <f t="shared" si="2"/>
        <v>0</v>
      </c>
      <c r="E35" s="87">
        <f>(2*Table!$AC$16*0.147)/A35</f>
        <v>15.829447535962005</v>
      </c>
      <c r="F35" s="87">
        <f t="shared" si="3"/>
        <v>31.658895071924011</v>
      </c>
      <c r="G35" s="133">
        <f>IF((('Raw Data'!C35)/('Raw Data'!C$136)*100)&lt;0,0,('Raw Data'!C35)/('Raw Data'!C$136)*100)</f>
        <v>0</v>
      </c>
      <c r="H35" s="133">
        <f t="shared" si="4"/>
        <v>0</v>
      </c>
      <c r="I35" s="49">
        <f t="shared" si="5"/>
        <v>3.8837125150975593E-2</v>
      </c>
      <c r="J35" s="87">
        <f>'Raw Data'!F35/I35</f>
        <v>0</v>
      </c>
      <c r="K35" s="127">
        <f t="shared" si="6"/>
        <v>6.6221658060307595E-2</v>
      </c>
      <c r="L35" s="133">
        <f>A35*Table!$AC$9/$AC$16</f>
        <v>1.3001085447388792</v>
      </c>
      <c r="M35" s="133">
        <f>A35*Table!$AD$9/$AC$16</f>
        <v>0.44575150105333</v>
      </c>
      <c r="N35" s="133">
        <f>ABS(A35*Table!$AE$9/$AC$16)</f>
        <v>0.56296351371054343</v>
      </c>
      <c r="O35" s="133">
        <f>($L35*(Table!$AC$10/Table!$AC$9)/(Table!$AC$12-Table!$AC$14))</f>
        <v>2.7887356172005133</v>
      </c>
      <c r="P35" s="133">
        <f>$N35*(Table!$AE$10/Table!$AE$9)/(Table!$AC$12-Table!$AC$13)</f>
        <v>4.6220321322704709</v>
      </c>
      <c r="Q35" s="133">
        <f>'Raw Data'!C35</f>
        <v>0</v>
      </c>
      <c r="R35" s="133">
        <f>'Raw Data'!C35/'Raw Data'!I$23*100</f>
        <v>0</v>
      </c>
      <c r="S35" s="157">
        <f t="shared" si="7"/>
        <v>0</v>
      </c>
      <c r="T35" s="157">
        <f t="shared" si="8"/>
        <v>1</v>
      </c>
      <c r="U35" s="26">
        <f t="shared" si="9"/>
        <v>0</v>
      </c>
      <c r="V35" s="26">
        <f t="shared" si="10"/>
        <v>0</v>
      </c>
      <c r="W35" s="26">
        <f t="shared" si="11"/>
        <v>0</v>
      </c>
      <c r="X35" s="138">
        <f t="shared" si="12"/>
        <v>0</v>
      </c>
      <c r="AS35" s="18"/>
      <c r="AT35" s="18"/>
    </row>
    <row r="36" spans="1:46" ht="12.4" customHeight="1" x14ac:dyDescent="0.2">
      <c r="A36" s="133">
        <f>'Raw Data'!A36</f>
        <v>7.549065113067627</v>
      </c>
      <c r="B36" s="84">
        <f>'Raw Data'!E36</f>
        <v>0</v>
      </c>
      <c r="C36" s="84">
        <f t="shared" si="1"/>
        <v>1</v>
      </c>
      <c r="D36" s="97">
        <f t="shared" si="2"/>
        <v>0</v>
      </c>
      <c r="E36" s="87">
        <f>(2*Table!$AC$16*0.147)/A36</f>
        <v>14.469378063153094</v>
      </c>
      <c r="F36" s="87">
        <f t="shared" si="3"/>
        <v>28.938756126306188</v>
      </c>
      <c r="G36" s="133">
        <f>IF((('Raw Data'!C36)/('Raw Data'!C$136)*100)&lt;0,0,('Raw Data'!C36)/('Raw Data'!C$136)*100)</f>
        <v>0</v>
      </c>
      <c r="H36" s="133">
        <f t="shared" si="4"/>
        <v>0</v>
      </c>
      <c r="I36" s="49">
        <f t="shared" si="5"/>
        <v>3.9015893548293601E-2</v>
      </c>
      <c r="J36" s="87">
        <f>'Raw Data'!F36/I36</f>
        <v>0</v>
      </c>
      <c r="K36" s="127">
        <f t="shared" si="6"/>
        <v>7.2446255632747272E-2</v>
      </c>
      <c r="L36" s="133">
        <f>A36*Table!$AC$9/$AC$16</f>
        <v>1.4223140697669565</v>
      </c>
      <c r="M36" s="133">
        <f>A36*Table!$AD$9/$AC$16</f>
        <v>0.48765053820581367</v>
      </c>
      <c r="N36" s="133">
        <f>ABS(A36*Table!$AE$9/$AC$16)</f>
        <v>0.61588005828910841</v>
      </c>
      <c r="O36" s="133">
        <f>($L36*(Table!$AC$10/Table!$AC$9)/(Table!$AC$12-Table!$AC$14))</f>
        <v>3.0508667305168524</v>
      </c>
      <c r="P36" s="133">
        <f>$N36*(Table!$AE$10/Table!$AE$9)/(Table!$AC$12-Table!$AC$13)</f>
        <v>5.056486521257046</v>
      </c>
      <c r="Q36" s="133">
        <f>'Raw Data'!C36</f>
        <v>0</v>
      </c>
      <c r="R36" s="133">
        <f>'Raw Data'!C36/'Raw Data'!I$23*100</f>
        <v>0</v>
      </c>
      <c r="S36" s="157">
        <f t="shared" si="7"/>
        <v>0</v>
      </c>
      <c r="T36" s="157">
        <f t="shared" si="8"/>
        <v>1</v>
      </c>
      <c r="U36" s="26">
        <f t="shared" si="9"/>
        <v>0</v>
      </c>
      <c r="V36" s="26">
        <f t="shared" si="10"/>
        <v>0</v>
      </c>
      <c r="W36" s="26">
        <f t="shared" si="11"/>
        <v>0</v>
      </c>
      <c r="X36" s="138">
        <f t="shared" si="12"/>
        <v>0</v>
      </c>
      <c r="AS36" s="18"/>
      <c r="AT36" s="18"/>
    </row>
    <row r="37" spans="1:46" ht="12.4" customHeight="1" x14ac:dyDescent="0.2">
      <c r="A37" s="133">
        <f>'Raw Data'!A37</f>
        <v>8.2571268081665039</v>
      </c>
      <c r="B37" s="84">
        <f>'Raw Data'!E37</f>
        <v>0</v>
      </c>
      <c r="C37" s="84">
        <f t="shared" si="1"/>
        <v>1</v>
      </c>
      <c r="D37" s="97">
        <f t="shared" si="2"/>
        <v>0</v>
      </c>
      <c r="E37" s="87">
        <f>(2*Table!$AC$16*0.147)/A37</f>
        <v>13.228605988744606</v>
      </c>
      <c r="F37" s="87">
        <f t="shared" si="3"/>
        <v>26.457211977489212</v>
      </c>
      <c r="G37" s="133">
        <f>IF((('Raw Data'!C37)/('Raw Data'!C$136)*100)&lt;0,0,('Raw Data'!C37)/('Raw Data'!C$136)*100)</f>
        <v>0</v>
      </c>
      <c r="H37" s="133">
        <f t="shared" si="4"/>
        <v>0</v>
      </c>
      <c r="I37" s="49">
        <f t="shared" si="5"/>
        <v>3.8935782975475508E-2</v>
      </c>
      <c r="J37" s="87">
        <f>'Raw Data'!F37/I37</f>
        <v>0</v>
      </c>
      <c r="K37" s="127">
        <f t="shared" si="6"/>
        <v>7.9241324664287904E-2</v>
      </c>
      <c r="L37" s="133">
        <f>A37*Table!$AC$9/$AC$16</f>
        <v>1.5557194777371277</v>
      </c>
      <c r="M37" s="133">
        <f>A37*Table!$AD$9/$AC$16</f>
        <v>0.53338953522415811</v>
      </c>
      <c r="N37" s="133">
        <f>ABS(A37*Table!$AE$9/$AC$16)</f>
        <v>0.67364629444130608</v>
      </c>
      <c r="O37" s="133">
        <f>($L37*(Table!$AC$10/Table!$AC$9)/(Table!$AC$12-Table!$AC$14))</f>
        <v>3.3370216167677564</v>
      </c>
      <c r="P37" s="133">
        <f>$N37*(Table!$AE$10/Table!$AE$9)/(Table!$AC$12-Table!$AC$13)</f>
        <v>5.5307577540337105</v>
      </c>
      <c r="Q37" s="133">
        <f>'Raw Data'!C37</f>
        <v>0</v>
      </c>
      <c r="R37" s="133">
        <f>'Raw Data'!C37/'Raw Data'!I$23*100</f>
        <v>0</v>
      </c>
      <c r="S37" s="157">
        <f t="shared" si="7"/>
        <v>0</v>
      </c>
      <c r="T37" s="157">
        <f t="shared" si="8"/>
        <v>1</v>
      </c>
      <c r="U37" s="26">
        <f t="shared" si="9"/>
        <v>0</v>
      </c>
      <c r="V37" s="26">
        <f t="shared" si="10"/>
        <v>0</v>
      </c>
      <c r="W37" s="26">
        <f t="shared" si="11"/>
        <v>0</v>
      </c>
      <c r="X37" s="138">
        <f t="shared" si="12"/>
        <v>0</v>
      </c>
      <c r="AS37" s="18"/>
      <c r="AT37" s="18"/>
    </row>
    <row r="38" spans="1:46" ht="12.4" customHeight="1" x14ac:dyDescent="0.2">
      <c r="A38" s="133">
        <f>'Raw Data'!A38</f>
        <v>9.0387554168701172</v>
      </c>
      <c r="B38" s="84">
        <f>'Raw Data'!E38</f>
        <v>0</v>
      </c>
      <c r="C38" s="84">
        <f t="shared" si="1"/>
        <v>1</v>
      </c>
      <c r="D38" s="97">
        <f t="shared" si="2"/>
        <v>0</v>
      </c>
      <c r="E38" s="87">
        <f>(2*Table!$AC$16*0.147)/A38</f>
        <v>12.084659016269589</v>
      </c>
      <c r="F38" s="87">
        <f t="shared" si="3"/>
        <v>24.169318032539177</v>
      </c>
      <c r="G38" s="133">
        <f>IF((('Raw Data'!C38)/('Raw Data'!C$136)*100)&lt;0,0,('Raw Data'!C38)/('Raw Data'!C$136)*100)</f>
        <v>0</v>
      </c>
      <c r="H38" s="133">
        <f t="shared" si="4"/>
        <v>0</v>
      </c>
      <c r="I38" s="49">
        <f t="shared" si="5"/>
        <v>3.9279680522003479E-2</v>
      </c>
      <c r="J38" s="87">
        <f>'Raw Data'!F38/I38</f>
        <v>0</v>
      </c>
      <c r="K38" s="127">
        <f t="shared" si="6"/>
        <v>8.6742394683937005E-2</v>
      </c>
      <c r="L38" s="133">
        <f>A38*Table!$AC$9/$AC$16</f>
        <v>1.702985576365301</v>
      </c>
      <c r="M38" s="133">
        <f>A38*Table!$AD$9/$AC$16</f>
        <v>0.58388076903953179</v>
      </c>
      <c r="N38" s="133">
        <f>ABS(A38*Table!$AE$9/$AC$16)</f>
        <v>0.73741438570541751</v>
      </c>
      <c r="O38" s="133">
        <f>($L38*(Table!$AC$10/Table!$AC$9)/(Table!$AC$12-Table!$AC$14))</f>
        <v>3.6529077142112856</v>
      </c>
      <c r="P38" s="133">
        <f>$N38*(Table!$AE$10/Table!$AE$9)/(Table!$AC$12-Table!$AC$13)</f>
        <v>6.0543053013581059</v>
      </c>
      <c r="Q38" s="133">
        <f>'Raw Data'!C38</f>
        <v>0</v>
      </c>
      <c r="R38" s="133">
        <f>'Raw Data'!C38/'Raw Data'!I$23*100</f>
        <v>0</v>
      </c>
      <c r="S38" s="157">
        <f t="shared" si="7"/>
        <v>0</v>
      </c>
      <c r="T38" s="157">
        <f t="shared" si="8"/>
        <v>1</v>
      </c>
      <c r="U38" s="26">
        <f t="shared" si="9"/>
        <v>0</v>
      </c>
      <c r="V38" s="26">
        <f t="shared" si="10"/>
        <v>0</v>
      </c>
      <c r="W38" s="26">
        <f t="shared" si="11"/>
        <v>0</v>
      </c>
      <c r="X38" s="138">
        <f t="shared" si="12"/>
        <v>0</v>
      </c>
      <c r="AS38" s="18"/>
      <c r="AT38" s="18"/>
    </row>
    <row r="39" spans="1:46" ht="12.4" customHeight="1" x14ac:dyDescent="0.2">
      <c r="A39" s="133">
        <f>'Raw Data'!A39</f>
        <v>9.8886842727661133</v>
      </c>
      <c r="B39" s="84">
        <f>'Raw Data'!E39</f>
        <v>0</v>
      </c>
      <c r="C39" s="84">
        <f t="shared" si="1"/>
        <v>1</v>
      </c>
      <c r="D39" s="97">
        <f t="shared" si="2"/>
        <v>0</v>
      </c>
      <c r="E39" s="87">
        <f>(2*Table!$AC$16*0.147)/A39</f>
        <v>11.045986921147863</v>
      </c>
      <c r="F39" s="87">
        <f t="shared" si="3"/>
        <v>22.091973842295726</v>
      </c>
      <c r="G39" s="133">
        <f>IF((('Raw Data'!C39)/('Raw Data'!C$136)*100)&lt;0,0,('Raw Data'!C39)/('Raw Data'!C$136)*100)</f>
        <v>0</v>
      </c>
      <c r="H39" s="133">
        <f t="shared" si="4"/>
        <v>0</v>
      </c>
      <c r="I39" s="49">
        <f t="shared" si="5"/>
        <v>3.9029876088509274E-2</v>
      </c>
      <c r="J39" s="87">
        <f>'Raw Data'!F39/I39</f>
        <v>0</v>
      </c>
      <c r="K39" s="127">
        <f t="shared" si="6"/>
        <v>9.4898922974745267E-2</v>
      </c>
      <c r="L39" s="133">
        <f>A39*Table!$AC$9/$AC$16</f>
        <v>1.863120076722071</v>
      </c>
      <c r="M39" s="133">
        <f>A39*Table!$AD$9/$AC$16</f>
        <v>0.6387840263047101</v>
      </c>
      <c r="N39" s="133">
        <f>ABS(A39*Table!$AE$9/$AC$16)</f>
        <v>0.80675465837106297</v>
      </c>
      <c r="O39" s="133">
        <f>($L39*(Table!$AC$10/Table!$AC$9)/(Table!$AC$12-Table!$AC$14))</f>
        <v>3.9963965609654037</v>
      </c>
      <c r="P39" s="133">
        <f>$N39*(Table!$AE$10/Table!$AE$9)/(Table!$AC$12-Table!$AC$13)</f>
        <v>6.6236014644586438</v>
      </c>
      <c r="Q39" s="133">
        <f>'Raw Data'!C39</f>
        <v>0</v>
      </c>
      <c r="R39" s="133">
        <f>'Raw Data'!C39/'Raw Data'!I$23*100</f>
        <v>0</v>
      </c>
      <c r="S39" s="157">
        <f t="shared" si="7"/>
        <v>0</v>
      </c>
      <c r="T39" s="157">
        <f t="shared" si="8"/>
        <v>1</v>
      </c>
      <c r="U39" s="26">
        <f t="shared" si="9"/>
        <v>0</v>
      </c>
      <c r="V39" s="26">
        <f t="shared" si="10"/>
        <v>0</v>
      </c>
      <c r="W39" s="26">
        <f t="shared" si="11"/>
        <v>0</v>
      </c>
      <c r="X39" s="138">
        <f t="shared" si="12"/>
        <v>0</v>
      </c>
      <c r="AS39" s="18"/>
      <c r="AT39" s="18"/>
    </row>
    <row r="40" spans="1:46" ht="12.4" customHeight="1" x14ac:dyDescent="0.2">
      <c r="A40" s="133">
        <f>'Raw Data'!A40</f>
        <v>10.793349266052246</v>
      </c>
      <c r="B40" s="84">
        <f>'Raw Data'!E40</f>
        <v>0</v>
      </c>
      <c r="C40" s="84">
        <f t="shared" si="1"/>
        <v>1</v>
      </c>
      <c r="D40" s="97">
        <f t="shared" si="2"/>
        <v>0</v>
      </c>
      <c r="E40" s="87">
        <f>(2*Table!$AC$16*0.147)/A40</f>
        <v>10.120146624726701</v>
      </c>
      <c r="F40" s="87">
        <f t="shared" si="3"/>
        <v>20.240293249453401</v>
      </c>
      <c r="G40" s="133">
        <f>IF((('Raw Data'!C40)/('Raw Data'!C$136)*100)&lt;0,0,('Raw Data'!C40)/('Raw Data'!C$136)*100)</f>
        <v>0</v>
      </c>
      <c r="H40" s="133">
        <f t="shared" si="4"/>
        <v>0</v>
      </c>
      <c r="I40" s="49">
        <f t="shared" si="5"/>
        <v>3.8017719886135337E-2</v>
      </c>
      <c r="J40" s="87">
        <f>'Raw Data'!F40/I40</f>
        <v>0</v>
      </c>
      <c r="K40" s="127">
        <f t="shared" si="6"/>
        <v>0.10358073858819841</v>
      </c>
      <c r="L40" s="133">
        <f>A40*Table!$AC$9/$AC$16</f>
        <v>2.0335673743813736</v>
      </c>
      <c r="M40" s="133">
        <f>A40*Table!$AD$9/$AC$16</f>
        <v>0.69722309978789954</v>
      </c>
      <c r="N40" s="133">
        <f>ABS(A40*Table!$AE$9/$AC$16)</f>
        <v>0.88056050326074509</v>
      </c>
      <c r="O40" s="133">
        <f>($L40*(Table!$AC$10/Table!$AC$9)/(Table!$AC$12-Table!$AC$14))</f>
        <v>4.3620063800544271</v>
      </c>
      <c r="P40" s="133">
        <f>$N40*(Table!$AE$10/Table!$AE$9)/(Table!$AC$12-Table!$AC$13)</f>
        <v>7.2295607821079217</v>
      </c>
      <c r="Q40" s="133">
        <f>'Raw Data'!C40</f>
        <v>0</v>
      </c>
      <c r="R40" s="133">
        <f>'Raw Data'!C40/'Raw Data'!I$23*100</f>
        <v>0</v>
      </c>
      <c r="S40" s="157">
        <f t="shared" si="7"/>
        <v>0</v>
      </c>
      <c r="T40" s="157">
        <f t="shared" si="8"/>
        <v>1</v>
      </c>
      <c r="U40" s="26">
        <f t="shared" si="9"/>
        <v>0</v>
      </c>
      <c r="V40" s="26">
        <f t="shared" si="10"/>
        <v>0</v>
      </c>
      <c r="W40" s="26">
        <f t="shared" si="11"/>
        <v>0</v>
      </c>
      <c r="X40" s="138">
        <f t="shared" si="12"/>
        <v>0</v>
      </c>
      <c r="AS40" s="18"/>
      <c r="AT40" s="18"/>
    </row>
    <row r="41" spans="1:46" ht="12.4" customHeight="1" x14ac:dyDescent="0.2">
      <c r="A41" s="133">
        <f>'Raw Data'!A41</f>
        <v>11.889033317565918</v>
      </c>
      <c r="B41" s="84">
        <f>'Raw Data'!E41</f>
        <v>0</v>
      </c>
      <c r="C41" s="84">
        <f t="shared" si="1"/>
        <v>1</v>
      </c>
      <c r="D41" s="97">
        <f t="shared" si="2"/>
        <v>0</v>
      </c>
      <c r="E41" s="87">
        <f>(2*Table!$AC$16*0.147)/A41</f>
        <v>9.1874817932378487</v>
      </c>
      <c r="F41" s="87">
        <f t="shared" si="3"/>
        <v>18.374963586475697</v>
      </c>
      <c r="G41" s="133">
        <f>IF((('Raw Data'!C41)/('Raw Data'!C$136)*100)&lt;0,0,('Raw Data'!C41)/('Raw Data'!C$136)*100)</f>
        <v>0</v>
      </c>
      <c r="H41" s="133">
        <f t="shared" si="4"/>
        <v>0</v>
      </c>
      <c r="I41" s="49">
        <f t="shared" si="5"/>
        <v>4.1990313326229045E-2</v>
      </c>
      <c r="J41" s="87">
        <f>'Raw Data'!F41/I41</f>
        <v>0</v>
      </c>
      <c r="K41" s="127">
        <f t="shared" si="6"/>
        <v>0.11409571040255961</v>
      </c>
      <c r="L41" s="133">
        <f>A41*Table!$AC$9/$AC$16</f>
        <v>2.2400044389908067</v>
      </c>
      <c r="M41" s="133">
        <f>A41*Table!$AD$9/$AC$16</f>
        <v>0.76800152193970517</v>
      </c>
      <c r="N41" s="133">
        <f>ABS(A41*Table!$AE$9/$AC$16)</f>
        <v>0.96995037437797427</v>
      </c>
      <c r="O41" s="133">
        <f>($L41*(Table!$AC$10/Table!$AC$9)/(Table!$AC$12-Table!$AC$14))</f>
        <v>4.8048143264496073</v>
      </c>
      <c r="P41" s="133">
        <f>$N41*(Table!$AE$10/Table!$AE$9)/(Table!$AC$12-Table!$AC$13)</f>
        <v>7.9634677699341054</v>
      </c>
      <c r="Q41" s="133">
        <f>'Raw Data'!C41</f>
        <v>0</v>
      </c>
      <c r="R41" s="133">
        <f>'Raw Data'!C41/'Raw Data'!I$23*100</f>
        <v>0</v>
      </c>
      <c r="S41" s="157">
        <f t="shared" si="7"/>
        <v>0</v>
      </c>
      <c r="T41" s="157">
        <f t="shared" si="8"/>
        <v>1</v>
      </c>
      <c r="U41" s="26">
        <f t="shared" si="9"/>
        <v>0</v>
      </c>
      <c r="V41" s="26">
        <f t="shared" si="10"/>
        <v>0</v>
      </c>
      <c r="W41" s="26">
        <f t="shared" si="11"/>
        <v>0</v>
      </c>
      <c r="X41" s="138">
        <f t="shared" si="12"/>
        <v>0</v>
      </c>
      <c r="AS41" s="18"/>
      <c r="AT41" s="18"/>
    </row>
    <row r="42" spans="1:46" ht="12.4" customHeight="1" x14ac:dyDescent="0.2">
      <c r="A42" s="133">
        <f>'Raw Data'!A42</f>
        <v>12.888889312744141</v>
      </c>
      <c r="B42" s="84">
        <f>'Raw Data'!E42</f>
        <v>1.107684426055866E-3</v>
      </c>
      <c r="C42" s="84">
        <f t="shared" si="1"/>
        <v>0.99889231557394409</v>
      </c>
      <c r="D42" s="97">
        <f t="shared" si="2"/>
        <v>1.107684426055866E-3</v>
      </c>
      <c r="E42" s="87">
        <f>(2*Table!$AC$16*0.147)/A42</f>
        <v>8.4747626031927741</v>
      </c>
      <c r="F42" s="87">
        <f t="shared" si="3"/>
        <v>16.949525206385548</v>
      </c>
      <c r="G42" s="133">
        <f>IF((('Raw Data'!C42)/('Raw Data'!C$136)*100)&lt;0,0,('Raw Data'!C42)/('Raw Data'!C$136)*100)</f>
        <v>0.1107684426055866</v>
      </c>
      <c r="H42" s="133">
        <f t="shared" si="4"/>
        <v>0.1107684426055866</v>
      </c>
      <c r="I42" s="49">
        <f t="shared" si="5"/>
        <v>3.5068949956629347E-2</v>
      </c>
      <c r="J42" s="87">
        <f>'Raw Data'!F42/I42</f>
        <v>3.1585902270406363E-2</v>
      </c>
      <c r="K42" s="127">
        <f t="shared" si="6"/>
        <v>0.12369104730026741</v>
      </c>
      <c r="L42" s="133">
        <f>A42*Table!$AC$9/$AC$16</f>
        <v>2.428386606634469</v>
      </c>
      <c r="M42" s="133">
        <f>A42*Table!$AD$9/$AC$16</f>
        <v>0.83258969370324654</v>
      </c>
      <c r="N42" s="133">
        <f>ABS(A42*Table!$AE$9/$AC$16)</f>
        <v>1.0515222457776696</v>
      </c>
      <c r="O42" s="133">
        <f>($L42*(Table!$AC$10/Table!$AC$9)/(Table!$AC$12-Table!$AC$14))</f>
        <v>5.2088944801254167</v>
      </c>
      <c r="P42" s="133">
        <f>$N42*(Table!$AE$10/Table!$AE$9)/(Table!$AC$12-Table!$AC$13)</f>
        <v>8.633187567961162</v>
      </c>
      <c r="Q42" s="133">
        <f>'Raw Data'!C42</f>
        <v>1.983522555092352E-3</v>
      </c>
      <c r="R42" s="133">
        <f>'Raw Data'!C42/'Raw Data'!I$23*100</f>
        <v>2.8730714961149532E-2</v>
      </c>
      <c r="S42" s="157">
        <f t="shared" si="7"/>
        <v>1.0814230841070971E-2</v>
      </c>
      <c r="T42" s="157">
        <f t="shared" si="8"/>
        <v>0.99342699108603305</v>
      </c>
      <c r="U42" s="26">
        <f t="shared" si="9"/>
        <v>2.2291071219566979E-3</v>
      </c>
      <c r="V42" s="26">
        <f t="shared" si="10"/>
        <v>1.3081643640813373E-2</v>
      </c>
      <c r="W42" s="26">
        <f t="shared" si="11"/>
        <v>9.708692181762367E-2</v>
      </c>
      <c r="X42" s="138">
        <f t="shared" si="12"/>
        <v>9.708692181762367E-2</v>
      </c>
      <c r="AS42" s="18"/>
      <c r="AT42" s="18"/>
    </row>
    <row r="43" spans="1:46" ht="12.4" customHeight="1" x14ac:dyDescent="0.2">
      <c r="A43" s="133">
        <f>'Raw Data'!A43</f>
        <v>14.186123847961426</v>
      </c>
      <c r="B43" s="84">
        <f>'Raw Data'!E43</f>
        <v>4.1049482717017208E-3</v>
      </c>
      <c r="C43" s="84">
        <f t="shared" si="1"/>
        <v>0.99589505172829829</v>
      </c>
      <c r="D43" s="97">
        <f t="shared" si="2"/>
        <v>2.9972638456458546E-3</v>
      </c>
      <c r="E43" s="87">
        <f>(2*Table!$AC$16*0.147)/A43</f>
        <v>7.6997972324929096</v>
      </c>
      <c r="F43" s="87">
        <f t="shared" si="3"/>
        <v>15.399594464985819</v>
      </c>
      <c r="G43" s="133">
        <f>IF((('Raw Data'!C43)/('Raw Data'!C$136)*100)&lt;0,0,('Raw Data'!C43)/('Raw Data'!C$136)*100)</f>
        <v>0.41049482717017205</v>
      </c>
      <c r="H43" s="133">
        <f t="shared" si="4"/>
        <v>0.29972638456458545</v>
      </c>
      <c r="I43" s="49">
        <f t="shared" si="5"/>
        <v>4.1648252945293174E-2</v>
      </c>
      <c r="J43" s="87">
        <f>'Raw Data'!F43/I43</f>
        <v>7.1966136240646003E-2</v>
      </c>
      <c r="K43" s="127">
        <f t="shared" si="6"/>
        <v>0.13614024244514675</v>
      </c>
      <c r="L43" s="133">
        <f>A43*Table!$AC$9/$AC$16</f>
        <v>2.6727976566906237</v>
      </c>
      <c r="M43" s="133">
        <f>A43*Table!$AD$9/$AC$16</f>
        <v>0.91638776800821387</v>
      </c>
      <c r="N43" s="133">
        <f>ABS(A43*Table!$AE$9/$AC$16)</f>
        <v>1.1573553349347996</v>
      </c>
      <c r="O43" s="133">
        <f>($L43*(Table!$AC$10/Table!$AC$9)/(Table!$AC$12-Table!$AC$14))</f>
        <v>5.7331567067580949</v>
      </c>
      <c r="P43" s="133">
        <f>$N43*(Table!$AE$10/Table!$AE$9)/(Table!$AC$12-Table!$AC$13)</f>
        <v>9.5020963459343122</v>
      </c>
      <c r="Q43" s="133">
        <f>'Raw Data'!C43</f>
        <v>7.3507014208007634E-3</v>
      </c>
      <c r="R43" s="133">
        <f>'Raw Data'!C43/'Raw Data'!I$23*100</f>
        <v>0.10647265227377799</v>
      </c>
      <c r="S43" s="157">
        <f t="shared" si="7"/>
        <v>2.9262037414233385E-2</v>
      </c>
      <c r="T43" s="157">
        <f t="shared" si="8"/>
        <v>0.9787452811070716</v>
      </c>
      <c r="U43" s="26">
        <f t="shared" si="9"/>
        <v>7.5054083423273035E-3</v>
      </c>
      <c r="V43" s="26">
        <f t="shared" si="10"/>
        <v>0.10191330371843092</v>
      </c>
      <c r="W43" s="26">
        <f t="shared" si="11"/>
        <v>0.21685685316014522</v>
      </c>
      <c r="X43" s="138">
        <f t="shared" si="12"/>
        <v>0.31394377497776887</v>
      </c>
      <c r="AS43" s="18"/>
      <c r="AT43" s="18"/>
    </row>
    <row r="44" spans="1:46" ht="12.4" customHeight="1" x14ac:dyDescent="0.2">
      <c r="A44" s="133">
        <f>'Raw Data'!A44</f>
        <v>15.484156608581543</v>
      </c>
      <c r="B44" s="84">
        <f>'Raw Data'!E44</f>
        <v>1.1695509940445336E-2</v>
      </c>
      <c r="C44" s="84">
        <f t="shared" si="1"/>
        <v>0.98830449005955467</v>
      </c>
      <c r="D44" s="97">
        <f t="shared" si="2"/>
        <v>7.5905616687436152E-3</v>
      </c>
      <c r="E44" s="87">
        <f>(2*Table!$AC$16*0.147)/A44</f>
        <v>7.0543252632692992</v>
      </c>
      <c r="F44" s="87">
        <f t="shared" si="3"/>
        <v>14.108650526538598</v>
      </c>
      <c r="G44" s="133">
        <f>IF((('Raw Data'!C44)/('Raw Data'!C$136)*100)&lt;0,0,('Raw Data'!C44)/('Raw Data'!C$136)*100)</f>
        <v>1.1695509940445337</v>
      </c>
      <c r="H44" s="133">
        <f t="shared" si="4"/>
        <v>0.75905616687436162</v>
      </c>
      <c r="I44" s="49">
        <f t="shared" si="5"/>
        <v>3.8023808159812433E-2</v>
      </c>
      <c r="J44" s="87">
        <f>'Raw Data'!F44/I44</f>
        <v>0.19962655073476099</v>
      </c>
      <c r="K44" s="127">
        <f t="shared" si="6"/>
        <v>0.14859709793481315</v>
      </c>
      <c r="L44" s="133">
        <f>A44*Table!$AC$9/$AC$16</f>
        <v>2.9173590998357621</v>
      </c>
      <c r="M44" s="133">
        <f>A44*Table!$AD$9/$AC$16</f>
        <v>1.0002374056579757</v>
      </c>
      <c r="N44" s="133">
        <f>ABS(A44*Table!$AE$9/$AC$16)</f>
        <v>1.2632535462097363</v>
      </c>
      <c r="O44" s="133">
        <f>($L44*(Table!$AC$10/Table!$AC$9)/(Table!$AC$12-Table!$AC$14))</f>
        <v>6.2577415268892373</v>
      </c>
      <c r="P44" s="133">
        <f>$N44*(Table!$AE$10/Table!$AE$9)/(Table!$AC$12-Table!$AC$13)</f>
        <v>10.371539788257275</v>
      </c>
      <c r="Q44" s="133">
        <f>'Raw Data'!C44</f>
        <v>2.0943065745523202E-2</v>
      </c>
      <c r="R44" s="133">
        <f>'Raw Data'!C44/'Raw Data'!I$23*100</f>
        <v>0.30335387455134155</v>
      </c>
      <c r="S44" s="157">
        <f t="shared" si="7"/>
        <v>7.410602168657586E-2</v>
      </c>
      <c r="T44" s="157">
        <f t="shared" si="8"/>
        <v>0.94753641698115432</v>
      </c>
      <c r="U44" s="26">
        <f t="shared" si="9"/>
        <v>1.959124298595756E-2</v>
      </c>
      <c r="V44" s="26">
        <f t="shared" si="10"/>
        <v>0.51623770651066203</v>
      </c>
      <c r="W44" s="26">
        <f t="shared" si="11"/>
        <v>0.46097192185018815</v>
      </c>
      <c r="X44" s="138">
        <f t="shared" si="12"/>
        <v>0.77491569682795702</v>
      </c>
      <c r="AS44" s="18"/>
      <c r="AT44" s="18"/>
    </row>
    <row r="45" spans="1:46" ht="12.4" customHeight="1" x14ac:dyDescent="0.2">
      <c r="A45" s="133">
        <f>'Raw Data'!A45</f>
        <v>16.876182556152344</v>
      </c>
      <c r="B45" s="84">
        <f>'Raw Data'!E45</f>
        <v>3.2644295942787525E-2</v>
      </c>
      <c r="C45" s="84">
        <f t="shared" si="1"/>
        <v>0.9673557040572125</v>
      </c>
      <c r="D45" s="97">
        <f t="shared" si="2"/>
        <v>2.0948786002342189E-2</v>
      </c>
      <c r="E45" s="87">
        <f>(2*Table!$AC$16*0.147)/A45</f>
        <v>6.4724517396568633</v>
      </c>
      <c r="F45" s="87">
        <f t="shared" si="3"/>
        <v>12.944903479313727</v>
      </c>
      <c r="G45" s="133">
        <f>IF((('Raw Data'!C45)/('Raw Data'!C$136)*100)&lt;0,0,('Raw Data'!C45)/('Raw Data'!C$136)*100)</f>
        <v>3.2644295942787527</v>
      </c>
      <c r="H45" s="133">
        <f t="shared" si="4"/>
        <v>2.0948786002342192</v>
      </c>
      <c r="I45" s="49">
        <f t="shared" si="5"/>
        <v>3.7386659490953877E-2</v>
      </c>
      <c r="J45" s="87">
        <f>'Raw Data'!F45/I45</f>
        <v>0.56032783585307977</v>
      </c>
      <c r="K45" s="127">
        <f t="shared" si="6"/>
        <v>0.16195597961548147</v>
      </c>
      <c r="L45" s="133">
        <f>A45*Table!$AC$9/$AC$16</f>
        <v>3.1796297334912298</v>
      </c>
      <c r="M45" s="133">
        <f>A45*Table!$AD$9/$AC$16</f>
        <v>1.0901587657684215</v>
      </c>
      <c r="N45" s="133">
        <f>ABS(A45*Table!$AE$9/$AC$16)</f>
        <v>1.3768200619158748</v>
      </c>
      <c r="O45" s="133">
        <f>($L45*(Table!$AC$10/Table!$AC$9)/(Table!$AC$12-Table!$AC$14))</f>
        <v>6.8203125986512871</v>
      </c>
      <c r="P45" s="133">
        <f>$N45*(Table!$AE$10/Table!$AE$9)/(Table!$AC$12-Table!$AC$13)</f>
        <v>11.30394139504002</v>
      </c>
      <c r="Q45" s="133">
        <f>'Raw Data'!C45</f>
        <v>5.8455906551098447E-2</v>
      </c>
      <c r="R45" s="133">
        <f>'Raw Data'!C45/'Raw Data'!I$23*100</f>
        <v>0.84671585135416183</v>
      </c>
      <c r="S45" s="157">
        <f t="shared" si="7"/>
        <v>0.20452125383416647</v>
      </c>
      <c r="T45" s="157">
        <f t="shared" si="8"/>
        <v>0.87502780513374157</v>
      </c>
      <c r="U45" s="26">
        <f t="shared" si="9"/>
        <v>5.0172238214233167E-2</v>
      </c>
      <c r="V45" s="26">
        <f t="shared" si="10"/>
        <v>2.5319587904480123</v>
      </c>
      <c r="W45" s="26">
        <f t="shared" si="11"/>
        <v>1.0709916906663055</v>
      </c>
      <c r="X45" s="138">
        <f t="shared" si="12"/>
        <v>1.8459073874942624</v>
      </c>
      <c r="AS45" s="18"/>
      <c r="AT45" s="18"/>
    </row>
    <row r="46" spans="1:46" ht="12.4" customHeight="1" x14ac:dyDescent="0.2">
      <c r="A46" s="133">
        <f>'Raw Data'!A46</f>
        <v>18.474388122558594</v>
      </c>
      <c r="B46" s="84">
        <f>'Raw Data'!E46</f>
        <v>8.669250054133458E-2</v>
      </c>
      <c r="C46" s="84">
        <f t="shared" si="1"/>
        <v>0.91330749945866541</v>
      </c>
      <c r="D46" s="97">
        <f t="shared" si="2"/>
        <v>5.4048204598547055E-2</v>
      </c>
      <c r="E46" s="87">
        <f>(2*Table!$AC$16*0.147)/A46</f>
        <v>5.9125247569610604</v>
      </c>
      <c r="F46" s="87">
        <f t="shared" si="3"/>
        <v>11.825049513922121</v>
      </c>
      <c r="G46" s="133">
        <f>IF((('Raw Data'!C46)/('Raw Data'!C$136)*100)&lt;0,0,('Raw Data'!C46)/('Raw Data'!C$136)*100)</f>
        <v>8.6692500541334585</v>
      </c>
      <c r="H46" s="133">
        <f t="shared" si="4"/>
        <v>5.4048204598547063</v>
      </c>
      <c r="I46" s="49">
        <f t="shared" si="5"/>
        <v>3.9295848672097011E-2</v>
      </c>
      <c r="J46" s="87">
        <f>'Raw Data'!F46/I46</f>
        <v>1.3754176694222999</v>
      </c>
      <c r="K46" s="127">
        <f t="shared" si="6"/>
        <v>0.17729350913514633</v>
      </c>
      <c r="L46" s="133">
        <f>A46*Table!$AC$9/$AC$16</f>
        <v>3.4807465247008582</v>
      </c>
      <c r="M46" s="133">
        <f>A46*Table!$AD$9/$AC$16</f>
        <v>1.1933988084688658</v>
      </c>
      <c r="N46" s="133">
        <f>ABS(A46*Table!$AE$9/$AC$16)</f>
        <v>1.5072074572626715</v>
      </c>
      <c r="O46" s="133">
        <f>($L46*(Table!$AC$10/Table!$AC$9)/(Table!$AC$12-Table!$AC$14))</f>
        <v>7.466208761692104</v>
      </c>
      <c r="P46" s="133">
        <f>$N46*(Table!$AE$10/Table!$AE$9)/(Table!$AC$12-Table!$AC$13)</f>
        <v>12.374445461926692</v>
      </c>
      <c r="Q46" s="133">
        <f>'Raw Data'!C46</f>
        <v>0.15523963877814823</v>
      </c>
      <c r="R46" s="133">
        <f>'Raw Data'!C46/'Raw Data'!I$23*100</f>
        <v>2.2485984850316614</v>
      </c>
      <c r="S46" s="157">
        <f t="shared" si="7"/>
        <v>0.52766812218829806</v>
      </c>
      <c r="T46" s="157">
        <f t="shared" si="8"/>
        <v>0.71892155016606396</v>
      </c>
      <c r="U46" s="26">
        <f t="shared" si="9"/>
        <v>0.12171436856877313</v>
      </c>
      <c r="V46" s="26">
        <f t="shared" si="10"/>
        <v>11.331462469035104</v>
      </c>
      <c r="W46" s="26">
        <f t="shared" si="11"/>
        <v>2.3057744131586784</v>
      </c>
      <c r="X46" s="138">
        <f t="shared" si="12"/>
        <v>4.1516818006529412</v>
      </c>
      <c r="AS46" s="18"/>
      <c r="AT46" s="18"/>
    </row>
    <row r="47" spans="1:46" ht="12.4" customHeight="1" x14ac:dyDescent="0.2">
      <c r="A47" s="133">
        <f>'Raw Data'!A47</f>
        <v>20.266803741455078</v>
      </c>
      <c r="B47" s="84">
        <f>'Raw Data'!E47</f>
        <v>0.18912090643859283</v>
      </c>
      <c r="C47" s="84">
        <f t="shared" si="1"/>
        <v>0.81087909356140719</v>
      </c>
      <c r="D47" s="97">
        <f t="shared" si="2"/>
        <v>0.10242840589725825</v>
      </c>
      <c r="E47" s="87">
        <f>(2*Table!$AC$16*0.147)/A47</f>
        <v>5.3896153798000288</v>
      </c>
      <c r="F47" s="87">
        <f t="shared" si="3"/>
        <v>10.779230759600058</v>
      </c>
      <c r="G47" s="133">
        <f>IF((('Raw Data'!C47)/('Raw Data'!C$136)*100)&lt;0,0,('Raw Data'!C47)/('Raw Data'!C$136)*100)</f>
        <v>18.912090643859283</v>
      </c>
      <c r="H47" s="133">
        <f t="shared" si="4"/>
        <v>10.242840589725825</v>
      </c>
      <c r="I47" s="49">
        <f t="shared" si="5"/>
        <v>4.0215198581670331E-2</v>
      </c>
      <c r="J47" s="87">
        <f>'Raw Data'!F47/I47</f>
        <v>2.5470073382639979</v>
      </c>
      <c r="K47" s="127">
        <f t="shared" si="6"/>
        <v>0.19449481793057893</v>
      </c>
      <c r="L47" s="133">
        <f>A47*Table!$AC$9/$AC$16</f>
        <v>3.8184542958543326</v>
      </c>
      <c r="M47" s="133">
        <f>A47*Table!$AD$9/$AC$16</f>
        <v>1.3091843300071997</v>
      </c>
      <c r="N47" s="133">
        <f>ABS(A47*Table!$AE$9/$AC$16)</f>
        <v>1.6534392116998364</v>
      </c>
      <c r="O47" s="133">
        <f>($L47*(Table!$AC$10/Table!$AC$9)/(Table!$AC$12-Table!$AC$14))</f>
        <v>8.1905926552001986</v>
      </c>
      <c r="P47" s="133">
        <f>$N47*(Table!$AE$10/Table!$AE$9)/(Table!$AC$12-Table!$AC$13)</f>
        <v>13.575034578816389</v>
      </c>
      <c r="Q47" s="133">
        <f>'Raw Data'!C47</f>
        <v>0.33865745038609024</v>
      </c>
      <c r="R47" s="133">
        <f>'Raw Data'!C47/'Raw Data'!I$23*100</f>
        <v>4.9053491484292095</v>
      </c>
      <c r="S47" s="157">
        <f t="shared" si="7"/>
        <v>1</v>
      </c>
      <c r="T47" s="157">
        <f t="shared" si="8"/>
        <v>0.47309485098265713</v>
      </c>
      <c r="U47" s="26">
        <f t="shared" si="9"/>
        <v>0.24203861699195714</v>
      </c>
      <c r="V47" s="26">
        <f t="shared" si="10"/>
        <v>36.23446558095354</v>
      </c>
      <c r="W47" s="26">
        <f t="shared" si="11"/>
        <v>3.6309942427721262</v>
      </c>
      <c r="X47" s="138">
        <f t="shared" si="12"/>
        <v>7.7826760434250675</v>
      </c>
      <c r="AS47" s="18"/>
      <c r="AT47" s="18"/>
    </row>
    <row r="48" spans="1:46" ht="12.4" customHeight="1" x14ac:dyDescent="0.2">
      <c r="A48" s="133">
        <f>'Raw Data'!A48</f>
        <v>22.161190032958984</v>
      </c>
      <c r="B48" s="84">
        <f>'Raw Data'!E48</f>
        <v>0.26717999368338791</v>
      </c>
      <c r="C48" s="84">
        <f t="shared" si="1"/>
        <v>0.73282000631661215</v>
      </c>
      <c r="D48" s="97">
        <f t="shared" si="2"/>
        <v>7.8059087244795072E-2</v>
      </c>
      <c r="E48" s="87">
        <f>(2*Table!$AC$16*0.147)/A48</f>
        <v>4.9288994400518895</v>
      </c>
      <c r="F48" s="87">
        <f t="shared" si="3"/>
        <v>9.857798880103779</v>
      </c>
      <c r="G48" s="133">
        <f>IF((('Raw Data'!C48)/('Raw Data'!C$136)*100)&lt;0,0,('Raw Data'!C48)/('Raw Data'!C$136)*100)</f>
        <v>26.717999368338791</v>
      </c>
      <c r="H48" s="133">
        <f t="shared" si="4"/>
        <v>7.805908724479508</v>
      </c>
      <c r="I48" s="49">
        <f t="shared" si="5"/>
        <v>3.8807815927249911E-2</v>
      </c>
      <c r="J48" s="87">
        <f>'Raw Data'!F48/I48</f>
        <v>2.0114269607732256</v>
      </c>
      <c r="K48" s="127">
        <f t="shared" si="6"/>
        <v>0.2126747106041626</v>
      </c>
      <c r="L48" s="133">
        <f>A48*Table!$AC$9/$AC$16</f>
        <v>4.1753742900024235</v>
      </c>
      <c r="M48" s="133">
        <f>A48*Table!$AD$9/$AC$16</f>
        <v>1.4315568994294021</v>
      </c>
      <c r="N48" s="133">
        <f>ABS(A48*Table!$AE$9/$AC$16)</f>
        <v>1.8079901027252563</v>
      </c>
      <c r="O48" s="133">
        <f>($L48*(Table!$AC$10/Table!$AC$9)/(Table!$AC$12-Table!$AC$14))</f>
        <v>8.9561868082420073</v>
      </c>
      <c r="P48" s="133">
        <f>$N48*(Table!$AE$10/Table!$AE$9)/(Table!$AC$12-Table!$AC$13)</f>
        <v>14.843925309731166</v>
      </c>
      <c r="Q48" s="133">
        <f>'Raw Data'!C48</f>
        <v>0.47843729791115042</v>
      </c>
      <c r="R48" s="133">
        <f>'Raw Data'!C48/'Raw Data'!I$23*100</f>
        <v>6.9300173057159133</v>
      </c>
      <c r="S48" s="157">
        <f t="shared" si="7"/>
        <v>0.76208437064902634</v>
      </c>
      <c r="T48" s="157">
        <f t="shared" si="8"/>
        <v>0.31641380117116036</v>
      </c>
      <c r="U48" s="26">
        <f t="shared" si="9"/>
        <v>0.3127096196282475</v>
      </c>
      <c r="V48" s="26">
        <f t="shared" si="10"/>
        <v>55.880043395851487</v>
      </c>
      <c r="W48" s="26">
        <f t="shared" si="11"/>
        <v>2.3142644460786794</v>
      </c>
      <c r="X48" s="138">
        <f t="shared" si="12"/>
        <v>10.096940489503748</v>
      </c>
      <c r="AS48" s="18"/>
      <c r="AT48" s="18"/>
    </row>
    <row r="49" spans="1:46" ht="12.4" customHeight="1" x14ac:dyDescent="0.2">
      <c r="A49" s="133">
        <f>'Raw Data'!A49</f>
        <v>24.307954788208008</v>
      </c>
      <c r="B49" s="84">
        <f>'Raw Data'!E49</f>
        <v>0.32529978546122129</v>
      </c>
      <c r="C49" s="84">
        <f t="shared" si="1"/>
        <v>0.67470021453877871</v>
      </c>
      <c r="D49" s="97">
        <f t="shared" si="2"/>
        <v>5.8119791777833385E-2</v>
      </c>
      <c r="E49" s="87">
        <f>(2*Table!$AC$16*0.147)/A49</f>
        <v>4.4936021189789104</v>
      </c>
      <c r="F49" s="87">
        <f t="shared" si="3"/>
        <v>8.9872042379578208</v>
      </c>
      <c r="G49" s="133">
        <f>IF((('Raw Data'!C49)/('Raw Data'!C$136)*100)&lt;0,0,('Raw Data'!C49)/('Raw Data'!C$136)*100)</f>
        <v>32.52997854612213</v>
      </c>
      <c r="H49" s="133">
        <f t="shared" si="4"/>
        <v>5.8119791777833392</v>
      </c>
      <c r="I49" s="49">
        <f t="shared" si="5"/>
        <v>4.0155342059646215E-2</v>
      </c>
      <c r="J49" s="87">
        <f>'Raw Data'!F49/I49</f>
        <v>1.4473738435972732</v>
      </c>
      <c r="K49" s="127">
        <f t="shared" si="6"/>
        <v>0.23327660844352879</v>
      </c>
      <c r="L49" s="133">
        <f>A49*Table!$AC$9/$AC$16</f>
        <v>4.5798447337114112</v>
      </c>
      <c r="M49" s="133">
        <f>A49*Table!$AD$9/$AC$16</f>
        <v>1.5702324801296266</v>
      </c>
      <c r="N49" s="133">
        <f>ABS(A49*Table!$AE$9/$AC$16)</f>
        <v>1.98313094239123</v>
      </c>
      <c r="O49" s="133">
        <f>($L49*(Table!$AC$10/Table!$AC$9)/(Table!$AC$12-Table!$AC$14))</f>
        <v>9.8237767775877565</v>
      </c>
      <c r="P49" s="133">
        <f>$N49*(Table!$AE$10/Table!$AE$9)/(Table!$AC$12-Table!$AC$13)</f>
        <v>16.281863238023231</v>
      </c>
      <c r="Q49" s="133">
        <f>'Raw Data'!C49</f>
        <v>0.58251199209014881</v>
      </c>
      <c r="R49" s="133">
        <f>'Raw Data'!C49/'Raw Data'!I$23*100</f>
        <v>8.4375072838101595</v>
      </c>
      <c r="S49" s="157">
        <f t="shared" si="7"/>
        <v>0.56741868887553493</v>
      </c>
      <c r="T49" s="157">
        <f t="shared" si="8"/>
        <v>0.21945072844757763</v>
      </c>
      <c r="U49" s="26">
        <f t="shared" si="9"/>
        <v>0.34710889325428829</v>
      </c>
      <c r="V49" s="26">
        <f t="shared" si="10"/>
        <v>66.665396037181878</v>
      </c>
      <c r="W49" s="26">
        <f t="shared" si="11"/>
        <v>1.4321973975583067</v>
      </c>
      <c r="X49" s="138">
        <f t="shared" si="12"/>
        <v>11.529137887062054</v>
      </c>
      <c r="AS49" s="18"/>
      <c r="AT49" s="18"/>
    </row>
    <row r="50" spans="1:46" ht="12.4" customHeight="1" x14ac:dyDescent="0.2">
      <c r="A50" s="133">
        <f>'Raw Data'!A50</f>
        <v>26.609672546386719</v>
      </c>
      <c r="B50" s="84">
        <f>'Raw Data'!E50</f>
        <v>0.36660553689426884</v>
      </c>
      <c r="C50" s="84">
        <f t="shared" si="1"/>
        <v>0.63339446310573111</v>
      </c>
      <c r="D50" s="97">
        <f t="shared" si="2"/>
        <v>4.1305751433047544E-2</v>
      </c>
      <c r="E50" s="87">
        <f>(2*Table!$AC$16*0.147)/A50</f>
        <v>4.1049087302341585</v>
      </c>
      <c r="F50" s="87">
        <f t="shared" si="3"/>
        <v>8.209817460468317</v>
      </c>
      <c r="G50" s="133">
        <f>IF((('Raw Data'!C50)/('Raw Data'!C$136)*100)&lt;0,0,('Raw Data'!C50)/('Raw Data'!C$136)*100)</f>
        <v>36.660553689426884</v>
      </c>
      <c r="H50" s="133">
        <f t="shared" si="4"/>
        <v>4.1305751433047533</v>
      </c>
      <c r="I50" s="49">
        <f t="shared" si="5"/>
        <v>3.9291110332030921E-2</v>
      </c>
      <c r="J50" s="87">
        <f>'Raw Data'!F50/I50</f>
        <v>1.0512747306958705</v>
      </c>
      <c r="K50" s="127">
        <f t="shared" si="6"/>
        <v>0.25536554669030576</v>
      </c>
      <c r="L50" s="133">
        <f>A50*Table!$AC$9/$AC$16</f>
        <v>5.0135097641564474</v>
      </c>
      <c r="M50" s="133">
        <f>A50*Table!$AD$9/$AC$16</f>
        <v>1.7189176334250678</v>
      </c>
      <c r="N50" s="133">
        <f>ABS(A50*Table!$AE$9/$AC$16)</f>
        <v>2.170913408940407</v>
      </c>
      <c r="O50" s="133">
        <f>($L50*(Table!$AC$10/Table!$AC$9)/(Table!$AC$12-Table!$AC$14))</f>
        <v>10.753989198104779</v>
      </c>
      <c r="P50" s="133">
        <f>$N50*(Table!$AE$10/Table!$AE$9)/(Table!$AC$12-Table!$AC$13)</f>
        <v>17.823591206407279</v>
      </c>
      <c r="Q50" s="133">
        <f>'Raw Data'!C50</f>
        <v>0.6564779048494529</v>
      </c>
      <c r="R50" s="133">
        <f>'Raw Data'!C50/'Raw Data'!I$23*100</f>
        <v>9.5088808111103695</v>
      </c>
      <c r="S50" s="157">
        <f t="shared" si="7"/>
        <v>0.40326461269425257</v>
      </c>
      <c r="T50" s="157">
        <f t="shared" si="8"/>
        <v>0.1619450639095994</v>
      </c>
      <c r="U50" s="26">
        <f t="shared" si="9"/>
        <v>0.35734678036846285</v>
      </c>
      <c r="V50" s="26">
        <f t="shared" si="10"/>
        <v>70.024154203287338</v>
      </c>
      <c r="W50" s="26">
        <f t="shared" si="11"/>
        <v>0.8493899871649031</v>
      </c>
      <c r="X50" s="138">
        <f t="shared" si="12"/>
        <v>12.378527874226958</v>
      </c>
      <c r="AS50" s="18"/>
      <c r="AT50" s="18"/>
    </row>
    <row r="51" spans="1:46" ht="12.4" customHeight="1" x14ac:dyDescent="0.2">
      <c r="A51" s="133">
        <f>'Raw Data'!A51</f>
        <v>29.00745964050293</v>
      </c>
      <c r="B51" s="84">
        <f>'Raw Data'!E51</f>
        <v>0.39681223177703689</v>
      </c>
      <c r="C51" s="84">
        <f t="shared" si="1"/>
        <v>0.60318776822296316</v>
      </c>
      <c r="D51" s="97">
        <f t="shared" si="2"/>
        <v>3.0206694882768059E-2</v>
      </c>
      <c r="E51" s="87">
        <f>(2*Table!$AC$16*0.147)/A51</f>
        <v>3.7655926612690176</v>
      </c>
      <c r="F51" s="87">
        <f t="shared" si="3"/>
        <v>7.5311853225380352</v>
      </c>
      <c r="G51" s="133">
        <f>IF((('Raw Data'!C51)/('Raw Data'!C$136)*100)&lt;0,0,('Raw Data'!C51)/('Raw Data'!C$136)*100)</f>
        <v>39.681223177703693</v>
      </c>
      <c r="H51" s="133">
        <f t="shared" si="4"/>
        <v>3.020669488276809</v>
      </c>
      <c r="I51" s="49">
        <f t="shared" si="5"/>
        <v>3.7470166423073104E-2</v>
      </c>
      <c r="J51" s="87">
        <f>'Raw Data'!F51/I51</f>
        <v>0.80615320844071836</v>
      </c>
      <c r="K51" s="127">
        <f t="shared" si="6"/>
        <v>0.2783764353462464</v>
      </c>
      <c r="L51" s="133">
        <f>A51*Table!$AC$9/$AC$16</f>
        <v>5.4652751508880595</v>
      </c>
      <c r="M51" s="133">
        <f>A51*Table!$AD$9/$AC$16</f>
        <v>1.8738086231616202</v>
      </c>
      <c r="N51" s="133">
        <f>ABS(A51*Table!$AE$9/$AC$16)</f>
        <v>2.3665335596704451</v>
      </c>
      <c r="O51" s="133">
        <f>($L51*(Table!$AC$10/Table!$AC$9)/(Table!$AC$12-Table!$AC$14))</f>
        <v>11.723026921681811</v>
      </c>
      <c r="P51" s="133">
        <f>$N51*(Table!$AE$10/Table!$AE$9)/(Table!$AC$12-Table!$AC$13)</f>
        <v>19.429667977589858</v>
      </c>
      <c r="Q51" s="133">
        <f>'Raw Data'!C51</f>
        <v>0.71056881666998373</v>
      </c>
      <c r="R51" s="133">
        <f>'Raw Data'!C51/'Raw Data'!I$23*100</f>
        <v>10.292371054523301</v>
      </c>
      <c r="S51" s="157">
        <f t="shared" si="7"/>
        <v>0.29490544754808701</v>
      </c>
      <c r="T51" s="157">
        <f t="shared" si="8"/>
        <v>0.12655649705018956</v>
      </c>
      <c r="U51" s="26">
        <f t="shared" si="9"/>
        <v>0.3548180772145979</v>
      </c>
      <c r="V51" s="26">
        <f t="shared" si="10"/>
        <v>69.188290273862052</v>
      </c>
      <c r="W51" s="26">
        <f t="shared" si="11"/>
        <v>0.52270840780644767</v>
      </c>
      <c r="X51" s="138">
        <f t="shared" si="12"/>
        <v>12.901236282033405</v>
      </c>
      <c r="AS51" s="18"/>
      <c r="AT51" s="18"/>
    </row>
    <row r="52" spans="1:46" ht="12.4" customHeight="1" x14ac:dyDescent="0.2">
      <c r="A52" s="133">
        <f>'Raw Data'!A52</f>
        <v>30.988674163818299</v>
      </c>
      <c r="B52" s="84">
        <f>'Raw Data'!E52</f>
        <v>0.42555927866516047</v>
      </c>
      <c r="C52" s="84">
        <f t="shared" si="1"/>
        <v>0.57444072133483948</v>
      </c>
      <c r="D52" s="97">
        <f t="shared" si="2"/>
        <v>2.8747046888123573E-2</v>
      </c>
      <c r="E52" s="87">
        <f>(2*Table!$AC$16*0.147)/A52</f>
        <v>3.524845127832863</v>
      </c>
      <c r="F52" s="87">
        <f t="shared" si="3"/>
        <v>7.0496902556657259</v>
      </c>
      <c r="G52" s="133">
        <f>IF((('Raw Data'!C52)/('Raw Data'!C$136)*100)&lt;0,0,('Raw Data'!C52)/('Raw Data'!C$136)*100)</f>
        <v>42.555927866516043</v>
      </c>
      <c r="H52" s="133">
        <f t="shared" si="4"/>
        <v>2.8747046888123506</v>
      </c>
      <c r="I52" s="49">
        <f t="shared" si="5"/>
        <v>2.8693298885622998E-2</v>
      </c>
      <c r="J52" s="87">
        <f>'Raw Data'!F52/I52</f>
        <v>1.001873190068344</v>
      </c>
      <c r="K52" s="127">
        <f t="shared" si="6"/>
        <v>0.29738959415063398</v>
      </c>
      <c r="L52" s="133">
        <f>A52*Table!$AC$9/$AC$16</f>
        <v>5.8385543913678122</v>
      </c>
      <c r="M52" s="133">
        <f>A52*Table!$AD$9/$AC$16</f>
        <v>2.0017900770403925</v>
      </c>
      <c r="N52" s="133">
        <f>ABS(A52*Table!$AE$9/$AC$16)</f>
        <v>2.5281682121508586</v>
      </c>
      <c r="O52" s="133">
        <f>($L52*(Table!$AC$10/Table!$AC$9)/(Table!$AC$12-Table!$AC$14))</f>
        <v>12.523711693195652</v>
      </c>
      <c r="P52" s="133">
        <f>$N52*(Table!$AE$10/Table!$AE$9)/(Table!$AC$12-Table!$AC$13)</f>
        <v>20.756717669547275</v>
      </c>
      <c r="Q52" s="133">
        <f>'Raw Data'!C52</f>
        <v>0.76204594729817465</v>
      </c>
      <c r="R52" s="133">
        <f>'Raw Data'!C52/'Raw Data'!I$23*100</f>
        <v>11.0380014802018</v>
      </c>
      <c r="S52" s="157">
        <f t="shared" si="7"/>
        <v>0.28065502568651279</v>
      </c>
      <c r="T52" s="157">
        <f t="shared" si="8"/>
        <v>9.7046687544283472E-2</v>
      </c>
      <c r="U52" s="26">
        <f t="shared" si="9"/>
        <v>0.35619469945214788</v>
      </c>
      <c r="V52" s="26">
        <f t="shared" si="10"/>
        <v>69.642824704091524</v>
      </c>
      <c r="W52" s="26">
        <f t="shared" si="11"/>
        <v>0.43587595967883391</v>
      </c>
      <c r="X52" s="138">
        <f t="shared" si="12"/>
        <v>13.337112241712239</v>
      </c>
      <c r="AS52" s="18"/>
      <c r="AT52" s="18"/>
    </row>
    <row r="53" spans="1:46" ht="12.4" customHeight="1" x14ac:dyDescent="0.2">
      <c r="A53" s="133">
        <f>'Raw Data'!A53</f>
        <v>34.353797912597599</v>
      </c>
      <c r="B53" s="84">
        <f>'Raw Data'!E53</f>
        <v>0.45284667755863955</v>
      </c>
      <c r="C53" s="84">
        <f t="shared" si="1"/>
        <v>0.5471533224413605</v>
      </c>
      <c r="D53" s="97">
        <f t="shared" si="2"/>
        <v>2.7287398893479087E-2</v>
      </c>
      <c r="E53" s="87">
        <f>(2*Table!$AC$16*0.147)/A53</f>
        <v>3.179569182488557</v>
      </c>
      <c r="F53" s="87">
        <f t="shared" si="3"/>
        <v>6.359138364977114</v>
      </c>
      <c r="G53" s="133">
        <f>IF((('Raw Data'!C53)/('Raw Data'!C$136)*100)&lt;0,0,('Raw Data'!C53)/('Raw Data'!C$136)*100)</f>
        <v>45.284667755863957</v>
      </c>
      <c r="H53" s="133">
        <f t="shared" si="4"/>
        <v>2.7287398893479136</v>
      </c>
      <c r="I53" s="49">
        <f t="shared" si="5"/>
        <v>4.4771761024939738E-2</v>
      </c>
      <c r="J53" s="87">
        <f>'Raw Data'!F53/I53</f>
        <v>0.60947790010490921</v>
      </c>
      <c r="K53" s="127">
        <f t="shared" si="6"/>
        <v>0.32968374073547213</v>
      </c>
      <c r="L53" s="133">
        <f>A53*Table!$AC$9/$AC$16</f>
        <v>6.472574999576711</v>
      </c>
      <c r="M53" s="133">
        <f>A53*Table!$AD$9/$AC$16</f>
        <v>2.2191685712834439</v>
      </c>
      <c r="N53" s="133">
        <f>ABS(A53*Table!$AE$9/$AC$16)</f>
        <v>2.8027071887667425</v>
      </c>
      <c r="O53" s="133">
        <f>($L53*(Table!$AC$10/Table!$AC$9)/(Table!$AC$12-Table!$AC$14))</f>
        <v>13.883687257779306</v>
      </c>
      <c r="P53" s="133">
        <f>$N53*(Table!$AE$10/Table!$AE$9)/(Table!$AC$12-Table!$AC$13)</f>
        <v>23.01073225588458</v>
      </c>
      <c r="Q53" s="133">
        <f>'Raw Data'!C53</f>
        <v>0.81090929673402568</v>
      </c>
      <c r="R53" s="133">
        <f>'Raw Data'!C53/'Raw Data'!I$23*100</f>
        <v>11.745772088145866</v>
      </c>
      <c r="S53" s="157">
        <f t="shared" si="7"/>
        <v>0.26640460382493858</v>
      </c>
      <c r="T53" s="157">
        <f t="shared" si="8"/>
        <v>7.4254196848716147E-2</v>
      </c>
      <c r="U53" s="26">
        <f t="shared" si="9"/>
        <v>0.34190607157989572</v>
      </c>
      <c r="V53" s="26">
        <f t="shared" si="10"/>
        <v>64.984430397794839</v>
      </c>
      <c r="W53" s="26">
        <f t="shared" si="11"/>
        <v>0.33665750208970141</v>
      </c>
      <c r="X53" s="138">
        <f t="shared" si="12"/>
        <v>13.673769743801941</v>
      </c>
      <c r="Z53" s="84"/>
      <c r="AS53" s="18"/>
      <c r="AT53" s="18"/>
    </row>
    <row r="54" spans="1:46" ht="12.4" customHeight="1" x14ac:dyDescent="0.2">
      <c r="A54" s="133">
        <f>'Raw Data'!A54</f>
        <v>37.643112182617187</v>
      </c>
      <c r="B54" s="84">
        <f>'Raw Data'!E54</f>
        <v>0.4786744284574741</v>
      </c>
      <c r="C54" s="84">
        <f t="shared" si="1"/>
        <v>0.5213255715425259</v>
      </c>
      <c r="D54" s="97">
        <f t="shared" si="2"/>
        <v>2.5827750898834545E-2</v>
      </c>
      <c r="E54" s="87">
        <f>(2*Table!$AC$16*0.147)/A54</f>
        <v>2.9017334330495483</v>
      </c>
      <c r="F54" s="87">
        <f t="shared" si="3"/>
        <v>5.8034668660990967</v>
      </c>
      <c r="G54" s="133">
        <f>IF((('Raw Data'!C54)/('Raw Data'!C$136)*100)&lt;0,0,('Raw Data'!C54)/('Raw Data'!C$136)*100)</f>
        <v>47.867442845747412</v>
      </c>
      <c r="H54" s="133">
        <f t="shared" si="4"/>
        <v>2.5827750898834552</v>
      </c>
      <c r="I54" s="49">
        <f t="shared" si="5"/>
        <v>3.9710765406042459E-2</v>
      </c>
      <c r="J54" s="87">
        <f>'Raw Data'!F54/I54</f>
        <v>0.65039670312938747</v>
      </c>
      <c r="K54" s="127">
        <f t="shared" si="6"/>
        <v>0.36125036506485853</v>
      </c>
      <c r="L54" s="133">
        <f>A54*Table!$AC$9/$AC$16</f>
        <v>7.0923123969976967</v>
      </c>
      <c r="M54" s="133">
        <f>A54*Table!$AD$9/$AC$16</f>
        <v>2.4316499646849246</v>
      </c>
      <c r="N54" s="133">
        <f>ABS(A54*Table!$AE$9/$AC$16)</f>
        <v>3.071061353687655</v>
      </c>
      <c r="O54" s="133">
        <f>($L54*(Table!$AC$10/Table!$AC$9)/(Table!$AC$12-Table!$AC$14))</f>
        <v>15.213025304585367</v>
      </c>
      <c r="P54" s="133">
        <f>$N54*(Table!$AE$10/Table!$AE$9)/(Table!$AC$12-Table!$AC$13)</f>
        <v>25.213968421080907</v>
      </c>
      <c r="Q54" s="133">
        <f>'Raw Data'!C54</f>
        <v>0.85715886497753668</v>
      </c>
      <c r="R54" s="133">
        <f>'Raw Data'!C54/'Raw Data'!I$23*100</f>
        <v>12.415682878355499</v>
      </c>
      <c r="S54" s="157">
        <f t="shared" si="7"/>
        <v>0.25215418196336381</v>
      </c>
      <c r="T54" s="157">
        <f t="shared" si="8"/>
        <v>5.6286405118004756E-2</v>
      </c>
      <c r="U54" s="26">
        <f t="shared" si="9"/>
        <v>0.32982615300572321</v>
      </c>
      <c r="V54" s="26">
        <f t="shared" si="10"/>
        <v>61.149510056852428</v>
      </c>
      <c r="W54" s="26">
        <f t="shared" si="11"/>
        <v>0.26539407048241898</v>
      </c>
      <c r="X54" s="138">
        <f t="shared" si="12"/>
        <v>13.93916381428436</v>
      </c>
      <c r="Z54" s="84"/>
      <c r="AS54" s="18"/>
      <c r="AT54" s="18"/>
    </row>
    <row r="55" spans="1:46" ht="12.4" customHeight="1" x14ac:dyDescent="0.2">
      <c r="A55" s="133">
        <f>'Raw Data'!A55</f>
        <v>40.977954864501953</v>
      </c>
      <c r="B55" s="84">
        <f>'Raw Data'!E55</f>
        <v>0.50160345510753557</v>
      </c>
      <c r="C55" s="84">
        <f t="shared" si="1"/>
        <v>0.49839654489246443</v>
      </c>
      <c r="D55" s="97">
        <f t="shared" si="2"/>
        <v>2.2929026650061468E-2</v>
      </c>
      <c r="E55" s="87">
        <f>(2*Table!$AC$16*0.147)/A55</f>
        <v>2.6655863501611243</v>
      </c>
      <c r="F55" s="87">
        <f t="shared" si="3"/>
        <v>5.3311727003222487</v>
      </c>
      <c r="G55" s="133">
        <f>IF((('Raw Data'!C55)/('Raw Data'!C$136)*100)&lt;0,0,('Raw Data'!C55)/('Raw Data'!C$136)*100)</f>
        <v>50.160345510753558</v>
      </c>
      <c r="H55" s="133">
        <f t="shared" si="4"/>
        <v>2.2929026650061459</v>
      </c>
      <c r="I55" s="49">
        <f t="shared" si="5"/>
        <v>3.6864757777203383E-2</v>
      </c>
      <c r="J55" s="87">
        <f>'Raw Data'!F55/I55</f>
        <v>0.62197686985049006</v>
      </c>
      <c r="K55" s="127">
        <f t="shared" si="6"/>
        <v>0.39325391276358085</v>
      </c>
      <c r="L55" s="133">
        <f>A55*Table!$AC$9/$AC$16</f>
        <v>7.7206277706051498</v>
      </c>
      <c r="M55" s="133">
        <f>A55*Table!$AD$9/$AC$16</f>
        <v>2.6470723784931942</v>
      </c>
      <c r="N55" s="133">
        <f>ABS(A55*Table!$AE$9/$AC$16)</f>
        <v>3.3431298912538376</v>
      </c>
      <c r="O55" s="133">
        <f>($L55*(Table!$AC$10/Table!$AC$9)/(Table!$AC$12-Table!$AC$14))</f>
        <v>16.560763128711177</v>
      </c>
      <c r="P55" s="133">
        <f>$N55*(Table!$AE$10/Table!$AE$9)/(Table!$AC$12-Table!$AC$13)</f>
        <v>27.447700256599646</v>
      </c>
      <c r="Q55" s="133">
        <f>'Raw Data'!C55</f>
        <v>0.89821770850452587</v>
      </c>
      <c r="R55" s="133">
        <f>'Raw Data'!C55/'Raw Data'!I$23*100</f>
        <v>13.010407615404654</v>
      </c>
      <c r="S55" s="157">
        <f t="shared" si="7"/>
        <v>0.22385417843035296</v>
      </c>
      <c r="T55" s="157">
        <f t="shared" si="8"/>
        <v>4.2825811299855188E-2</v>
      </c>
      <c r="U55" s="26">
        <f t="shared" si="9"/>
        <v>0.31749772916742613</v>
      </c>
      <c r="V55" s="26">
        <f t="shared" si="10"/>
        <v>57.334534383191581</v>
      </c>
      <c r="W55" s="26">
        <f t="shared" si="11"/>
        <v>0.1988203023526347</v>
      </c>
      <c r="X55" s="138">
        <f t="shared" si="12"/>
        <v>14.137984116636995</v>
      </c>
      <c r="Z55" s="84"/>
      <c r="AS55" s="18"/>
      <c r="AT55" s="18"/>
    </row>
    <row r="56" spans="1:46" ht="12.4" customHeight="1" x14ac:dyDescent="0.2">
      <c r="A56" s="133">
        <f>'Raw Data'!A56</f>
        <v>45.460674285888672</v>
      </c>
      <c r="B56" s="84">
        <f>'Raw Data'!E56</f>
        <v>0.52306597651611397</v>
      </c>
      <c r="C56" s="84">
        <f t="shared" si="1"/>
        <v>0.47693402348388603</v>
      </c>
      <c r="D56" s="97">
        <f t="shared" si="2"/>
        <v>2.1462521408578406E-2</v>
      </c>
      <c r="E56" s="87">
        <f>(2*Table!$AC$16*0.147)/A56</f>
        <v>2.4027421251479528</v>
      </c>
      <c r="F56" s="87">
        <f t="shared" si="3"/>
        <v>4.8054842502959056</v>
      </c>
      <c r="G56" s="133">
        <f>IF((('Raw Data'!C56)/('Raw Data'!C$136)*100)&lt;0,0,('Raw Data'!C56)/('Raw Data'!C$136)*100)</f>
        <v>52.306597651611398</v>
      </c>
      <c r="H56" s="133">
        <f t="shared" si="4"/>
        <v>2.1462521408578397</v>
      </c>
      <c r="I56" s="49">
        <f t="shared" si="5"/>
        <v>4.5085593263130552E-2</v>
      </c>
      <c r="J56" s="87">
        <f>'Raw Data'!F56/I56</f>
        <v>0.47603945862080332</v>
      </c>
      <c r="K56" s="127">
        <f t="shared" si="6"/>
        <v>0.43627331083043575</v>
      </c>
      <c r="L56" s="133">
        <f>A56*Table!$AC$9/$AC$16</f>
        <v>8.565213796604473</v>
      </c>
      <c r="M56" s="133">
        <f>A56*Table!$AD$9/$AC$16</f>
        <v>2.9366447302643905</v>
      </c>
      <c r="N56" s="133">
        <f>ABS(A56*Table!$AE$9/$AC$16)</f>
        <v>3.708846368352217</v>
      </c>
      <c r="O56" s="133">
        <f>($L56*(Table!$AC$10/Table!$AC$9)/(Table!$AC$12-Table!$AC$14))</f>
        <v>18.372401966118563</v>
      </c>
      <c r="P56" s="133">
        <f>$N56*(Table!$AE$10/Table!$AE$9)/(Table!$AC$12-Table!$AC$13)</f>
        <v>30.450298590740694</v>
      </c>
      <c r="Q56" s="133">
        <f>'Raw Data'!C56</f>
        <v>0.93665049161645575</v>
      </c>
      <c r="R56" s="133">
        <f>'Raw Data'!C56/'Raw Data'!I$23*100</f>
        <v>13.567094673949914</v>
      </c>
      <c r="S56" s="157">
        <f t="shared" si="7"/>
        <v>0.20953680983873343</v>
      </c>
      <c r="T56" s="157">
        <f t="shared" si="8"/>
        <v>3.2588447069755166E-2</v>
      </c>
      <c r="U56" s="26">
        <f t="shared" si="9"/>
        <v>0.2984358434419711</v>
      </c>
      <c r="V56" s="26">
        <f t="shared" si="10"/>
        <v>51.635205197922701</v>
      </c>
      <c r="W56" s="26">
        <f t="shared" si="11"/>
        <v>0.15121144572226217</v>
      </c>
      <c r="X56" s="138">
        <f t="shared" si="12"/>
        <v>14.289195562359257</v>
      </c>
      <c r="Z56" s="84"/>
      <c r="AS56" s="18"/>
      <c r="AT56" s="18"/>
    </row>
    <row r="57" spans="1:46" ht="12.4" customHeight="1" x14ac:dyDescent="0.2">
      <c r="A57" s="133">
        <f>'Raw Data'!A57</f>
        <v>48.356235504150391</v>
      </c>
      <c r="B57" s="84">
        <f>'Raw Data'!E57</f>
        <v>0.54306199268320909</v>
      </c>
      <c r="C57" s="84">
        <f t="shared" si="1"/>
        <v>0.45693800731679091</v>
      </c>
      <c r="D57" s="97">
        <f t="shared" si="2"/>
        <v>1.9996016167095121E-2</v>
      </c>
      <c r="E57" s="87">
        <f>(2*Table!$AC$16*0.147)/A57</f>
        <v>2.2588664317130283</v>
      </c>
      <c r="F57" s="87">
        <f t="shared" si="3"/>
        <v>4.5177328634260565</v>
      </c>
      <c r="G57" s="133">
        <f>IF((('Raw Data'!C57)/('Raw Data'!C$136)*100)&lt;0,0,('Raw Data'!C57)/('Raw Data'!C$136)*100)</f>
        <v>54.30619926832091</v>
      </c>
      <c r="H57" s="133">
        <f t="shared" si="4"/>
        <v>1.9996016167095121</v>
      </c>
      <c r="I57" s="49">
        <f t="shared" si="5"/>
        <v>2.6816610994058687E-2</v>
      </c>
      <c r="J57" s="87">
        <f>'Raw Data'!F57/I57</f>
        <v>0.74565783765611948</v>
      </c>
      <c r="K57" s="127">
        <f t="shared" si="6"/>
        <v>0.46406119781730726</v>
      </c>
      <c r="L57" s="133">
        <f>A57*Table!$AC$9/$AC$16</f>
        <v>9.1107644573712125</v>
      </c>
      <c r="M57" s="133">
        <f>A57*Table!$AD$9/$AC$16</f>
        <v>3.1236906710987018</v>
      </c>
      <c r="N57" s="133">
        <f>ABS(A57*Table!$AE$9/$AC$16)</f>
        <v>3.9450767339899087</v>
      </c>
      <c r="O57" s="133">
        <f>($L57*(Table!$AC$10/Table!$AC$9)/(Table!$AC$12-Table!$AC$14))</f>
        <v>19.542609303670556</v>
      </c>
      <c r="P57" s="133">
        <f>$N57*(Table!$AE$10/Table!$AE$9)/(Table!$AC$12-Table!$AC$13)</f>
        <v>32.389792561493501</v>
      </c>
      <c r="Q57" s="133">
        <f>'Raw Data'!C57</f>
        <v>0.97245721431332632</v>
      </c>
      <c r="R57" s="133">
        <f>'Raw Data'!C57/'Raw Data'!I$23*100</f>
        <v>14.085744053991277</v>
      </c>
      <c r="S57" s="157">
        <f t="shared" si="7"/>
        <v>0.19521944124711174</v>
      </c>
      <c r="T57" s="157">
        <f t="shared" si="8"/>
        <v>2.4158639305468355E-2</v>
      </c>
      <c r="U57" s="26">
        <f t="shared" si="9"/>
        <v>0.29129116249717796</v>
      </c>
      <c r="V57" s="26">
        <f t="shared" si="10"/>
        <v>49.562177047499837</v>
      </c>
      <c r="W57" s="26">
        <f t="shared" si="11"/>
        <v>0.12451285219008856</v>
      </c>
      <c r="X57" s="138">
        <f t="shared" si="12"/>
        <v>14.413708414549346</v>
      </c>
      <c r="Z57" s="84"/>
      <c r="AS57" s="18"/>
      <c r="AT57" s="18"/>
    </row>
    <row r="58" spans="1:46" ht="12.4" customHeight="1" x14ac:dyDescent="0.2">
      <c r="A58" s="133">
        <f>'Raw Data'!A58</f>
        <v>54.441654205322266</v>
      </c>
      <c r="B58" s="84">
        <f>'Raw Data'!E58</f>
        <v>0.56159150360882126</v>
      </c>
      <c r="C58" s="84">
        <f t="shared" si="1"/>
        <v>0.43840849639117874</v>
      </c>
      <c r="D58" s="97">
        <f t="shared" si="2"/>
        <v>1.8529510925612169E-2</v>
      </c>
      <c r="E58" s="87">
        <f>(2*Table!$AC$16*0.147)/A58</f>
        <v>2.0063732217316903</v>
      </c>
      <c r="F58" s="87">
        <f t="shared" si="3"/>
        <v>4.0127464434633806</v>
      </c>
      <c r="G58" s="133">
        <f>IF((('Raw Data'!C58)/('Raw Data'!C$136)*100)&lt;0,0,('Raw Data'!C58)/('Raw Data'!C$136)*100)</f>
        <v>56.159150360882123</v>
      </c>
      <c r="H58" s="133">
        <f t="shared" si="4"/>
        <v>1.8529510925612129</v>
      </c>
      <c r="I58" s="49">
        <f t="shared" si="5"/>
        <v>5.1478828722654413E-2</v>
      </c>
      <c r="J58" s="87">
        <f>'Raw Data'!F58/I58</f>
        <v>0.359944299149484</v>
      </c>
      <c r="K58" s="127">
        <f t="shared" si="6"/>
        <v>0.52246125030781343</v>
      </c>
      <c r="L58" s="133">
        <f>A58*Table!$AC$9/$AC$16</f>
        <v>10.25731393197</v>
      </c>
      <c r="M58" s="133">
        <f>A58*Table!$AD$9/$AC$16</f>
        <v>3.5167933481039997</v>
      </c>
      <c r="N58" s="133">
        <f>ABS(A58*Table!$AE$9/$AC$16)</f>
        <v>4.441547219839034</v>
      </c>
      <c r="O58" s="133">
        <f>($L58*(Table!$AC$10/Table!$AC$9)/(Table!$AC$12-Table!$AC$14))</f>
        <v>22.001960386036036</v>
      </c>
      <c r="P58" s="133">
        <f>$N58*(Table!$AE$10/Table!$AE$9)/(Table!$AC$12-Table!$AC$13)</f>
        <v>36.465904924786805</v>
      </c>
      <c r="Q58" s="133">
        <f>'Raw Data'!C58</f>
        <v>1.0056378765951377</v>
      </c>
      <c r="R58" s="133">
        <f>'Raw Data'!C58/'Raw Data'!I$23*100</f>
        <v>14.566355755528749</v>
      </c>
      <c r="S58" s="157">
        <f t="shared" si="7"/>
        <v>0.1809020726554933</v>
      </c>
      <c r="T58" s="157">
        <f t="shared" si="8"/>
        <v>1.7995805007839261E-2</v>
      </c>
      <c r="U58" s="26">
        <f t="shared" si="9"/>
        <v>0.26755902200533666</v>
      </c>
      <c r="V58" s="26">
        <f t="shared" si="10"/>
        <v>42.927879771603031</v>
      </c>
      <c r="W58" s="26">
        <f t="shared" si="11"/>
        <v>9.1028419322160811E-2</v>
      </c>
      <c r="X58" s="138">
        <f t="shared" si="12"/>
        <v>14.504736833871506</v>
      </c>
      <c r="Z58" s="84"/>
      <c r="AS58" s="18"/>
      <c r="AT58" s="18"/>
    </row>
    <row r="59" spans="1:46" ht="12.4" customHeight="1" x14ac:dyDescent="0.2">
      <c r="A59" s="133">
        <f>'Raw Data'!A59</f>
        <v>58.928813934326172</v>
      </c>
      <c r="B59" s="84">
        <f>'Raw Data'!E59</f>
        <v>0.57805742758843537</v>
      </c>
      <c r="C59" s="84">
        <f t="shared" si="1"/>
        <v>0.42194257241156463</v>
      </c>
      <c r="D59" s="97">
        <f t="shared" si="2"/>
        <v>1.6465923979614105E-2</v>
      </c>
      <c r="E59" s="87">
        <f>(2*Table!$AC$16*0.147)/A59</f>
        <v>1.8535970750415554</v>
      </c>
      <c r="F59" s="87">
        <f t="shared" si="3"/>
        <v>3.7071941500831107</v>
      </c>
      <c r="G59" s="133">
        <f>IF((('Raw Data'!C59)/('Raw Data'!C$136)*100)&lt;0,0,('Raw Data'!C59)/('Raw Data'!C$136)*100)</f>
        <v>57.805742758843536</v>
      </c>
      <c r="H59" s="133">
        <f t="shared" si="4"/>
        <v>1.6465923979614132</v>
      </c>
      <c r="I59" s="49">
        <f t="shared" si="5"/>
        <v>3.4396387363030356E-2</v>
      </c>
      <c r="J59" s="87">
        <f>'Raw Data'!F59/I59</f>
        <v>0.47871085430651578</v>
      </c>
      <c r="K59" s="127">
        <f t="shared" si="6"/>
        <v>0.5655232607585734</v>
      </c>
      <c r="L59" s="133">
        <f>A59*Table!$AC$9/$AC$16</f>
        <v>11.102736553217003</v>
      </c>
      <c r="M59" s="133">
        <f>A59*Table!$AD$9/$AC$16</f>
        <v>3.8066525325315439</v>
      </c>
      <c r="N59" s="133">
        <f>ABS(A59*Table!$AE$9/$AC$16)</f>
        <v>4.8076259533060011</v>
      </c>
      <c r="O59" s="133">
        <f>($L59*(Table!$AC$10/Table!$AC$9)/(Table!$AC$12-Table!$AC$14))</f>
        <v>23.815393722044195</v>
      </c>
      <c r="P59" s="133">
        <f>$N59*(Table!$AE$10/Table!$AE$9)/(Table!$AC$12-Table!$AC$13)</f>
        <v>39.471477449146143</v>
      </c>
      <c r="Q59" s="133">
        <f>'Raw Data'!C59</f>
        <v>1.0351232885371429</v>
      </c>
      <c r="R59" s="133">
        <f>'Raw Data'!C59/'Raw Data'!I$23*100</f>
        <v>14.993442890909664</v>
      </c>
      <c r="S59" s="157">
        <f t="shared" si="7"/>
        <v>0.16075544508747311</v>
      </c>
      <c r="T59" s="157">
        <f t="shared" si="8"/>
        <v>1.3321577298891496E-2</v>
      </c>
      <c r="U59" s="26">
        <f t="shared" si="9"/>
        <v>0.25443313533544493</v>
      </c>
      <c r="V59" s="26">
        <f t="shared" si="10"/>
        <v>39.427384769729763</v>
      </c>
      <c r="W59" s="26">
        <f t="shared" si="11"/>
        <v>6.9040889199479552E-2</v>
      </c>
      <c r="X59" s="138">
        <f t="shared" si="12"/>
        <v>14.573777723070986</v>
      </c>
      <c r="Z59" s="84"/>
      <c r="AS59" s="18"/>
      <c r="AT59" s="18"/>
    </row>
    <row r="60" spans="1:46" ht="12.4" customHeight="1" x14ac:dyDescent="0.2">
      <c r="A60" s="133">
        <f>'Raw Data'!A60</f>
        <v>64.640953063964844</v>
      </c>
      <c r="B60" s="84">
        <f>'Raw Data'!E60</f>
        <v>0.59303226119482144</v>
      </c>
      <c r="C60" s="84">
        <f t="shared" si="1"/>
        <v>0.40696773880517856</v>
      </c>
      <c r="D60" s="97">
        <f t="shared" si="2"/>
        <v>1.4974833606386073E-2</v>
      </c>
      <c r="E60" s="87">
        <f>(2*Table!$AC$16*0.147)/A60</f>
        <v>1.6897999173410587</v>
      </c>
      <c r="F60" s="87">
        <f t="shared" si="3"/>
        <v>3.3795998346821174</v>
      </c>
      <c r="G60" s="133">
        <f>IF((('Raw Data'!C60)/('Raw Data'!C$136)*100)&lt;0,0,('Raw Data'!C60)/('Raw Data'!C$136)*100)</f>
        <v>59.303226119482147</v>
      </c>
      <c r="H60" s="133">
        <f t="shared" si="4"/>
        <v>1.4974833606386113</v>
      </c>
      <c r="I60" s="49">
        <f t="shared" si="5"/>
        <v>4.0180050938461859E-2</v>
      </c>
      <c r="J60" s="87">
        <f>'Raw Data'!F60/I60</f>
        <v>0.37269324594239372</v>
      </c>
      <c r="K60" s="127">
        <f t="shared" si="6"/>
        <v>0.62034105414060203</v>
      </c>
      <c r="L60" s="133">
        <f>A60*Table!$AC$9/$AC$16</f>
        <v>12.178956685228822</v>
      </c>
      <c r="M60" s="133">
        <f>A60*Table!$AD$9/$AC$16</f>
        <v>4.1756422920784537</v>
      </c>
      <c r="N60" s="133">
        <f>ABS(A60*Table!$AE$9/$AC$16)</f>
        <v>5.27364294049924</v>
      </c>
      <c r="O60" s="133">
        <f>($L60*(Table!$AC$10/Table!$AC$9)/(Table!$AC$12-Table!$AC$14))</f>
        <v>26.123888213704038</v>
      </c>
      <c r="P60" s="133">
        <f>$N60*(Table!$AE$10/Table!$AE$9)/(Table!$AC$12-Table!$AC$13)</f>
        <v>43.297561087842681</v>
      </c>
      <c r="Q60" s="133">
        <f>'Raw Data'!C60</f>
        <v>1.0619386156450492</v>
      </c>
      <c r="R60" s="133">
        <f>'Raw Data'!C60/'Raw Data'!I$23*100</f>
        <v>15.381854667599226</v>
      </c>
      <c r="S60" s="157">
        <f t="shared" si="7"/>
        <v>0.14619805390124607</v>
      </c>
      <c r="T60" s="157">
        <f t="shared" si="8"/>
        <v>9.7887235176412624E-3</v>
      </c>
      <c r="U60" s="26">
        <f t="shared" si="9"/>
        <v>0.23795835207408308</v>
      </c>
      <c r="V60" s="26">
        <f t="shared" si="10"/>
        <v>35.207566368384086</v>
      </c>
      <c r="W60" s="26">
        <f t="shared" si="11"/>
        <v>5.2182174608725075E-2</v>
      </c>
      <c r="X60" s="138">
        <f t="shared" si="12"/>
        <v>14.625959897679712</v>
      </c>
      <c r="Z60" s="84"/>
      <c r="AS60" s="18"/>
      <c r="AT60" s="18"/>
    </row>
    <row r="61" spans="1:46" ht="12.4" customHeight="1" x14ac:dyDescent="0.2">
      <c r="A61" s="133">
        <f>'Raw Data'!A61</f>
        <v>70.702125549316406</v>
      </c>
      <c r="B61" s="84">
        <f>'Raw Data'!E61</f>
        <v>0.60518889076920079</v>
      </c>
      <c r="C61" s="84">
        <f t="shared" si="1"/>
        <v>0.39481110923079921</v>
      </c>
      <c r="D61" s="97">
        <f t="shared" si="2"/>
        <v>1.2156629574379352E-2</v>
      </c>
      <c r="E61" s="87">
        <f>(2*Table!$AC$16*0.147)/A61</f>
        <v>1.5449362560980482</v>
      </c>
      <c r="F61" s="87">
        <f t="shared" si="3"/>
        <v>3.0898725121960964</v>
      </c>
      <c r="G61" s="133">
        <f>IF((('Raw Data'!C61)/('Raw Data'!C$136)*100)&lt;0,0,('Raw Data'!C61)/('Raw Data'!C$136)*100)</f>
        <v>60.518889076920082</v>
      </c>
      <c r="H61" s="133">
        <f t="shared" si="4"/>
        <v>1.2156629574379352</v>
      </c>
      <c r="I61" s="49">
        <f t="shared" si="5"/>
        <v>3.892471934405603E-2</v>
      </c>
      <c r="J61" s="87">
        <f>'Raw Data'!F61/I61</f>
        <v>0.31231129676046643</v>
      </c>
      <c r="K61" s="127">
        <f t="shared" si="6"/>
        <v>0.67850842251418308</v>
      </c>
      <c r="L61" s="133">
        <f>A61*Table!$AC$9/$AC$16</f>
        <v>13.32093794728959</v>
      </c>
      <c r="M61" s="133">
        <f>A61*Table!$AD$9/$AC$16</f>
        <v>4.567178724785002</v>
      </c>
      <c r="N61" s="133">
        <f>ABS(A61*Table!$AE$9/$AC$16)</f>
        <v>5.7681353322944595</v>
      </c>
      <c r="O61" s="133">
        <f>($L61*(Table!$AC$10/Table!$AC$9)/(Table!$AC$12-Table!$AC$14))</f>
        <v>28.573440470376646</v>
      </c>
      <c r="P61" s="133">
        <f>$N61*(Table!$AE$10/Table!$AE$9)/(Table!$AC$12-Table!$AC$13)</f>
        <v>47.357432941662225</v>
      </c>
      <c r="Q61" s="133">
        <f>'Raw Data'!C61</f>
        <v>1.0837074050109368</v>
      </c>
      <c r="R61" s="133">
        <f>'Raw Data'!C61/'Raw Data'!I$23*100</f>
        <v>15.697168895166202</v>
      </c>
      <c r="S61" s="157">
        <f t="shared" si="7"/>
        <v>0.11868416254152359</v>
      </c>
      <c r="T61" s="157">
        <f t="shared" si="8"/>
        <v>7.39139582313042E-3</v>
      </c>
      <c r="U61" s="26">
        <f t="shared" si="9"/>
        <v>0.2220183448971001</v>
      </c>
      <c r="V61" s="26">
        <f t="shared" si="10"/>
        <v>31.312407424372203</v>
      </c>
      <c r="W61" s="26">
        <f t="shared" si="11"/>
        <v>3.5409835814102654E-2</v>
      </c>
      <c r="X61" s="138">
        <f t="shared" si="12"/>
        <v>14.661369733493814</v>
      </c>
      <c r="Z61" s="84"/>
      <c r="AS61" s="18"/>
      <c r="AT61" s="18"/>
    </row>
    <row r="62" spans="1:46" ht="12.4" customHeight="1" x14ac:dyDescent="0.2">
      <c r="A62" s="133">
        <f>'Raw Data'!A62</f>
        <v>77.531982421875</v>
      </c>
      <c r="B62" s="84">
        <f>'Raw Data'!E62</f>
        <v>0.61470733237166164</v>
      </c>
      <c r="C62" s="84">
        <f t="shared" si="1"/>
        <v>0.38529266762833836</v>
      </c>
      <c r="D62" s="97">
        <f t="shared" si="2"/>
        <v>9.5184416024608476E-3</v>
      </c>
      <c r="E62" s="87">
        <f>(2*Table!$AC$16*0.147)/A62</f>
        <v>1.4088415352258121</v>
      </c>
      <c r="F62" s="87">
        <f t="shared" si="3"/>
        <v>2.8176830704516242</v>
      </c>
      <c r="G62" s="133">
        <f>IF((('Raw Data'!C62)/('Raw Data'!C$136)*100)&lt;0,0,('Raw Data'!C62)/('Raw Data'!C$136)*100)</f>
        <v>61.470733237166165</v>
      </c>
      <c r="H62" s="133">
        <f t="shared" si="4"/>
        <v>0.95184416024608254</v>
      </c>
      <c r="I62" s="49">
        <f t="shared" si="5"/>
        <v>4.0048418243611356E-2</v>
      </c>
      <c r="J62" s="87">
        <f>'Raw Data'!F62/I62</f>
        <v>0.2376733469112543</v>
      </c>
      <c r="K62" s="127">
        <f t="shared" si="6"/>
        <v>0.74405263885270012</v>
      </c>
      <c r="L62" s="133">
        <f>A62*Table!$AC$9/$AC$16</f>
        <v>14.607746496273901</v>
      </c>
      <c r="M62" s="133">
        <f>A62*Table!$AD$9/$AC$16</f>
        <v>5.0083702272939083</v>
      </c>
      <c r="N62" s="133">
        <f>ABS(A62*Table!$AE$9/$AC$16)</f>
        <v>6.3253397789081616</v>
      </c>
      <c r="O62" s="133">
        <f>($L62*(Table!$AC$10/Table!$AC$9)/(Table!$AC$12-Table!$AC$14))</f>
        <v>31.33364756815509</v>
      </c>
      <c r="P62" s="133">
        <f>$N62*(Table!$AE$10/Table!$AE$9)/(Table!$AC$12-Table!$AC$13)</f>
        <v>51.932182092842034</v>
      </c>
      <c r="Q62" s="133">
        <f>'Raw Data'!C62</f>
        <v>1.1007520101021511</v>
      </c>
      <c r="R62" s="133">
        <f>'Raw Data'!C62/'Raw Data'!I$23*100</f>
        <v>15.944054764572533</v>
      </c>
      <c r="S62" s="157">
        <f t="shared" si="7"/>
        <v>9.2927752990790535E-2</v>
      </c>
      <c r="T62" s="157">
        <f t="shared" si="8"/>
        <v>5.830466524877953E-3</v>
      </c>
      <c r="U62" s="26">
        <f t="shared" si="9"/>
        <v>0.20564487410906251</v>
      </c>
      <c r="V62" s="26">
        <f t="shared" si="10"/>
        <v>27.507761207915603</v>
      </c>
      <c r="W62" s="26">
        <f t="shared" si="11"/>
        <v>2.3055775935470937E-2</v>
      </c>
      <c r="X62" s="138">
        <f t="shared" si="12"/>
        <v>14.684425509429285</v>
      </c>
      <c r="Z62" s="84"/>
      <c r="AS62" s="18"/>
      <c r="AT62" s="18"/>
    </row>
    <row r="63" spans="1:46" x14ac:dyDescent="0.2">
      <c r="A63" s="133">
        <f>'Raw Data'!A63</f>
        <v>84.764518737792969</v>
      </c>
      <c r="B63" s="84">
        <f>'Raw Data'!E63</f>
        <v>0.62294427575932221</v>
      </c>
      <c r="C63" s="84">
        <f t="shared" si="1"/>
        <v>0.37705572424067779</v>
      </c>
      <c r="D63" s="97">
        <f t="shared" si="2"/>
        <v>8.2369433876605669E-3</v>
      </c>
      <c r="E63" s="87">
        <f>(2*Table!$AC$16*0.147)/A63</f>
        <v>1.2886320688285087</v>
      </c>
      <c r="F63" s="87">
        <f t="shared" si="3"/>
        <v>2.5772641376570173</v>
      </c>
      <c r="G63" s="133">
        <f>IF((('Raw Data'!C63)/('Raw Data'!C$136)*100)&lt;0,0,('Raw Data'!C63)/('Raw Data'!C$136)*100)</f>
        <v>62.294427575932218</v>
      </c>
      <c r="H63" s="133">
        <f t="shared" si="4"/>
        <v>0.82369433876605314</v>
      </c>
      <c r="I63" s="49">
        <f t="shared" si="5"/>
        <v>3.8733211969813677E-2</v>
      </c>
      <c r="J63" s="87">
        <f>'Raw Data'!F63/I63</f>
        <v>0.21265841299399446</v>
      </c>
      <c r="K63" s="127">
        <f t="shared" si="6"/>
        <v>0.81346125660446844</v>
      </c>
      <c r="L63" s="133">
        <f>A63*Table!$AC$9/$AC$16</f>
        <v>15.97042359710108</v>
      </c>
      <c r="M63" s="133">
        <f>A63*Table!$AD$9/$AC$16</f>
        <v>5.4755738047203701</v>
      </c>
      <c r="N63" s="133">
        <f>ABS(A63*Table!$AE$9/$AC$16)</f>
        <v>6.9153962721439957</v>
      </c>
      <c r="O63" s="133">
        <f>($L63*(Table!$AC$10/Table!$AC$9)/(Table!$AC$12-Table!$AC$14))</f>
        <v>34.256592872374696</v>
      </c>
      <c r="P63" s="133">
        <f>$N63*(Table!$AE$10/Table!$AE$9)/(Table!$AC$12-Table!$AC$13)</f>
        <v>56.776652480656765</v>
      </c>
      <c r="Q63" s="133">
        <f>'Raw Data'!C63</f>
        <v>1.1155018455337269</v>
      </c>
      <c r="R63" s="133">
        <f>'Raw Data'!C63/'Raw Data'!I$23*100</f>
        <v>16.15770160030954</v>
      </c>
      <c r="S63" s="157">
        <f t="shared" si="7"/>
        <v>8.0416592599544187E-2</v>
      </c>
      <c r="T63" s="157">
        <f t="shared" si="8"/>
        <v>4.7003660961472127E-3</v>
      </c>
      <c r="U63" s="26">
        <f t="shared" si="9"/>
        <v>0.19061869094415673</v>
      </c>
      <c r="V63" s="26">
        <f t="shared" si="10"/>
        <v>24.195395583052381</v>
      </c>
      <c r="W63" s="26">
        <f t="shared" si="11"/>
        <v>1.6692198870612095E-2</v>
      </c>
      <c r="X63" s="138">
        <f t="shared" si="12"/>
        <v>14.701117708299897</v>
      </c>
      <c r="AS63" s="18"/>
      <c r="AT63" s="18"/>
    </row>
    <row r="64" spans="1:46" x14ac:dyDescent="0.2">
      <c r="A64" s="133">
        <f>'Raw Data'!A64</f>
        <v>92.472999572753906</v>
      </c>
      <c r="B64" s="84">
        <f>'Raw Data'!E64</f>
        <v>0.63085201442161487</v>
      </c>
      <c r="C64" s="84">
        <f t="shared" si="1"/>
        <v>0.36914798557838513</v>
      </c>
      <c r="D64" s="97">
        <f t="shared" si="2"/>
        <v>7.9077386622926626E-3</v>
      </c>
      <c r="E64" s="87">
        <f>(2*Table!$AC$16*0.147)/A64</f>
        <v>1.1812126528716873</v>
      </c>
      <c r="F64" s="87">
        <f t="shared" si="3"/>
        <v>2.3624253057433746</v>
      </c>
      <c r="G64" s="133">
        <f>IF((('Raw Data'!C64)/('Raw Data'!C$136)*100)&lt;0,0,('Raw Data'!C64)/('Raw Data'!C$136)*100)</f>
        <v>63.085201442161484</v>
      </c>
      <c r="H64" s="133">
        <f t="shared" si="4"/>
        <v>0.79077386622926582</v>
      </c>
      <c r="I64" s="49">
        <f t="shared" si="5"/>
        <v>3.7800844595837629E-2</v>
      </c>
      <c r="J64" s="87">
        <f>'Raw Data'!F64/I64</f>
        <v>0.20919476130338657</v>
      </c>
      <c r="K64" s="127">
        <f t="shared" si="6"/>
        <v>0.88743738010392281</v>
      </c>
      <c r="L64" s="133">
        <f>A64*Table!$AC$9/$AC$16</f>
        <v>17.422773071357849</v>
      </c>
      <c r="M64" s="133">
        <f>A64*Table!$AD$9/$AC$16</f>
        <v>5.9735221958941187</v>
      </c>
      <c r="N64" s="133">
        <f>ABS(A64*Table!$AE$9/$AC$16)</f>
        <v>7.5442820420836627</v>
      </c>
      <c r="O64" s="133">
        <f>($L64*(Table!$AC$10/Table!$AC$9)/(Table!$AC$12-Table!$AC$14))</f>
        <v>37.371885609948201</v>
      </c>
      <c r="P64" s="133">
        <f>$N64*(Table!$AE$10/Table!$AE$9)/(Table!$AC$12-Table!$AC$13)</f>
        <v>61.93991824370822</v>
      </c>
      <c r="Q64" s="133">
        <f>'Raw Data'!C64</f>
        <v>1.1296621764253361</v>
      </c>
      <c r="R64" s="133">
        <f>'Raw Data'!C64/'Raw Data'!I$23*100</f>
        <v>16.362809643854543</v>
      </c>
      <c r="S64" s="157">
        <f t="shared" si="7"/>
        <v>7.7202594270817729E-2</v>
      </c>
      <c r="T64" s="157">
        <f t="shared" si="8"/>
        <v>3.7887718452871422E-3</v>
      </c>
      <c r="U64" s="26">
        <f t="shared" si="9"/>
        <v>0.17694688957267971</v>
      </c>
      <c r="V64" s="26">
        <f t="shared" si="10"/>
        <v>21.33414758807292</v>
      </c>
      <c r="W64" s="26">
        <f t="shared" si="11"/>
        <v>1.3464743608453166E-2</v>
      </c>
      <c r="X64" s="138">
        <f t="shared" si="12"/>
        <v>14.714582451908351</v>
      </c>
      <c r="AS64" s="18"/>
      <c r="AT64" s="18"/>
    </row>
    <row r="65" spans="1:46" x14ac:dyDescent="0.2">
      <c r="A65" s="133">
        <f>'Raw Data'!A65</f>
        <v>101.61772918701172</v>
      </c>
      <c r="B65" s="84">
        <f>'Raw Data'!E65</f>
        <v>0.63863536283954325</v>
      </c>
      <c r="C65" s="84">
        <f t="shared" si="1"/>
        <v>0.36136463716045675</v>
      </c>
      <c r="D65" s="97">
        <f t="shared" si="2"/>
        <v>7.7833484179283818E-3</v>
      </c>
      <c r="E65" s="87">
        <f>(2*Table!$AC$16*0.147)/A65</f>
        <v>1.0749135807130035</v>
      </c>
      <c r="F65" s="87">
        <f t="shared" si="3"/>
        <v>2.1498271614260069</v>
      </c>
      <c r="G65" s="133">
        <f>IF((('Raw Data'!C65)/('Raw Data'!C$136)*100)&lt;0,0,('Raw Data'!C65)/('Raw Data'!C$136)*100)</f>
        <v>63.863536283954325</v>
      </c>
      <c r="H65" s="133">
        <f t="shared" si="4"/>
        <v>0.77833484179284085</v>
      </c>
      <c r="I65" s="49">
        <f t="shared" si="5"/>
        <v>4.0954540478267486E-2</v>
      </c>
      <c r="J65" s="87">
        <f>'Raw Data'!F65/I65</f>
        <v>0.19004848612716368</v>
      </c>
      <c r="K65" s="127">
        <f t="shared" si="6"/>
        <v>0.97519677936782223</v>
      </c>
      <c r="L65" s="133">
        <f>A65*Table!$AC$9/$AC$16</f>
        <v>19.145725172017112</v>
      </c>
      <c r="M65" s="133">
        <f>A65*Table!$AD$9/$AC$16</f>
        <v>6.5642486304058671</v>
      </c>
      <c r="N65" s="133">
        <f>ABS(A65*Table!$AE$9/$AC$16)</f>
        <v>8.2903421864210056</v>
      </c>
      <c r="O65" s="133">
        <f>($L65*(Table!$AC$10/Table!$AC$9)/(Table!$AC$12-Table!$AC$14))</f>
        <v>41.067621561598273</v>
      </c>
      <c r="P65" s="133">
        <f>$N65*(Table!$AE$10/Table!$AE$9)/(Table!$AC$12-Table!$AC$13)</f>
        <v>68.065206785065712</v>
      </c>
      <c r="Q65" s="133">
        <f>'Raw Data'!C65</f>
        <v>1.1435997625987511</v>
      </c>
      <c r="R65" s="133">
        <f>'Raw Data'!C65/'Raw Data'!I$23*100</f>
        <v>16.56469129857372</v>
      </c>
      <c r="S65" s="157">
        <f t="shared" si="7"/>
        <v>7.5988182670103641E-2</v>
      </c>
      <c r="T65" s="157">
        <f t="shared" si="8"/>
        <v>3.0457413124136412E-3</v>
      </c>
      <c r="U65" s="26">
        <f t="shared" si="9"/>
        <v>0.16300985498395626</v>
      </c>
      <c r="V65" s="26">
        <f t="shared" si="10"/>
        <v>18.570625617890382</v>
      </c>
      <c r="W65" s="26">
        <f t="shared" si="11"/>
        <v>1.0974965681227817E-2</v>
      </c>
      <c r="X65" s="138">
        <f t="shared" si="12"/>
        <v>14.725557417589579</v>
      </c>
      <c r="AS65" s="18"/>
      <c r="AT65" s="18"/>
    </row>
    <row r="66" spans="1:46" x14ac:dyDescent="0.2">
      <c r="A66" s="133">
        <f>'Raw Data'!A66</f>
        <v>111.69001007080078</v>
      </c>
      <c r="B66" s="84">
        <f>'Raw Data'!E66</f>
        <v>0.64538428721803398</v>
      </c>
      <c r="C66" s="84">
        <f t="shared" si="1"/>
        <v>0.35461571278196602</v>
      </c>
      <c r="D66" s="97">
        <f t="shared" si="2"/>
        <v>6.7489243784907282E-3</v>
      </c>
      <c r="E66" s="87">
        <f>(2*Table!$AC$16*0.147)/A66</f>
        <v>0.97797714473383524</v>
      </c>
      <c r="F66" s="87">
        <f t="shared" si="3"/>
        <v>1.9559542894676705</v>
      </c>
      <c r="G66" s="133">
        <f>IF((('Raw Data'!C66)/('Raw Data'!C$136)*100)&lt;0,0,('Raw Data'!C66)/('Raw Data'!C$136)*100)</f>
        <v>64.538428721803399</v>
      </c>
      <c r="H66" s="133">
        <f t="shared" si="4"/>
        <v>0.67489243784907416</v>
      </c>
      <c r="I66" s="49">
        <f t="shared" si="5"/>
        <v>4.1044844429207757E-2</v>
      </c>
      <c r="J66" s="87">
        <f>'Raw Data'!F66/I66</f>
        <v>0.16442806574966948</v>
      </c>
      <c r="K66" s="127">
        <f t="shared" si="6"/>
        <v>1.0718576274043146</v>
      </c>
      <c r="L66" s="133">
        <f>A66*Table!$AC$9/$AC$16</f>
        <v>21.043436557610985</v>
      </c>
      <c r="M66" s="133">
        <f>A66*Table!$AD$9/$AC$16</f>
        <v>7.2148925340380519</v>
      </c>
      <c r="N66" s="133">
        <f>ABS(A66*Table!$AE$9/$AC$16)</f>
        <v>9.1120753209086356</v>
      </c>
      <c r="O66" s="133">
        <f>($L66*(Table!$AC$10/Table!$AC$9)/(Table!$AC$12-Table!$AC$14))</f>
        <v>45.138216554292121</v>
      </c>
      <c r="P66" s="133">
        <f>$N66*(Table!$AE$10/Table!$AE$9)/(Table!$AC$12-Table!$AC$13)</f>
        <v>74.811784243913252</v>
      </c>
      <c r="Q66" s="133">
        <f>'Raw Data'!C66</f>
        <v>1.1556850130658132</v>
      </c>
      <c r="R66" s="133">
        <f>'Raw Data'!C66/'Raw Data'!I$23*100</f>
        <v>16.739742439541004</v>
      </c>
      <c r="S66" s="157">
        <f t="shared" si="7"/>
        <v>6.5889186884937931E-2</v>
      </c>
      <c r="T66" s="157">
        <f t="shared" si="8"/>
        <v>2.5124247618319995E-3</v>
      </c>
      <c r="U66" s="26">
        <f t="shared" si="9"/>
        <v>0.14987681019036178</v>
      </c>
      <c r="V66" s="26">
        <f t="shared" si="10"/>
        <v>16.111643221460987</v>
      </c>
      <c r="W66" s="26">
        <f t="shared" si="11"/>
        <v>7.8773759366649425E-3</v>
      </c>
      <c r="X66" s="138">
        <f t="shared" si="12"/>
        <v>14.733434793526245</v>
      </c>
      <c r="AS66" s="18"/>
      <c r="AT66" s="18"/>
    </row>
    <row r="67" spans="1:46" x14ac:dyDescent="0.2">
      <c r="A67" s="133">
        <f>'Raw Data'!A67</f>
        <v>120.97763061523437</v>
      </c>
      <c r="B67" s="84">
        <f>'Raw Data'!E67</f>
        <v>0.65141001911500218</v>
      </c>
      <c r="C67" s="84">
        <f t="shared" si="1"/>
        <v>0.34858998088499782</v>
      </c>
      <c r="D67" s="97">
        <f t="shared" si="2"/>
        <v>6.0257318969682006E-3</v>
      </c>
      <c r="E67" s="87">
        <f>(2*Table!$AC$16*0.147)/A67</f>
        <v>0.90289648250541932</v>
      </c>
      <c r="F67" s="87">
        <f t="shared" si="3"/>
        <v>1.8057929650108386</v>
      </c>
      <c r="G67" s="133">
        <f>IF((('Raw Data'!C67)/('Raw Data'!C$136)*100)&lt;0,0,('Raw Data'!C67)/('Raw Data'!C$136)*100)</f>
        <v>65.141001911500211</v>
      </c>
      <c r="H67" s="133">
        <f t="shared" si="4"/>
        <v>0.60257318969681251</v>
      </c>
      <c r="I67" s="49">
        <f t="shared" si="5"/>
        <v>3.4690744363976213E-2</v>
      </c>
      <c r="J67" s="87">
        <f>'Raw Data'!F67/I67</f>
        <v>0.1736985471901687</v>
      </c>
      <c r="K67" s="127">
        <f t="shared" si="6"/>
        <v>1.1609883107543979</v>
      </c>
      <c r="L67" s="133">
        <f>A67*Table!$AC$9/$AC$16</f>
        <v>22.793310638328325</v>
      </c>
      <c r="M67" s="133">
        <f>A67*Table!$AD$9/$AC$16</f>
        <v>7.8148493617125681</v>
      </c>
      <c r="N67" s="133">
        <f>ABS(A67*Table!$AE$9/$AC$16)</f>
        <v>9.869793024571214</v>
      </c>
      <c r="O67" s="133">
        <f>($L67*(Table!$AC$10/Table!$AC$9)/(Table!$AC$12-Table!$AC$14))</f>
        <v>48.891700210914479</v>
      </c>
      <c r="P67" s="133">
        <f>$N67*(Table!$AE$10/Table!$AE$9)/(Table!$AC$12-Table!$AC$13)</f>
        <v>81.032783452965617</v>
      </c>
      <c r="Q67" s="133">
        <f>'Raw Data'!C67</f>
        <v>1.1664752479444724</v>
      </c>
      <c r="R67" s="133">
        <f>'Raw Data'!C67/'Raw Data'!I$23*100</f>
        <v>16.896035677481109</v>
      </c>
      <c r="S67" s="157">
        <f t="shared" si="7"/>
        <v>5.8828718890855003E-2</v>
      </c>
      <c r="T67" s="157">
        <f t="shared" si="8"/>
        <v>2.1065623652199994E-3</v>
      </c>
      <c r="U67" s="26">
        <f t="shared" si="9"/>
        <v>0.1396624780263587</v>
      </c>
      <c r="V67" s="26">
        <f t="shared" si="10"/>
        <v>14.298903718476414</v>
      </c>
      <c r="W67" s="26">
        <f t="shared" si="11"/>
        <v>5.9948086613505628E-3</v>
      </c>
      <c r="X67" s="138">
        <f t="shared" si="12"/>
        <v>14.739429602187595</v>
      </c>
      <c r="AS67" s="18"/>
      <c r="AT67" s="18"/>
    </row>
    <row r="68" spans="1:46" x14ac:dyDescent="0.2">
      <c r="A68" s="133">
        <f>'Raw Data'!A68</f>
        <v>133.46841430664062</v>
      </c>
      <c r="B68" s="84">
        <f>'Raw Data'!E68</f>
        <v>0.65771388009058962</v>
      </c>
      <c r="C68" s="84">
        <f t="shared" si="1"/>
        <v>0.34228611990941038</v>
      </c>
      <c r="D68" s="97">
        <f t="shared" si="2"/>
        <v>6.3038609755874386E-3</v>
      </c>
      <c r="E68" s="87">
        <f>(2*Table!$AC$16*0.147)/A68</f>
        <v>0.81839795364153345</v>
      </c>
      <c r="F68" s="87">
        <f t="shared" si="3"/>
        <v>1.6367959072830669</v>
      </c>
      <c r="G68" s="133">
        <f>IF((('Raw Data'!C68)/('Raw Data'!C$136)*100)&lt;0,0,('Raw Data'!C68)/('Raw Data'!C$136)*100)</f>
        <v>65.771388009058967</v>
      </c>
      <c r="H68" s="133">
        <f t="shared" si="4"/>
        <v>0.63038609755875541</v>
      </c>
      <c r="I68" s="49">
        <f t="shared" si="5"/>
        <v>4.2673426330375332E-2</v>
      </c>
      <c r="J68" s="87">
        <f>'Raw Data'!F68/I68</f>
        <v>0.14772333786331784</v>
      </c>
      <c r="K68" s="127">
        <f t="shared" si="6"/>
        <v>1.2808588503255225</v>
      </c>
      <c r="L68" s="133">
        <f>A68*Table!$AC$9/$AC$16</f>
        <v>25.146690443722989</v>
      </c>
      <c r="M68" s="133">
        <f>A68*Table!$AD$9/$AC$16</f>
        <v>8.6217224378478825</v>
      </c>
      <c r="N68" s="133">
        <f>ABS(A68*Table!$AE$9/$AC$16)</f>
        <v>10.888836372683745</v>
      </c>
      <c r="O68" s="133">
        <f>($L68*(Table!$AC$10/Table!$AC$9)/(Table!$AC$12-Table!$AC$14))</f>
        <v>53.93970494149076</v>
      </c>
      <c r="P68" s="133">
        <f>$N68*(Table!$AE$10/Table!$AE$9)/(Table!$AC$12-Table!$AC$13)</f>
        <v>89.399313404628415</v>
      </c>
      <c r="Q68" s="133">
        <f>'Raw Data'!C68</f>
        <v>1.1777635265688877</v>
      </c>
      <c r="R68" s="133">
        <f>'Raw Data'!C68/'Raw Data'!I$23*100</f>
        <v>17.059542926101738</v>
      </c>
      <c r="S68" s="157">
        <f t="shared" si="7"/>
        <v>6.1544069932227434E-2</v>
      </c>
      <c r="T68" s="157">
        <f t="shared" si="8"/>
        <v>1.7577203514317352E-3</v>
      </c>
      <c r="U68" s="26">
        <f t="shared" si="9"/>
        <v>0.12781707952945204</v>
      </c>
      <c r="V68" s="26">
        <f t="shared" si="10"/>
        <v>12.308771485963407</v>
      </c>
      <c r="W68" s="26">
        <f t="shared" si="11"/>
        <v>5.1525865494251727E-3</v>
      </c>
      <c r="X68" s="138">
        <f t="shared" si="12"/>
        <v>14.74458218873702</v>
      </c>
      <c r="AS68" s="18"/>
      <c r="AT68" s="18"/>
    </row>
    <row r="69" spans="1:46" x14ac:dyDescent="0.2">
      <c r="A69" s="133">
        <f>'Raw Data'!A69</f>
        <v>145.53147888183594</v>
      </c>
      <c r="B69" s="84">
        <f>'Raw Data'!E69</f>
        <v>0.66370423442377424</v>
      </c>
      <c r="C69" s="84">
        <f t="shared" si="1"/>
        <v>0.33629576557622576</v>
      </c>
      <c r="D69" s="97">
        <f t="shared" si="2"/>
        <v>5.9903543331846221E-3</v>
      </c>
      <c r="E69" s="87">
        <f>(2*Table!$AC$16*0.147)/A69</f>
        <v>0.75056117057000704</v>
      </c>
      <c r="F69" s="87">
        <f t="shared" si="3"/>
        <v>1.5011223411400141</v>
      </c>
      <c r="G69" s="133">
        <f>IF((('Raw Data'!C69)/('Raw Data'!C$136)*100)&lt;0,0,('Raw Data'!C69)/('Raw Data'!C$136)*100)</f>
        <v>66.37042344237743</v>
      </c>
      <c r="H69" s="133">
        <f t="shared" si="4"/>
        <v>0.59903543331846265</v>
      </c>
      <c r="I69" s="49">
        <f t="shared" si="5"/>
        <v>3.7578441850036878E-2</v>
      </c>
      <c r="J69" s="87">
        <f>'Raw Data'!F69/I69</f>
        <v>0.15940933253938902</v>
      </c>
      <c r="K69" s="127">
        <f t="shared" si="6"/>
        <v>1.3966246897824044</v>
      </c>
      <c r="L69" s="133">
        <f>A69*Table!$AC$9/$AC$16</f>
        <v>27.419483990053333</v>
      </c>
      <c r="M69" s="133">
        <f>A69*Table!$AD$9/$AC$16</f>
        <v>9.4009659394468574</v>
      </c>
      <c r="N69" s="133">
        <f>ABS(A69*Table!$AE$9/$AC$16)</f>
        <v>11.872984847023446</v>
      </c>
      <c r="O69" s="133">
        <f>($L69*(Table!$AC$10/Table!$AC$9)/(Table!$AC$12-Table!$AC$14))</f>
        <v>58.814851973516383</v>
      </c>
      <c r="P69" s="133">
        <f>$N69*(Table!$AE$10/Table!$AE$9)/(Table!$AC$12-Table!$AC$13)</f>
        <v>97.479350139765543</v>
      </c>
      <c r="Q69" s="133">
        <f>'Raw Data'!C69</f>
        <v>1.1884904110978824</v>
      </c>
      <c r="R69" s="133">
        <f>'Raw Data'!C69/'Raw Data'!I$23*100</f>
        <v>17.214918553685347</v>
      </c>
      <c r="S69" s="157">
        <f t="shared" si="7"/>
        <v>5.8483330680683461E-2</v>
      </c>
      <c r="T69" s="157">
        <f t="shared" si="8"/>
        <v>1.4789042910362538E-3</v>
      </c>
      <c r="U69" s="26">
        <f t="shared" si="9"/>
        <v>0.11828999942797926</v>
      </c>
      <c r="V69" s="26">
        <f t="shared" si="10"/>
        <v>10.797619368318852</v>
      </c>
      <c r="W69" s="26">
        <f t="shared" si="11"/>
        <v>4.1182650763789946E-3</v>
      </c>
      <c r="X69" s="138">
        <f t="shared" si="12"/>
        <v>14.748700453813399</v>
      </c>
      <c r="AS69" s="18"/>
      <c r="AT69" s="18"/>
    </row>
    <row r="70" spans="1:46" x14ac:dyDescent="0.2">
      <c r="A70" s="133">
        <f>'Raw Data'!A70</f>
        <v>159.3995361328125</v>
      </c>
      <c r="B70" s="84">
        <f>'Raw Data'!E70</f>
        <v>0.66964647072004435</v>
      </c>
      <c r="C70" s="84">
        <f t="shared" si="1"/>
        <v>0.33035352927995565</v>
      </c>
      <c r="D70" s="97">
        <f t="shared" si="2"/>
        <v>5.9422362962701092E-3</v>
      </c>
      <c r="E70" s="87">
        <f>(2*Table!$AC$16*0.147)/A70</f>
        <v>0.68526094739274412</v>
      </c>
      <c r="F70" s="87">
        <f t="shared" si="3"/>
        <v>1.3705218947854882</v>
      </c>
      <c r="G70" s="133">
        <f>IF((('Raw Data'!C70)/('Raw Data'!C$136)*100)&lt;0,0,('Raw Data'!C70)/('Raw Data'!C$136)*100)</f>
        <v>66.964647072004439</v>
      </c>
      <c r="H70" s="133">
        <f t="shared" si="4"/>
        <v>0.59422362962700959</v>
      </c>
      <c r="I70" s="49">
        <f t="shared" si="5"/>
        <v>3.9530110583721509E-2</v>
      </c>
      <c r="J70" s="87">
        <f>'Raw Data'!F70/I70</f>
        <v>0.15032177265694574</v>
      </c>
      <c r="K70" s="127">
        <f t="shared" si="6"/>
        <v>1.5297125365138733</v>
      </c>
      <c r="L70" s="133">
        <f>A70*Table!$AC$9/$AC$16</f>
        <v>30.032354942014472</v>
      </c>
      <c r="M70" s="133">
        <f>A70*Table!$AD$9/$AC$16</f>
        <v>10.296807408690675</v>
      </c>
      <c r="N70" s="133">
        <f>ABS(A70*Table!$AE$9/$AC$16)</f>
        <v>13.004391157627833</v>
      </c>
      <c r="O70" s="133">
        <f>($L70*(Table!$AC$10/Table!$AC$9)/(Table!$AC$12-Table!$AC$14))</f>
        <v>64.419465770086816</v>
      </c>
      <c r="P70" s="133">
        <f>$N70*(Table!$AE$10/Table!$AE$9)/(Table!$AC$12-Table!$AC$13)</f>
        <v>106.76840030893128</v>
      </c>
      <c r="Q70" s="133">
        <f>'Raw Data'!C70</f>
        <v>1.1991311310033781</v>
      </c>
      <c r="R70" s="133">
        <f>'Raw Data'!C70/'Raw Data'!I$23*100</f>
        <v>17.369046113163485</v>
      </c>
      <c r="S70" s="157">
        <f t="shared" si="7"/>
        <v>5.8013558291930493E-2</v>
      </c>
      <c r="T70" s="157">
        <f t="shared" si="8"/>
        <v>1.2483596821130094E-3</v>
      </c>
      <c r="U70" s="26">
        <f t="shared" si="9"/>
        <v>0.10896547464662323</v>
      </c>
      <c r="V70" s="26">
        <f t="shared" si="10"/>
        <v>9.3978487437678204</v>
      </c>
      <c r="W70" s="26">
        <f t="shared" si="11"/>
        <v>3.4052694458460578E-3</v>
      </c>
      <c r="X70" s="138">
        <f t="shared" si="12"/>
        <v>14.752105723259245</v>
      </c>
      <c r="AS70" s="18"/>
      <c r="AT70" s="18"/>
    </row>
    <row r="71" spans="1:46" x14ac:dyDescent="0.2">
      <c r="A71" s="133">
        <f>'Raw Data'!A71</f>
        <v>174.43290710449219</v>
      </c>
      <c r="B71" s="84">
        <f>'Raw Data'!E71</f>
        <v>0.6754883189132953</v>
      </c>
      <c r="C71" s="84">
        <f t="shared" si="1"/>
        <v>0.3245116810867047</v>
      </c>
      <c r="D71" s="97">
        <f t="shared" si="2"/>
        <v>5.8418481932509536E-3</v>
      </c>
      <c r="E71" s="87">
        <f>(2*Table!$AC$16*0.147)/A71</f>
        <v>0.62620223991853674</v>
      </c>
      <c r="F71" s="87">
        <f t="shared" si="3"/>
        <v>1.2524044798370735</v>
      </c>
      <c r="G71" s="133">
        <f>IF((('Raw Data'!C71)/('Raw Data'!C$136)*100)&lt;0,0,('Raw Data'!C71)/('Raw Data'!C$136)*100)</f>
        <v>67.548831891329527</v>
      </c>
      <c r="H71" s="133">
        <f t="shared" si="4"/>
        <v>0.58418481932508826</v>
      </c>
      <c r="I71" s="49">
        <f t="shared" si="5"/>
        <v>3.914136559228984E-2</v>
      </c>
      <c r="J71" s="87">
        <f>'Raw Data'!F71/I71</f>
        <v>0.14924998412425589</v>
      </c>
      <c r="K71" s="127">
        <f t="shared" si="6"/>
        <v>1.6739835714200297</v>
      </c>
      <c r="L71" s="133">
        <f>A71*Table!$AC$9/$AC$16</f>
        <v>32.864781835780832</v>
      </c>
      <c r="M71" s="133">
        <f>A71*Table!$AD$9/$AC$16</f>
        <v>11.267925200839143</v>
      </c>
      <c r="N71" s="133">
        <f>ABS(A71*Table!$AE$9/$AC$16)</f>
        <v>14.230867979809791</v>
      </c>
      <c r="O71" s="133">
        <f>($L71*(Table!$AC$10/Table!$AC$9)/(Table!$AC$12-Table!$AC$14))</f>
        <v>70.495027532777428</v>
      </c>
      <c r="P71" s="133">
        <f>$N71*(Table!$AE$10/Table!$AE$9)/(Table!$AC$12-Table!$AC$13)</f>
        <v>116.83799655016244</v>
      </c>
      <c r="Q71" s="133">
        <f>'Raw Data'!C71</f>
        <v>1.2095920866529923</v>
      </c>
      <c r="R71" s="133">
        <f>'Raw Data'!C71/'Raw Data'!I$23*100</f>
        <v>17.520569842610715</v>
      </c>
      <c r="S71" s="157">
        <f t="shared" si="7"/>
        <v>5.7033477599081964E-2</v>
      </c>
      <c r="T71" s="157">
        <f t="shared" si="8"/>
        <v>1.0590936883939639E-3</v>
      </c>
      <c r="U71" s="26">
        <f t="shared" si="9"/>
        <v>0.10044303069555106</v>
      </c>
      <c r="V71" s="26">
        <f t="shared" si="10"/>
        <v>8.1887816605070594</v>
      </c>
      <c r="W71" s="26">
        <f t="shared" si="11"/>
        <v>2.7955618158205429E-3</v>
      </c>
      <c r="X71" s="138">
        <f t="shared" si="12"/>
        <v>14.754901285075066</v>
      </c>
      <c r="AS71" s="18"/>
      <c r="AT71" s="18"/>
    </row>
    <row r="72" spans="1:46" x14ac:dyDescent="0.2">
      <c r="A72" s="133">
        <f>'Raw Data'!A72</f>
        <v>190.41134643554687</v>
      </c>
      <c r="B72" s="84">
        <f>'Raw Data'!E72</f>
        <v>0.68098623120912072</v>
      </c>
      <c r="C72" s="84">
        <f t="shared" si="1"/>
        <v>0.31901376879087928</v>
      </c>
      <c r="D72" s="97">
        <f t="shared" si="2"/>
        <v>5.4979122958254134E-3</v>
      </c>
      <c r="E72" s="87">
        <f>(2*Table!$AC$16*0.147)/A72</f>
        <v>0.57365424481838245</v>
      </c>
      <c r="F72" s="87">
        <f t="shared" si="3"/>
        <v>1.1473084896367649</v>
      </c>
      <c r="G72" s="133">
        <f>IF((('Raw Data'!C72)/('Raw Data'!C$136)*100)&lt;0,0,('Raw Data'!C72)/('Raw Data'!C$136)*100)</f>
        <v>68.098623120912066</v>
      </c>
      <c r="H72" s="133">
        <f t="shared" si="4"/>
        <v>0.54979122958253868</v>
      </c>
      <c r="I72" s="49">
        <f t="shared" si="5"/>
        <v>3.8064405207285601E-2</v>
      </c>
      <c r="J72" s="87">
        <f>'Raw Data'!F72/I72</f>
        <v>0.14443709985446199</v>
      </c>
      <c r="K72" s="127">
        <f t="shared" si="6"/>
        <v>1.8273241616854572</v>
      </c>
      <c r="L72" s="133">
        <f>A72*Table!$AC$9/$AC$16</f>
        <v>35.875268397108393</v>
      </c>
      <c r="M72" s="133">
        <f>A72*Table!$AD$9/$AC$16</f>
        <v>12.300092021865735</v>
      </c>
      <c r="N72" s="133">
        <f>ABS(A72*Table!$AE$9/$AC$16)</f>
        <v>15.534446899740454</v>
      </c>
      <c r="O72" s="133">
        <f>($L72*(Table!$AC$10/Table!$AC$9)/(Table!$AC$12-Table!$AC$14))</f>
        <v>76.952527664325174</v>
      </c>
      <c r="P72" s="133">
        <f>$N72*(Table!$AE$10/Table!$AE$9)/(Table!$AC$12-Table!$AC$13)</f>
        <v>127.54061494039777</v>
      </c>
      <c r="Q72" s="133">
        <f>'Raw Data'!C72</f>
        <v>1.2194371587585193</v>
      </c>
      <c r="R72" s="133">
        <f>'Raw Data'!C72/'Raw Data'!I$23*100</f>
        <v>17.663172688093702</v>
      </c>
      <c r="S72" s="157">
        <f t="shared" si="7"/>
        <v>5.3675660063870805E-2</v>
      </c>
      <c r="T72" s="157">
        <f t="shared" si="8"/>
        <v>9.096108556363447E-4</v>
      </c>
      <c r="U72" s="26">
        <f t="shared" si="9"/>
        <v>9.2763236113519013E-2</v>
      </c>
      <c r="V72" s="26">
        <f t="shared" si="10"/>
        <v>7.1582280005212944</v>
      </c>
      <c r="W72" s="26">
        <f t="shared" si="11"/>
        <v>2.2079428594989122E-3</v>
      </c>
      <c r="X72" s="138">
        <f t="shared" si="12"/>
        <v>14.757109227934565</v>
      </c>
      <c r="AS72" s="18"/>
      <c r="AT72" s="18"/>
    </row>
    <row r="73" spans="1:46" x14ac:dyDescent="0.2">
      <c r="A73" s="133">
        <f>'Raw Data'!A73</f>
        <v>207.18046569824219</v>
      </c>
      <c r="B73" s="84">
        <f>'Raw Data'!E73</f>
        <v>0.68674498194145905</v>
      </c>
      <c r="C73" s="84">
        <f t="shared" si="1"/>
        <v>0.31325501805854095</v>
      </c>
      <c r="D73" s="97">
        <f t="shared" si="2"/>
        <v>5.7587507323383358E-3</v>
      </c>
      <c r="E73" s="87">
        <f>(2*Table!$AC$16*0.147)/A73</f>
        <v>0.52722285750350939</v>
      </c>
      <c r="F73" s="87">
        <f t="shared" si="3"/>
        <v>1.0544457150070188</v>
      </c>
      <c r="G73" s="133">
        <f>IF((('Raw Data'!C73)/('Raw Data'!C$136)*100)&lt;0,0,('Raw Data'!C73)/('Raw Data'!C$136)*100)</f>
        <v>68.674498194145912</v>
      </c>
      <c r="H73" s="133">
        <f t="shared" si="4"/>
        <v>0.57587507323384557</v>
      </c>
      <c r="I73" s="49">
        <f t="shared" si="5"/>
        <v>3.6655980912163322E-2</v>
      </c>
      <c r="J73" s="87">
        <f>'Raw Data'!F73/I73</f>
        <v>0.15710262251984766</v>
      </c>
      <c r="K73" s="127">
        <f t="shared" si="6"/>
        <v>1.9882526849721744</v>
      </c>
      <c r="L73" s="133">
        <f>A73*Table!$AC$9/$AC$16</f>
        <v>39.034726410478157</v>
      </c>
      <c r="M73" s="133">
        <f>A73*Table!$AD$9/$AC$16</f>
        <v>13.383334769306796</v>
      </c>
      <c r="N73" s="133">
        <f>ABS(A73*Table!$AE$9/$AC$16)</f>
        <v>16.902532350624718</v>
      </c>
      <c r="O73" s="133">
        <f>($L73*(Table!$AC$10/Table!$AC$9)/(Table!$AC$12-Table!$AC$14))</f>
        <v>83.729571880047544</v>
      </c>
      <c r="P73" s="133">
        <f>$N73*(Table!$AE$10/Table!$AE$9)/(Table!$AC$12-Table!$AC$13)</f>
        <v>138.77284360118813</v>
      </c>
      <c r="Q73" s="133">
        <f>'Raw Data'!C73</f>
        <v>1.2297493123810272</v>
      </c>
      <c r="R73" s="133">
        <f>'Raw Data'!C73/'Raw Data'!I$23*100</f>
        <v>17.812541065883625</v>
      </c>
      <c r="S73" s="157">
        <f t="shared" si="7"/>
        <v>5.6222204005739414E-2</v>
      </c>
      <c r="T73" s="157">
        <f t="shared" si="8"/>
        <v>7.7735654674904175E-4</v>
      </c>
      <c r="U73" s="26">
        <f t="shared" si="9"/>
        <v>8.597596788795496E-2</v>
      </c>
      <c r="V73" s="26">
        <f t="shared" si="10"/>
        <v>6.295127450956544</v>
      </c>
      <c r="W73" s="26">
        <f t="shared" si="11"/>
        <v>1.9534681779749949E-3</v>
      </c>
      <c r="X73" s="138">
        <f t="shared" si="12"/>
        <v>14.75906269611254</v>
      </c>
      <c r="AS73" s="18"/>
      <c r="AT73" s="18"/>
    </row>
    <row r="74" spans="1:46" x14ac:dyDescent="0.2">
      <c r="A74" s="133">
        <f>'Raw Data'!A74</f>
        <v>228.50035095214844</v>
      </c>
      <c r="B74" s="84">
        <f>'Raw Data'!E74</f>
        <v>0.69265206818239444</v>
      </c>
      <c r="C74" s="84">
        <f t="shared" si="1"/>
        <v>0.30734793181760556</v>
      </c>
      <c r="D74" s="97">
        <f t="shared" si="2"/>
        <v>5.9070862409353886E-3</v>
      </c>
      <c r="E74" s="87">
        <f>(2*Table!$AC$16*0.147)/A74</f>
        <v>0.47803111325290515</v>
      </c>
      <c r="F74" s="87">
        <f t="shared" si="3"/>
        <v>0.9560622265058103</v>
      </c>
      <c r="G74" s="133">
        <f>IF((('Raw Data'!C74)/('Raw Data'!C$136)*100)&lt;0,0,('Raw Data'!C74)/('Raw Data'!C$136)*100)</f>
        <v>69.265206818239449</v>
      </c>
      <c r="H74" s="133">
        <f t="shared" si="4"/>
        <v>0.59070862409353708</v>
      </c>
      <c r="I74" s="49">
        <f t="shared" si="5"/>
        <v>4.2538066499226979E-2</v>
      </c>
      <c r="J74" s="87">
        <f>'Raw Data'!F74/I74</f>
        <v>0.1388658847727067</v>
      </c>
      <c r="K74" s="127">
        <f t="shared" si="6"/>
        <v>2.1928536301265193</v>
      </c>
      <c r="L74" s="133">
        <f>A74*Table!$AC$9/$AC$16</f>
        <v>43.051591056400611</v>
      </c>
      <c r="M74" s="133">
        <f>A74*Table!$AD$9/$AC$16</f>
        <v>14.760545505051637</v>
      </c>
      <c r="N74" s="133">
        <f>ABS(A74*Table!$AE$9/$AC$16)</f>
        <v>18.641885764090933</v>
      </c>
      <c r="O74" s="133">
        <f>($L74*(Table!$AC$10/Table!$AC$9)/(Table!$AC$12-Table!$AC$14))</f>
        <v>92.345755161734488</v>
      </c>
      <c r="P74" s="133">
        <f>$N74*(Table!$AE$10/Table!$AE$9)/(Table!$AC$12-Table!$AC$13)</f>
        <v>153.05324929467099</v>
      </c>
      <c r="Q74" s="133">
        <f>'Raw Data'!C74</f>
        <v>1.2403270893346052</v>
      </c>
      <c r="R74" s="133">
        <f>'Raw Data'!C74/'Raw Data'!I$23*100</f>
        <v>17.965756916036494</v>
      </c>
      <c r="S74" s="157">
        <f t="shared" si="7"/>
        <v>5.7670391227805942E-2</v>
      </c>
      <c r="T74" s="157">
        <f t="shared" si="8"/>
        <v>6.6582987848695652E-4</v>
      </c>
      <c r="U74" s="26">
        <f t="shared" si="9"/>
        <v>7.8624635984908417E-2</v>
      </c>
      <c r="V74" s="26">
        <f t="shared" si="10"/>
        <v>5.412059580903569</v>
      </c>
      <c r="W74" s="26">
        <f t="shared" si="11"/>
        <v>1.647309636099473E-3</v>
      </c>
      <c r="X74" s="138">
        <f t="shared" si="12"/>
        <v>14.76071000574864</v>
      </c>
      <c r="AS74" s="18"/>
      <c r="AT74" s="18"/>
    </row>
    <row r="75" spans="1:46" x14ac:dyDescent="0.2">
      <c r="A75" s="133">
        <f>'Raw Data'!A75</f>
        <v>250.71632385253906</v>
      </c>
      <c r="B75" s="84">
        <f>'Raw Data'!E75</f>
        <v>0.69855744810996401</v>
      </c>
      <c r="C75" s="84">
        <f t="shared" si="1"/>
        <v>0.30144255189003599</v>
      </c>
      <c r="D75" s="97">
        <f t="shared" si="2"/>
        <v>5.9053799275695651E-3</v>
      </c>
      <c r="E75" s="87">
        <f>(2*Table!$AC$16*0.147)/A75</f>
        <v>0.43567277736801757</v>
      </c>
      <c r="F75" s="87">
        <f t="shared" si="3"/>
        <v>0.87134555473603514</v>
      </c>
      <c r="G75" s="133">
        <f>IF((('Raw Data'!C75)/('Raw Data'!C$136)*100)&lt;0,0,('Raw Data'!C75)/('Raw Data'!C$136)*100)</f>
        <v>69.855744810996399</v>
      </c>
      <c r="H75" s="133">
        <f t="shared" si="4"/>
        <v>0.59053799275694985</v>
      </c>
      <c r="I75" s="49">
        <f t="shared" si="5"/>
        <v>4.0295739858470458E-2</v>
      </c>
      <c r="J75" s="87">
        <f>'Raw Data'!F75/I75</f>
        <v>0.14655097408090426</v>
      </c>
      <c r="K75" s="127">
        <f t="shared" si="6"/>
        <v>2.4060540765083984</v>
      </c>
      <c r="L75" s="133">
        <f>A75*Table!$AC$9/$AC$16</f>
        <v>47.237286948079948</v>
      </c>
      <c r="M75" s="133">
        <f>A75*Table!$AD$9/$AC$16</f>
        <v>16.195641239341697</v>
      </c>
      <c r="N75" s="133">
        <f>ABS(A75*Table!$AE$9/$AC$16)</f>
        <v>20.454345251446167</v>
      </c>
      <c r="O75" s="133">
        <f>($L75*(Table!$AC$10/Table!$AC$9)/(Table!$AC$12-Table!$AC$14))</f>
        <v>101.32408182771333</v>
      </c>
      <c r="P75" s="133">
        <f>$N75*(Table!$AE$10/Table!$AE$9)/(Table!$AC$12-Table!$AC$13)</f>
        <v>167.93386905949228</v>
      </c>
      <c r="Q75" s="133">
        <f>'Raw Data'!C75</f>
        <v>1.2509018108050804</v>
      </c>
      <c r="R75" s="133">
        <f>'Raw Data'!C75/'Raw Data'!I$23*100</f>
        <v>18.118928508455127</v>
      </c>
      <c r="S75" s="157">
        <f t="shared" si="7"/>
        <v>5.7653732632459501E-2</v>
      </c>
      <c r="T75" s="157">
        <f t="shared" si="8"/>
        <v>5.7321904757767772E-4</v>
      </c>
      <c r="U75" s="26">
        <f t="shared" si="9"/>
        <v>7.2268643022669429E-2</v>
      </c>
      <c r="V75" s="26">
        <f t="shared" si="10"/>
        <v>4.6930715641985996</v>
      </c>
      <c r="W75" s="26">
        <f t="shared" si="11"/>
        <v>1.3679124154003834E-3</v>
      </c>
      <c r="X75" s="138">
        <f t="shared" si="12"/>
        <v>14.76207791816404</v>
      </c>
      <c r="AS75" s="18"/>
      <c r="AT75" s="18"/>
    </row>
    <row r="76" spans="1:46" x14ac:dyDescent="0.2">
      <c r="A76" s="133">
        <f>'Raw Data'!A76</f>
        <v>274.07962036132812</v>
      </c>
      <c r="B76" s="84">
        <f>'Raw Data'!E76</f>
        <v>0.70440214015882474</v>
      </c>
      <c r="C76" s="84">
        <f t="shared" si="1"/>
        <v>0.29559785984117526</v>
      </c>
      <c r="D76" s="97">
        <f t="shared" si="2"/>
        <v>5.8446920488607335E-3</v>
      </c>
      <c r="E76" s="87">
        <f>(2*Table!$AC$16*0.147)/A76</f>
        <v>0.39853483816247703</v>
      </c>
      <c r="F76" s="87">
        <f t="shared" si="3"/>
        <v>0.79706967632495407</v>
      </c>
      <c r="G76" s="133">
        <f>IF((('Raw Data'!C76)/('Raw Data'!C$136)*100)&lt;0,0,('Raw Data'!C76)/('Raw Data'!C$136)*100)</f>
        <v>70.440214015882475</v>
      </c>
      <c r="H76" s="133">
        <f t="shared" si="4"/>
        <v>0.58446920488607645</v>
      </c>
      <c r="I76" s="49">
        <f t="shared" si="5"/>
        <v>3.8694132768332778E-2</v>
      </c>
      <c r="J76" s="87">
        <f>'Raw Data'!F76/I76</f>
        <v>0.15104853451177541</v>
      </c>
      <c r="K76" s="127">
        <f t="shared" si="6"/>
        <v>2.6302650650147101</v>
      </c>
      <c r="L76" s="133">
        <f>A76*Table!$AC$9/$AC$16</f>
        <v>51.639149277107421</v>
      </c>
      <c r="M76" s="133">
        <f>A76*Table!$AD$9/$AC$16</f>
        <v>17.704851180722542</v>
      </c>
      <c r="N76" s="133">
        <f>ABS(A76*Table!$AE$9/$AC$16)</f>
        <v>22.360407551895928</v>
      </c>
      <c r="O76" s="133">
        <f>($L76*(Table!$AC$10/Table!$AC$9)/(Table!$AC$12-Table!$AC$14))</f>
        <v>110.76608596548141</v>
      </c>
      <c r="P76" s="133">
        <f>$N76*(Table!$AE$10/Table!$AE$9)/(Table!$AC$12-Table!$AC$13)</f>
        <v>183.58298482673172</v>
      </c>
      <c r="Q76" s="133">
        <f>'Raw Data'!C76</f>
        <v>1.2613678589265329</v>
      </c>
      <c r="R76" s="133">
        <f>'Raw Data'!C76/'Raw Data'!I$23*100</f>
        <v>18.270526000792753</v>
      </c>
      <c r="S76" s="157">
        <f t="shared" si="7"/>
        <v>5.706124192466009E-2</v>
      </c>
      <c r="T76" s="157">
        <f t="shared" si="8"/>
        <v>4.9652047080728234E-4</v>
      </c>
      <c r="U76" s="26">
        <f t="shared" si="9"/>
        <v>6.6661381012955725E-2</v>
      </c>
      <c r="V76" s="26">
        <f t="shared" si="10"/>
        <v>4.0939670993783022</v>
      </c>
      <c r="W76" s="26">
        <f t="shared" si="11"/>
        <v>1.1328797547516052E-3</v>
      </c>
      <c r="X76" s="138">
        <f t="shared" si="12"/>
        <v>14.763210797918791</v>
      </c>
      <c r="AS76" s="18"/>
      <c r="AT76" s="18"/>
    </row>
    <row r="77" spans="1:46" x14ac:dyDescent="0.2">
      <c r="A77" s="133">
        <f>'Raw Data'!A77</f>
        <v>299.63546752929687</v>
      </c>
      <c r="B77" s="84">
        <f>'Raw Data'!E77</f>
        <v>0.71043355976701206</v>
      </c>
      <c r="C77" s="84">
        <f t="shared" si="1"/>
        <v>0.28956644023298794</v>
      </c>
      <c r="D77" s="97">
        <f t="shared" si="2"/>
        <v>6.0314196081873162E-3</v>
      </c>
      <c r="E77" s="87">
        <f>(2*Table!$AC$16*0.147)/A77</f>
        <v>0.36454388409027394</v>
      </c>
      <c r="F77" s="87">
        <f t="shared" si="3"/>
        <v>0.72908776818054788</v>
      </c>
      <c r="G77" s="133">
        <f>IF((('Raw Data'!C77)/('Raw Data'!C$136)*100)&lt;0,0,('Raw Data'!C77)/('Raw Data'!C$136)*100)</f>
        <v>71.043355976701207</v>
      </c>
      <c r="H77" s="133">
        <f t="shared" si="4"/>
        <v>0.60314196081873206</v>
      </c>
      <c r="I77" s="49">
        <f t="shared" si="5"/>
        <v>3.8716474979582305E-2</v>
      </c>
      <c r="J77" s="87">
        <f>'Raw Data'!F77/I77</f>
        <v>0.15578431691852301</v>
      </c>
      <c r="K77" s="127">
        <f t="shared" si="6"/>
        <v>2.8755173458086882</v>
      </c>
      <c r="L77" s="133">
        <f>A77*Table!$AC$9/$AC$16</f>
        <v>56.454108539930026</v>
      </c>
      <c r="M77" s="133">
        <f>A77*Table!$AD$9/$AC$16</f>
        <v>19.355694356547438</v>
      </c>
      <c r="N77" s="133">
        <f>ABS(A77*Table!$AE$9/$AC$16)</f>
        <v>24.445346071791715</v>
      </c>
      <c r="O77" s="133">
        <f>($L77*(Table!$AC$10/Table!$AC$9)/(Table!$AC$12-Table!$AC$14))</f>
        <v>121.09418391233382</v>
      </c>
      <c r="P77" s="133">
        <f>$N77*(Table!$AE$10/Table!$AE$9)/(Table!$AC$12-Table!$AC$13)</f>
        <v>200.70070666495656</v>
      </c>
      <c r="Q77" s="133">
        <f>'Raw Data'!C77</f>
        <v>1.2721682787488682</v>
      </c>
      <c r="R77" s="133">
        <f>'Raw Data'!C77/'Raw Data'!I$23*100</f>
        <v>18.426966764513647</v>
      </c>
      <c r="S77" s="157">
        <f t="shared" si="7"/>
        <v>5.8884247542006919E-2</v>
      </c>
      <c r="T77" s="157">
        <f t="shared" si="8"/>
        <v>4.3029695019403125E-4</v>
      </c>
      <c r="U77" s="26">
        <f t="shared" si="9"/>
        <v>6.1497949212944727E-2</v>
      </c>
      <c r="V77" s="26">
        <f t="shared" si="10"/>
        <v>3.5722037901170678</v>
      </c>
      <c r="W77" s="26">
        <f t="shared" si="11"/>
        <v>9.781574698005998E-4</v>
      </c>
      <c r="X77" s="138">
        <f t="shared" si="12"/>
        <v>14.764188955388592</v>
      </c>
      <c r="AS77" s="18"/>
      <c r="AT77" s="18"/>
    </row>
    <row r="78" spans="1:46" x14ac:dyDescent="0.2">
      <c r="A78" s="133">
        <f>'Raw Data'!A78</f>
        <v>327.44985961914062</v>
      </c>
      <c r="B78" s="84">
        <f>'Raw Data'!E78</f>
        <v>0.71682677468585332</v>
      </c>
      <c r="C78" s="84">
        <f t="shared" si="1"/>
        <v>0.28317322531414668</v>
      </c>
      <c r="D78" s="97">
        <f t="shared" si="2"/>
        <v>6.3932149188412613E-3</v>
      </c>
      <c r="E78" s="87">
        <f>(2*Table!$AC$16*0.147)/A78</f>
        <v>0.33357863482177574</v>
      </c>
      <c r="F78" s="87">
        <f t="shared" si="3"/>
        <v>0.66715726964355149</v>
      </c>
      <c r="G78" s="133">
        <f>IF((('Raw Data'!C78)/('Raw Data'!C$136)*100)&lt;0,0,('Raw Data'!C78)/('Raw Data'!C$136)*100)</f>
        <v>71.682677468585325</v>
      </c>
      <c r="H78" s="133">
        <f t="shared" si="4"/>
        <v>0.63932149188411813</v>
      </c>
      <c r="I78" s="49">
        <f t="shared" si="5"/>
        <v>3.8551589535964936E-2</v>
      </c>
      <c r="J78" s="87">
        <f>'Raw Data'!F78/I78</f>
        <v>0.16583531303883087</v>
      </c>
      <c r="K78" s="127">
        <f t="shared" si="6"/>
        <v>3.1424442472765506</v>
      </c>
      <c r="L78" s="133">
        <f>A78*Table!$AC$9/$AC$16</f>
        <v>61.694598669352644</v>
      </c>
      <c r="M78" s="133">
        <f>A78*Table!$AD$9/$AC$16</f>
        <v>21.152433829492335</v>
      </c>
      <c r="N78" s="133">
        <f>ABS(A78*Table!$AE$9/$AC$16)</f>
        <v>26.714544861972506</v>
      </c>
      <c r="O78" s="133">
        <f>($L78*(Table!$AC$10/Table!$AC$9)/(Table!$AC$12-Table!$AC$14))</f>
        <v>132.33504648080793</v>
      </c>
      <c r="P78" s="133">
        <f>$N78*(Table!$AE$10/Table!$AE$9)/(Table!$AC$12-Table!$AC$13)</f>
        <v>219.33123860404351</v>
      </c>
      <c r="Q78" s="133">
        <f>'Raw Data'!C78</f>
        <v>1.2836165628384333</v>
      </c>
      <c r="R78" s="133">
        <f>'Raw Data'!C78/'Raw Data'!I$23*100</f>
        <v>18.592791643150452</v>
      </c>
      <c r="S78" s="157">
        <f t="shared" si="7"/>
        <v>6.2416425041838822E-2</v>
      </c>
      <c r="T78" s="157">
        <f t="shared" si="8"/>
        <v>3.7151975651050773E-4</v>
      </c>
      <c r="U78" s="26">
        <f t="shared" si="9"/>
        <v>5.6780576008723493E-2</v>
      </c>
      <c r="V78" s="26">
        <f t="shared" si="10"/>
        <v>3.1212226308714257</v>
      </c>
      <c r="W78" s="26">
        <f t="shared" si="11"/>
        <v>8.6817116521646989E-4</v>
      </c>
      <c r="X78" s="138">
        <f t="shared" si="12"/>
        <v>14.765057126553808</v>
      </c>
      <c r="AS78" s="18"/>
      <c r="AT78" s="18"/>
    </row>
    <row r="79" spans="1:46" x14ac:dyDescent="0.2">
      <c r="A79" s="133">
        <f>'Raw Data'!A79</f>
        <v>359.35833740234375</v>
      </c>
      <c r="B79" s="84">
        <f>'Raw Data'!E79</f>
        <v>0.72333408509175201</v>
      </c>
      <c r="C79" s="84">
        <f t="shared" si="1"/>
        <v>0.27666591490824799</v>
      </c>
      <c r="D79" s="97">
        <f t="shared" si="2"/>
        <v>6.5073104058986919E-3</v>
      </c>
      <c r="E79" s="87">
        <f>(2*Table!$AC$16*0.147)/A79</f>
        <v>0.30395921222787425</v>
      </c>
      <c r="F79" s="87">
        <f t="shared" si="3"/>
        <v>0.60791842445574851</v>
      </c>
      <c r="G79" s="133">
        <f>IF((('Raw Data'!C79)/('Raw Data'!C$136)*100)&lt;0,0,('Raw Data'!C79)/('Raw Data'!C$136)*100)</f>
        <v>72.3334085091752</v>
      </c>
      <c r="H79" s="133">
        <f t="shared" si="4"/>
        <v>0.65073104058987497</v>
      </c>
      <c r="I79" s="49">
        <f t="shared" si="5"/>
        <v>4.0382916712098649E-2</v>
      </c>
      <c r="J79" s="87">
        <f>'Raw Data'!F79/I79</f>
        <v>0.1611401784643533</v>
      </c>
      <c r="K79" s="127">
        <f t="shared" si="6"/>
        <v>3.4486609381794082</v>
      </c>
      <c r="L79" s="133">
        <f>A79*Table!$AC$9/$AC$16</f>
        <v>67.706452616318273</v>
      </c>
      <c r="M79" s="133">
        <f>A79*Table!$AD$9/$AC$16</f>
        <v>23.213640897023406</v>
      </c>
      <c r="N79" s="133">
        <f>ABS(A79*Table!$AE$9/$AC$16)</f>
        <v>29.317753982929499</v>
      </c>
      <c r="O79" s="133">
        <f>($L79*(Table!$AC$10/Table!$AC$9)/(Table!$AC$12-Table!$AC$14))</f>
        <v>145.2304860924888</v>
      </c>
      <c r="P79" s="133">
        <f>$N79*(Table!$AE$10/Table!$AE$9)/(Table!$AC$12-Table!$AC$13)</f>
        <v>240.70405568907628</v>
      </c>
      <c r="Q79" s="133">
        <f>'Raw Data'!C79</f>
        <v>1.2952691568981392</v>
      </c>
      <c r="R79" s="133">
        <f>'Raw Data'!C79/'Raw Data'!I$23*100</f>
        <v>18.761575888949871</v>
      </c>
      <c r="S79" s="157">
        <f t="shared" si="7"/>
        <v>6.3530329783965486E-2</v>
      </c>
      <c r="T79" s="157">
        <f t="shared" si="8"/>
        <v>3.2184620261133112E-4</v>
      </c>
      <c r="U79" s="26">
        <f t="shared" si="9"/>
        <v>5.2208544887450567E-2</v>
      </c>
      <c r="V79" s="26">
        <f t="shared" si="10"/>
        <v>2.7081575284075532</v>
      </c>
      <c r="W79" s="26">
        <f t="shared" si="11"/>
        <v>7.3370544706915077E-4</v>
      </c>
      <c r="X79" s="138">
        <f t="shared" si="12"/>
        <v>14.765790832000878</v>
      </c>
      <c r="AS79" s="18"/>
      <c r="AT79" s="18"/>
    </row>
    <row r="80" spans="1:46" x14ac:dyDescent="0.2">
      <c r="A80" s="133">
        <f>'Raw Data'!A80</f>
        <v>391.6820068359375</v>
      </c>
      <c r="B80" s="84">
        <f>'Raw Data'!E80</f>
        <v>0.73025193449345327</v>
      </c>
      <c r="C80" s="84">
        <f t="shared" si="1"/>
        <v>0.26974806550654673</v>
      </c>
      <c r="D80" s="97">
        <f t="shared" si="2"/>
        <v>6.9178494017012593E-3</v>
      </c>
      <c r="E80" s="87">
        <f>(2*Table!$AC$16*0.147)/A80</f>
        <v>0.27887489146287986</v>
      </c>
      <c r="F80" s="87">
        <f t="shared" si="3"/>
        <v>0.55774978292575972</v>
      </c>
      <c r="G80" s="133">
        <f>IF((('Raw Data'!C80)/('Raw Data'!C$136)*100)&lt;0,0,('Raw Data'!C80)/('Raw Data'!C$136)*100)</f>
        <v>73.025193449345323</v>
      </c>
      <c r="H80" s="133">
        <f t="shared" si="4"/>
        <v>0.69178494017012326</v>
      </c>
      <c r="I80" s="49">
        <f t="shared" si="5"/>
        <v>3.7405896011090456E-2</v>
      </c>
      <c r="J80" s="87">
        <f>'Raw Data'!F80/I80</f>
        <v>0.18494008002508988</v>
      </c>
      <c r="K80" s="127">
        <f t="shared" si="6"/>
        <v>3.7588621066288574</v>
      </c>
      <c r="L80" s="133">
        <f>A80*Table!$AC$9/$AC$16</f>
        <v>73.796532531288619</v>
      </c>
      <c r="M80" s="133">
        <f>A80*Table!$AD$9/$AC$16</f>
        <v>25.301668296441811</v>
      </c>
      <c r="N80" s="133">
        <f>ABS(A80*Table!$AE$9/$AC$16)</f>
        <v>31.954835941650348</v>
      </c>
      <c r="O80" s="133">
        <f>($L80*(Table!$AC$10/Table!$AC$9)/(Table!$AC$12-Table!$AC$14))</f>
        <v>158.29372057333467</v>
      </c>
      <c r="P80" s="133">
        <f>$N80*(Table!$AE$10/Table!$AE$9)/(Table!$AC$12-Table!$AC$13)</f>
        <v>262.35497489039687</v>
      </c>
      <c r="Q80" s="133">
        <f>'Raw Data'!C80</f>
        <v>1.3076569001923781</v>
      </c>
      <c r="R80" s="133">
        <f>'Raw Data'!C80/'Raw Data'!I$23*100</f>
        <v>18.941008545606554</v>
      </c>
      <c r="S80" s="157">
        <f t="shared" si="7"/>
        <v>6.7538387824177121E-2</v>
      </c>
      <c r="T80" s="157">
        <f t="shared" si="8"/>
        <v>2.7739505062152059E-4</v>
      </c>
      <c r="U80" s="26">
        <f t="shared" si="9"/>
        <v>4.8358127805294637E-2</v>
      </c>
      <c r="V80" s="26">
        <f t="shared" si="10"/>
        <v>2.3790895215695325</v>
      </c>
      <c r="W80" s="26">
        <f t="shared" si="11"/>
        <v>6.5656772635202577E-4</v>
      </c>
      <c r="X80" s="138">
        <f t="shared" si="12"/>
        <v>14.76644739972723</v>
      </c>
      <c r="AS80" s="18"/>
      <c r="AT80" s="18"/>
    </row>
    <row r="81" spans="1:46" x14ac:dyDescent="0.2">
      <c r="A81" s="133">
        <f>'Raw Data'!A81</f>
        <v>428.17318725585938</v>
      </c>
      <c r="B81" s="84">
        <f>'Raw Data'!E81</f>
        <v>0.73755194121197332</v>
      </c>
      <c r="C81" s="84">
        <f t="shared" si="1"/>
        <v>0.26244805878802668</v>
      </c>
      <c r="D81" s="97">
        <f t="shared" si="2"/>
        <v>7.3000067185200468E-3</v>
      </c>
      <c r="E81" s="87">
        <f>(2*Table!$AC$16*0.147)/A81</f>
        <v>0.25510770033122915</v>
      </c>
      <c r="F81" s="87">
        <f t="shared" si="3"/>
        <v>0.5102154006624583</v>
      </c>
      <c r="G81" s="133">
        <f>IF((('Raw Data'!C81)/('Raw Data'!C$136)*100)&lt;0,0,('Raw Data'!C81)/('Raw Data'!C$136)*100)</f>
        <v>73.755194121197334</v>
      </c>
      <c r="H81" s="133">
        <f t="shared" si="4"/>
        <v>0.7300006718520109</v>
      </c>
      <c r="I81" s="49">
        <f t="shared" si="5"/>
        <v>3.8685846440703164E-2</v>
      </c>
      <c r="J81" s="87">
        <f>'Raw Data'!F81/I81</f>
        <v>0.18869967675928562</v>
      </c>
      <c r="K81" s="127">
        <f t="shared" si="6"/>
        <v>4.1090577064079792</v>
      </c>
      <c r="L81" s="133">
        <f>A81*Table!$AC$9/$AC$16</f>
        <v>80.671810271815161</v>
      </c>
      <c r="M81" s="133">
        <f>A81*Table!$AD$9/$AC$16</f>
        <v>27.658906378908057</v>
      </c>
      <c r="N81" s="133">
        <f>ABS(A81*Table!$AE$9/$AC$16)</f>
        <v>34.931918532335175</v>
      </c>
      <c r="O81" s="133">
        <f>($L81*(Table!$AC$10/Table!$AC$9)/(Table!$AC$12-Table!$AC$14))</f>
        <v>173.04120607424963</v>
      </c>
      <c r="P81" s="133">
        <f>$N81*(Table!$AE$10/Table!$AE$9)/(Table!$AC$12-Table!$AC$13)</f>
        <v>286.79736069240693</v>
      </c>
      <c r="Q81" s="133">
        <f>'Raw Data'!C81</f>
        <v>1.3207289698522073</v>
      </c>
      <c r="R81" s="133">
        <f>'Raw Data'!C81/'Raw Data'!I$23*100</f>
        <v>19.130353459474374</v>
      </c>
      <c r="S81" s="157">
        <f t="shared" si="7"/>
        <v>7.1269357895136873E-2</v>
      </c>
      <c r="T81" s="157">
        <f t="shared" si="8"/>
        <v>2.3814289752133178E-4</v>
      </c>
      <c r="U81" s="26">
        <f t="shared" si="9"/>
        <v>4.4679008468698982E-2</v>
      </c>
      <c r="V81" s="26">
        <f t="shared" si="10"/>
        <v>2.0811240069049002</v>
      </c>
      <c r="W81" s="26">
        <f t="shared" si="11"/>
        <v>5.7977568098384075E-4</v>
      </c>
      <c r="X81" s="138">
        <f t="shared" si="12"/>
        <v>14.767027175408215</v>
      </c>
      <c r="AS81" s="18"/>
      <c r="AT81" s="18"/>
    </row>
    <row r="82" spans="1:46" x14ac:dyDescent="0.2">
      <c r="A82" s="133">
        <f>'Raw Data'!A82</f>
        <v>469.24533081054687</v>
      </c>
      <c r="B82" s="84">
        <f>'Raw Data'!E82</f>
        <v>0.74518160767275876</v>
      </c>
      <c r="C82" s="84">
        <f t="shared" si="1"/>
        <v>0.25481839232724124</v>
      </c>
      <c r="D82" s="97">
        <f t="shared" si="2"/>
        <v>7.6296664607854447E-3</v>
      </c>
      <c r="E82" s="87">
        <f>(2*Table!$AC$16*0.147)/A82</f>
        <v>0.23277861274753031</v>
      </c>
      <c r="F82" s="87">
        <f t="shared" si="3"/>
        <v>0.46555722549506062</v>
      </c>
      <c r="G82" s="133">
        <f>IF((('Raw Data'!C82)/('Raw Data'!C$136)*100)&lt;0,0,('Raw Data'!C82)/('Raw Data'!C$136)*100)</f>
        <v>74.518160767275873</v>
      </c>
      <c r="H82" s="133">
        <f t="shared" si="4"/>
        <v>0.7629666460785387</v>
      </c>
      <c r="I82" s="49">
        <f t="shared" si="5"/>
        <v>3.9780492158564829E-2</v>
      </c>
      <c r="J82" s="87">
        <f>'Raw Data'!F82/I82</f>
        <v>0.19179416962398643</v>
      </c>
      <c r="K82" s="127">
        <f t="shared" si="6"/>
        <v>4.5032155215521454</v>
      </c>
      <c r="L82" s="133">
        <f>A82*Table!$AC$9/$AC$16</f>
        <v>88.410184067558177</v>
      </c>
      <c r="M82" s="133">
        <f>A82*Table!$AD$9/$AC$16</f>
        <v>30.312063108877087</v>
      </c>
      <c r="N82" s="133">
        <f>ABS(A82*Table!$AE$9/$AC$16)</f>
        <v>38.282732677881803</v>
      </c>
      <c r="O82" s="133">
        <f>($L82*(Table!$AC$10/Table!$AC$9)/(Table!$AC$12-Table!$AC$14))</f>
        <v>189.64003446494678</v>
      </c>
      <c r="P82" s="133">
        <f>$N82*(Table!$AE$10/Table!$AE$9)/(Table!$AC$12-Table!$AC$13)</f>
        <v>314.30815006471096</v>
      </c>
      <c r="Q82" s="133">
        <f>'Raw Data'!C82</f>
        <v>1.3343913588474972</v>
      </c>
      <c r="R82" s="133">
        <f>'Raw Data'!C82/'Raw Data'!I$23*100</f>
        <v>19.328248967596661</v>
      </c>
      <c r="S82" s="157">
        <f t="shared" si="7"/>
        <v>7.4487798515955148E-2</v>
      </c>
      <c r="T82" s="157">
        <f t="shared" si="8"/>
        <v>2.0398549853395398E-4</v>
      </c>
      <c r="U82" s="26">
        <f t="shared" si="9"/>
        <v>4.1190072012459188E-2</v>
      </c>
      <c r="V82" s="26">
        <f t="shared" si="10"/>
        <v>1.813790403676228</v>
      </c>
      <c r="W82" s="26">
        <f t="shared" si="11"/>
        <v>5.0452338774901204E-4</v>
      </c>
      <c r="X82" s="138">
        <f t="shared" si="12"/>
        <v>14.767531698795963</v>
      </c>
      <c r="AS82" s="18"/>
      <c r="AT82" s="18"/>
    </row>
    <row r="83" spans="1:46" x14ac:dyDescent="0.2">
      <c r="A83" s="133">
        <f>'Raw Data'!A83</f>
        <v>511.96231079101562</v>
      </c>
      <c r="B83" s="84">
        <f>'Raw Data'!E83</f>
        <v>0.75321180275760091</v>
      </c>
      <c r="C83" s="84">
        <f t="shared" si="1"/>
        <v>0.24678819724239909</v>
      </c>
      <c r="D83" s="97">
        <f t="shared" si="2"/>
        <v>8.0301950848421511E-3</v>
      </c>
      <c r="E83" s="87">
        <f>(2*Table!$AC$16*0.147)/A83</f>
        <v>0.21335609055980517</v>
      </c>
      <c r="F83" s="87">
        <f t="shared" si="3"/>
        <v>0.42671218111961035</v>
      </c>
      <c r="G83" s="133">
        <f>IF((('Raw Data'!C83)/('Raw Data'!C$136)*100)&lt;0,0,('Raw Data'!C83)/('Raw Data'!C$136)*100)</f>
        <v>75.321180275760085</v>
      </c>
      <c r="H83" s="133">
        <f t="shared" si="4"/>
        <v>0.803019508484212</v>
      </c>
      <c r="I83" s="49">
        <f t="shared" si="5"/>
        <v>3.7838030727087024E-2</v>
      </c>
      <c r="J83" s="87">
        <f>'Raw Data'!F83/I83</f>
        <v>0.21222550250464262</v>
      </c>
      <c r="K83" s="127">
        <f t="shared" si="6"/>
        <v>4.913158369464135</v>
      </c>
      <c r="L83" s="133">
        <f>A83*Table!$AC$9/$AC$16</f>
        <v>96.45846034206032</v>
      </c>
      <c r="M83" s="133">
        <f>A83*Table!$AD$9/$AC$16</f>
        <v>33.071472117277828</v>
      </c>
      <c r="N83" s="133">
        <f>ABS(A83*Table!$AE$9/$AC$16)</f>
        <v>41.767738533079033</v>
      </c>
      <c r="O83" s="133">
        <f>($L83*(Table!$AC$10/Table!$AC$9)/(Table!$AC$12-Table!$AC$14))</f>
        <v>206.90360433732374</v>
      </c>
      <c r="P83" s="133">
        <f>$N83*(Table!$AE$10/Table!$AE$9)/(Table!$AC$12-Table!$AC$13)</f>
        <v>342.92067761148621</v>
      </c>
      <c r="Q83" s="133">
        <f>'Raw Data'!C83</f>
        <v>1.3487709715764504</v>
      </c>
      <c r="R83" s="133">
        <f>'Raw Data'!C83/'Raw Data'!I$23*100</f>
        <v>19.536533241202029</v>
      </c>
      <c r="S83" s="157">
        <f t="shared" si="7"/>
        <v>7.8398126130137288E-2</v>
      </c>
      <c r="T83" s="157">
        <f t="shared" si="8"/>
        <v>1.7378394559230959E-4</v>
      </c>
      <c r="U83" s="26">
        <f t="shared" si="9"/>
        <v>3.8160100517979134E-2</v>
      </c>
      <c r="V83" s="26">
        <f t="shared" si="10"/>
        <v>1.5939495708128117</v>
      </c>
      <c r="W83" s="26">
        <f t="shared" si="11"/>
        <v>4.4609338700193164E-4</v>
      </c>
      <c r="X83" s="138">
        <f t="shared" si="12"/>
        <v>14.767977792182965</v>
      </c>
      <c r="AS83" s="18"/>
      <c r="AT83" s="18"/>
    </row>
    <row r="84" spans="1:46" x14ac:dyDescent="0.2">
      <c r="A84" s="133">
        <f>'Raw Data'!A84</f>
        <v>561.9442138671875</v>
      </c>
      <c r="B84" s="84">
        <f>'Raw Data'!E84</f>
        <v>0.76203338598148418</v>
      </c>
      <c r="C84" s="84">
        <f t="shared" si="1"/>
        <v>0.23796661401851582</v>
      </c>
      <c r="D84" s="97">
        <f t="shared" si="2"/>
        <v>8.821583223883267E-3</v>
      </c>
      <c r="E84" s="87">
        <f>(2*Table!$AC$16*0.147)/A84</f>
        <v>0.19437921852177134</v>
      </c>
      <c r="F84" s="87">
        <f t="shared" si="3"/>
        <v>0.38875843704354268</v>
      </c>
      <c r="G84" s="133">
        <f>IF((('Raw Data'!C84)/('Raw Data'!C$136)*100)&lt;0,0,('Raw Data'!C84)/('Raw Data'!C$136)*100)</f>
        <v>76.20333859814842</v>
      </c>
      <c r="H84" s="133">
        <f t="shared" si="4"/>
        <v>0.88215832238833514</v>
      </c>
      <c r="I84" s="49">
        <f t="shared" si="5"/>
        <v>4.045521317536227E-2</v>
      </c>
      <c r="J84" s="87">
        <f>'Raw Data'!F84/I84</f>
        <v>0.21805800863399533</v>
      </c>
      <c r="K84" s="127">
        <f t="shared" si="6"/>
        <v>5.3928206419486431</v>
      </c>
      <c r="L84" s="133">
        <f>A84*Table!$AC$9/$AC$16</f>
        <v>105.87551568788176</v>
      </c>
      <c r="M84" s="133">
        <f>A84*Table!$AD$9/$AC$16</f>
        <v>36.300176807273743</v>
      </c>
      <c r="N84" s="133">
        <f>ABS(A84*Table!$AE$9/$AC$16)</f>
        <v>45.845443112241732</v>
      </c>
      <c r="O84" s="133">
        <f>($L84*(Table!$AC$10/Table!$AC$9)/(Table!$AC$12-Table!$AC$14))</f>
        <v>227.10320825371466</v>
      </c>
      <c r="P84" s="133">
        <f>$N84*(Table!$AE$10/Table!$AE$9)/(Table!$AC$12-Table!$AC$13)</f>
        <v>376.39936873761673</v>
      </c>
      <c r="Q84" s="133">
        <f>'Raw Data'!C84</f>
        <v>1.3645677173684818</v>
      </c>
      <c r="R84" s="133">
        <f>'Raw Data'!C84/'Raw Data'!I$23*100</f>
        <v>19.765344251946225</v>
      </c>
      <c r="S84" s="157">
        <f t="shared" si="7"/>
        <v>8.6124382651545275E-2</v>
      </c>
      <c r="T84" s="157">
        <f t="shared" si="8"/>
        <v>1.4624550856201513E-4</v>
      </c>
      <c r="U84" s="26">
        <f t="shared" si="9"/>
        <v>3.5173143106012404E-2</v>
      </c>
      <c r="V84" s="26">
        <f t="shared" si="10"/>
        <v>1.3887241865867805</v>
      </c>
      <c r="W84" s="26">
        <f t="shared" si="11"/>
        <v>4.0675771445422793E-4</v>
      </c>
      <c r="X84" s="138">
        <f t="shared" si="12"/>
        <v>14.768384549897419</v>
      </c>
      <c r="AS84" s="18"/>
      <c r="AT84" s="18"/>
    </row>
    <row r="85" spans="1:46" x14ac:dyDescent="0.2">
      <c r="A85" s="133">
        <f>'Raw Data'!A85</f>
        <v>613.33770751953125</v>
      </c>
      <c r="B85" s="84">
        <f>'Raw Data'!E85</f>
        <v>0.7709063861147889</v>
      </c>
      <c r="C85" s="84">
        <f t="shared" si="1"/>
        <v>0.2290936138852111</v>
      </c>
      <c r="D85" s="97">
        <f t="shared" si="2"/>
        <v>8.8730001333047204E-3</v>
      </c>
      <c r="E85" s="87">
        <f>(2*Table!$AC$16*0.147)/A85</f>
        <v>0.17809157305212103</v>
      </c>
      <c r="F85" s="87">
        <f t="shared" si="3"/>
        <v>0.35618314610424207</v>
      </c>
      <c r="G85" s="133">
        <f>IF((('Raw Data'!C85)/('Raw Data'!C$136)*100)&lt;0,0,('Raw Data'!C85)/('Raw Data'!C$136)*100)</f>
        <v>77.090638611478894</v>
      </c>
      <c r="H85" s="133">
        <f t="shared" si="4"/>
        <v>0.88730001333047426</v>
      </c>
      <c r="I85" s="49">
        <f t="shared" si="5"/>
        <v>3.8006461787608137E-2</v>
      </c>
      <c r="J85" s="87">
        <f>'Raw Data'!F85/I85</f>
        <v>0.23346030427377823</v>
      </c>
      <c r="K85" s="127">
        <f t="shared" si="6"/>
        <v>5.8860295523543309</v>
      </c>
      <c r="L85" s="133">
        <f>A85*Table!$AC$9/$AC$16</f>
        <v>115.5585278253282</v>
      </c>
      <c r="M85" s="133">
        <f>A85*Table!$AD$9/$AC$16</f>
        <v>39.620066682969664</v>
      </c>
      <c r="N85" s="133">
        <f>ABS(A85*Table!$AE$9/$AC$16)</f>
        <v>50.038310360332574</v>
      </c>
      <c r="O85" s="133">
        <f>($L85*(Table!$AC$10/Table!$AC$9)/(Table!$AC$12-Table!$AC$14))</f>
        <v>247.87329005861906</v>
      </c>
      <c r="P85" s="133">
        <f>$N85*(Table!$AE$10/Table!$AE$9)/(Table!$AC$12-Table!$AC$13)</f>
        <v>410.82356617678624</v>
      </c>
      <c r="Q85" s="133">
        <f>'Raw Data'!C85</f>
        <v>1.380456535051344</v>
      </c>
      <c r="R85" s="133">
        <f>'Raw Data'!C85/'Raw Data'!I$23*100</f>
        <v>19.995488895748743</v>
      </c>
      <c r="S85" s="157">
        <f t="shared" si="7"/>
        <v>8.6626361657964918E-2</v>
      </c>
      <c r="T85" s="157">
        <f t="shared" si="8"/>
        <v>1.22994043827096E-4</v>
      </c>
      <c r="U85" s="26">
        <f t="shared" si="9"/>
        <v>3.2601108085486497E-2</v>
      </c>
      <c r="V85" s="26">
        <f t="shared" si="10"/>
        <v>1.2213744176434911</v>
      </c>
      <c r="W85" s="26">
        <f t="shared" si="11"/>
        <v>3.4343679864311748E-4</v>
      </c>
      <c r="X85" s="138">
        <f t="shared" si="12"/>
        <v>14.768727986696062</v>
      </c>
      <c r="AS85" s="18"/>
      <c r="AT85" s="18"/>
    </row>
    <row r="86" spans="1:46" x14ac:dyDescent="0.2">
      <c r="A86" s="133">
        <f>'Raw Data'!A86</f>
        <v>673.416259765625</v>
      </c>
      <c r="B86" s="84">
        <f>'Raw Data'!E86</f>
        <v>0.78025510641446849</v>
      </c>
      <c r="C86" s="84">
        <f t="shared" si="1"/>
        <v>0.21974489358553151</v>
      </c>
      <c r="D86" s="97">
        <f t="shared" si="2"/>
        <v>9.3487202996795915E-3</v>
      </c>
      <c r="E86" s="87">
        <f>(2*Table!$AC$16*0.147)/A86</f>
        <v>0.16220320724413667</v>
      </c>
      <c r="F86" s="87">
        <f t="shared" si="3"/>
        <v>0.32440641448827334</v>
      </c>
      <c r="G86" s="133">
        <f>IF((('Raw Data'!C86)/('Raw Data'!C$136)*100)&lt;0,0,('Raw Data'!C86)/('Raw Data'!C$136)*100)</f>
        <v>78.025510641446843</v>
      </c>
      <c r="H86" s="133">
        <f t="shared" si="4"/>
        <v>0.93487202996794849</v>
      </c>
      <c r="I86" s="49">
        <f t="shared" si="5"/>
        <v>4.0583932711579007E-2</v>
      </c>
      <c r="J86" s="87">
        <f>'Raw Data'!F86/I86</f>
        <v>0.23035520894731593</v>
      </c>
      <c r="K86" s="127">
        <f t="shared" si="6"/>
        <v>6.462586528466729</v>
      </c>
      <c r="L86" s="133">
        <f>A86*Table!$AC$9/$AC$16</f>
        <v>126.87788576846359</v>
      </c>
      <c r="M86" s="133">
        <f>A86*Table!$AD$9/$AC$16</f>
        <v>43.500989406330376</v>
      </c>
      <c r="N86" s="133">
        <f>ABS(A86*Table!$AE$9/$AC$16)</f>
        <v>54.939736126974786</v>
      </c>
      <c r="O86" s="133">
        <f>($L86*(Table!$AC$10/Table!$AC$9)/(Table!$AC$12-Table!$AC$14))</f>
        <v>272.15333712669155</v>
      </c>
      <c r="P86" s="133">
        <f>$N86*(Table!$AE$10/Table!$AE$9)/(Table!$AC$12-Table!$AC$13)</f>
        <v>451.06515703591771</v>
      </c>
      <c r="Q86" s="133">
        <f>'Raw Data'!C86</f>
        <v>1.3971972214232664</v>
      </c>
      <c r="R86" s="133">
        <f>'Raw Data'!C86/'Raw Data'!I$23*100</f>
        <v>20.237972595856355</v>
      </c>
      <c r="S86" s="157">
        <f t="shared" si="7"/>
        <v>9.1270778040389605E-2</v>
      </c>
      <c r="T86" s="157">
        <f t="shared" si="8"/>
        <v>1.0267215226311688E-4</v>
      </c>
      <c r="U86" s="26">
        <f t="shared" si="9"/>
        <v>3.0052693712652491E-2</v>
      </c>
      <c r="V86" s="26">
        <f t="shared" si="10"/>
        <v>1.0643237021788692</v>
      </c>
      <c r="W86" s="26">
        <f t="shared" si="11"/>
        <v>3.001654072417976E-4</v>
      </c>
      <c r="X86" s="138">
        <f t="shared" si="12"/>
        <v>14.769028152103303</v>
      </c>
      <c r="AS86" s="18"/>
      <c r="AT86" s="18"/>
    </row>
    <row r="87" spans="1:46" x14ac:dyDescent="0.2">
      <c r="A87" s="133">
        <f>'Raw Data'!A87</f>
        <v>735.20709228515625</v>
      </c>
      <c r="B87" s="84">
        <f>'Raw Data'!E87</f>
        <v>0.78975620049771078</v>
      </c>
      <c r="C87" s="84">
        <f t="shared" si="1"/>
        <v>0.21024379950228922</v>
      </c>
      <c r="D87" s="97">
        <f t="shared" si="2"/>
        <v>9.5010940832422897E-3</v>
      </c>
      <c r="E87" s="87">
        <f>(2*Table!$AC$16*0.147)/A87</f>
        <v>0.14857076093325983</v>
      </c>
      <c r="F87" s="87">
        <f t="shared" si="3"/>
        <v>0.29714152186651965</v>
      </c>
      <c r="G87" s="133">
        <f>IF((('Raw Data'!C87)/('Raw Data'!C$136)*100)&lt;0,0,('Raw Data'!C87)/('Raw Data'!C$136)*100)</f>
        <v>78.975620049771081</v>
      </c>
      <c r="H87" s="133">
        <f t="shared" si="4"/>
        <v>0.95010940832423785</v>
      </c>
      <c r="I87" s="49">
        <f t="shared" si="5"/>
        <v>3.8126089582133038E-2</v>
      </c>
      <c r="J87" s="87">
        <f>'Raw Data'!F87/I87</f>
        <v>0.2492019031423241</v>
      </c>
      <c r="K87" s="127">
        <f t="shared" si="6"/>
        <v>7.0555757769925194</v>
      </c>
      <c r="L87" s="133">
        <f>A87*Table!$AC$9/$AC$16</f>
        <v>138.51985323845003</v>
      </c>
      <c r="M87" s="133">
        <f>A87*Table!$AD$9/$AC$16</f>
        <v>47.492521110325725</v>
      </c>
      <c r="N87" s="133">
        <f>ABS(A87*Table!$AE$9/$AC$16)</f>
        <v>59.980855916494939</v>
      </c>
      <c r="O87" s="133">
        <f>($L87*(Table!$AC$10/Table!$AC$9)/(Table!$AC$12-Table!$AC$14))</f>
        <v>297.12538232185767</v>
      </c>
      <c r="P87" s="133">
        <f>$N87*(Table!$AE$10/Table!$AE$9)/(Table!$AC$12-Table!$AC$13)</f>
        <v>492.45366105496652</v>
      </c>
      <c r="Q87" s="133">
        <f>'Raw Data'!C87</f>
        <v>1.414210762436269</v>
      </c>
      <c r="R87" s="133">
        <f>'Raw Data'!C87/'Raw Data'!I$23*100</f>
        <v>20.484408511631283</v>
      </c>
      <c r="S87" s="157">
        <f t="shared" si="7"/>
        <v>9.2758390604774699E-2</v>
      </c>
      <c r="T87" s="157">
        <f t="shared" si="8"/>
        <v>8.5344752201899077E-5</v>
      </c>
      <c r="U87" s="26">
        <f t="shared" si="9"/>
        <v>2.786209317970811E-2</v>
      </c>
      <c r="V87" s="26">
        <f t="shared" si="10"/>
        <v>0.93646409460785163</v>
      </c>
      <c r="W87" s="26">
        <f t="shared" si="11"/>
        <v>2.5593513671759742E-4</v>
      </c>
      <c r="X87" s="138">
        <f t="shared" si="12"/>
        <v>14.76928408724002</v>
      </c>
      <c r="AS87" s="18"/>
      <c r="AT87" s="18"/>
    </row>
    <row r="88" spans="1:46" x14ac:dyDescent="0.2">
      <c r="A88" s="133">
        <f>'Raw Data'!A88</f>
        <v>804.4375</v>
      </c>
      <c r="B88" s="84">
        <f>'Raw Data'!E88</f>
        <v>0.7995787640190628</v>
      </c>
      <c r="C88" s="84">
        <f t="shared" si="1"/>
        <v>0.2004212359809372</v>
      </c>
      <c r="D88" s="97">
        <f t="shared" si="2"/>
        <v>9.8225635213520235E-3</v>
      </c>
      <c r="E88" s="87">
        <f>(2*Table!$AC$16*0.147)/A88</f>
        <v>0.13578466586196572</v>
      </c>
      <c r="F88" s="87">
        <f t="shared" si="3"/>
        <v>0.27156933172393144</v>
      </c>
      <c r="G88" s="133">
        <f>IF((('Raw Data'!C88)/('Raw Data'!C$136)*100)&lt;0,0,('Raw Data'!C88)/('Raw Data'!C$136)*100)</f>
        <v>79.957876401906276</v>
      </c>
      <c r="H88" s="133">
        <f t="shared" si="4"/>
        <v>0.98225635213519524</v>
      </c>
      <c r="I88" s="49">
        <f t="shared" si="5"/>
        <v>3.9082619767609961E-2</v>
      </c>
      <c r="J88" s="87">
        <f>'Raw Data'!F88/I88</f>
        <v>0.25132817553578007</v>
      </c>
      <c r="K88" s="127">
        <f t="shared" si="6"/>
        <v>7.7199605371910982</v>
      </c>
      <c r="L88" s="133">
        <f>A88*Table!$AC$9/$AC$16</f>
        <v>151.56350585949784</v>
      </c>
      <c r="M88" s="133">
        <f>A88*Table!$AD$9/$AC$16</f>
        <v>51.964630580399259</v>
      </c>
      <c r="N88" s="133">
        <f>ABS(A88*Table!$AE$9/$AC$16)</f>
        <v>65.628923180478381</v>
      </c>
      <c r="O88" s="133">
        <f>($L88*(Table!$AC$10/Table!$AC$9)/(Table!$AC$12-Table!$AC$14))</f>
        <v>325.10404517266807</v>
      </c>
      <c r="P88" s="133">
        <f>$N88*(Table!$AE$10/Table!$AE$9)/(Table!$AC$12-Table!$AC$13)</f>
        <v>538.82531346862368</v>
      </c>
      <c r="Q88" s="133">
        <f>'Raw Data'!C88</f>
        <v>1.4317999564658386</v>
      </c>
      <c r="R88" s="133">
        <f>'Raw Data'!C88/'Raw Data'!I$23*100</f>
        <v>20.739182584536337</v>
      </c>
      <c r="S88" s="157">
        <f t="shared" si="7"/>
        <v>9.5896869967932868E-2</v>
      </c>
      <c r="T88" s="157">
        <f t="shared" si="8"/>
        <v>7.0381727582891074E-5</v>
      </c>
      <c r="U88" s="26">
        <f t="shared" si="9"/>
        <v>2.5780974388359988E-2</v>
      </c>
      <c r="V88" s="26">
        <f t="shared" si="10"/>
        <v>0.82125884197361954</v>
      </c>
      <c r="W88" s="26">
        <f t="shared" si="11"/>
        <v>2.2101202361922014E-4</v>
      </c>
      <c r="X88" s="138">
        <f t="shared" si="12"/>
        <v>14.76950509926364</v>
      </c>
      <c r="AS88" s="18"/>
      <c r="AT88" s="18"/>
    </row>
    <row r="89" spans="1:46" x14ac:dyDescent="0.2">
      <c r="A89" s="133">
        <f>'Raw Data'!A89</f>
        <v>878.4713134765625</v>
      </c>
      <c r="B89" s="84">
        <f>'Raw Data'!E89</f>
        <v>0.8094293679567256</v>
      </c>
      <c r="C89" s="84">
        <f t="shared" si="1"/>
        <v>0.1905706320432744</v>
      </c>
      <c r="D89" s="97">
        <f t="shared" si="2"/>
        <v>9.8506039376627941E-3</v>
      </c>
      <c r="E89" s="87">
        <f>(2*Table!$AC$16*0.147)/A89</f>
        <v>0.12434131367597503</v>
      </c>
      <c r="F89" s="87">
        <f t="shared" si="3"/>
        <v>0.24868262735195007</v>
      </c>
      <c r="G89" s="133">
        <f>IF((('Raw Data'!C89)/('Raw Data'!C$136)*100)&lt;0,0,('Raw Data'!C89)/('Raw Data'!C$136)*100)</f>
        <v>80.942936795672566</v>
      </c>
      <c r="H89" s="133">
        <f t="shared" si="4"/>
        <v>0.98506039376628962</v>
      </c>
      <c r="I89" s="49">
        <f t="shared" si="5"/>
        <v>3.8235276502914806E-2</v>
      </c>
      <c r="J89" s="87">
        <f>'Raw Data'!F89/I89</f>
        <v>0.25763129859703904</v>
      </c>
      <c r="K89" s="127">
        <f t="shared" si="6"/>
        <v>8.4304422321106269</v>
      </c>
      <c r="L89" s="133">
        <f>A89*Table!$AC$9/$AC$16</f>
        <v>165.51216479528335</v>
      </c>
      <c r="M89" s="133">
        <f>A89*Table!$AD$9/$AC$16</f>
        <v>56.747027929811431</v>
      </c>
      <c r="N89" s="133">
        <f>ABS(A89*Table!$AE$9/$AC$16)</f>
        <v>71.668869674035918</v>
      </c>
      <c r="O89" s="133">
        <f>($L89*(Table!$AC$10/Table!$AC$9)/(Table!$AC$12-Table!$AC$14))</f>
        <v>355.02394850983131</v>
      </c>
      <c r="P89" s="133">
        <f>$N89*(Table!$AE$10/Table!$AE$9)/(Table!$AC$12-Table!$AC$13)</f>
        <v>588.41436513986787</v>
      </c>
      <c r="Q89" s="133">
        <f>'Raw Data'!C89</f>
        <v>1.4494393622677308</v>
      </c>
      <c r="R89" s="133">
        <f>'Raw Data'!C89/'Raw Data'!I$23*100</f>
        <v>20.994683959540676</v>
      </c>
      <c r="S89" s="157">
        <f t="shared" si="7"/>
        <v>9.6170626218116992E-2</v>
      </c>
      <c r="T89" s="157">
        <f t="shared" si="8"/>
        <v>5.7798650726526013E-5</v>
      </c>
      <c r="U89" s="26">
        <f t="shared" si="9"/>
        <v>2.3899111601554661E-2</v>
      </c>
      <c r="V89" s="26">
        <f t="shared" si="10"/>
        <v>0.72246439249656014</v>
      </c>
      <c r="W89" s="26">
        <f t="shared" si="11"/>
        <v>1.8585889886477906E-4</v>
      </c>
      <c r="X89" s="138">
        <f t="shared" si="12"/>
        <v>14.769690958162505</v>
      </c>
      <c r="AS89" s="18"/>
      <c r="AT89" s="18"/>
    </row>
    <row r="90" spans="1:46" x14ac:dyDescent="0.2">
      <c r="A90" s="133">
        <f>'Raw Data'!A90</f>
        <v>963.73516845703125</v>
      </c>
      <c r="B90" s="84">
        <f>'Raw Data'!E90</f>
        <v>0.81956486934935857</v>
      </c>
      <c r="C90" s="84">
        <f t="shared" si="1"/>
        <v>0.18043513065064143</v>
      </c>
      <c r="D90" s="97">
        <f t="shared" si="2"/>
        <v>1.0135501392632973E-2</v>
      </c>
      <c r="E90" s="87">
        <f>(2*Table!$AC$16*0.147)/A90</f>
        <v>0.11334055321361364</v>
      </c>
      <c r="F90" s="87">
        <f t="shared" si="3"/>
        <v>0.22668110642722727</v>
      </c>
      <c r="G90" s="133">
        <f>IF((('Raw Data'!C90)/('Raw Data'!C$136)*100)&lt;0,0,('Raw Data'!C90)/('Raw Data'!C$136)*100)</f>
        <v>81.956486934935853</v>
      </c>
      <c r="H90" s="133">
        <f t="shared" si="4"/>
        <v>1.0135501392632875</v>
      </c>
      <c r="I90" s="49">
        <f t="shared" si="5"/>
        <v>4.0230123316706501E-2</v>
      </c>
      <c r="J90" s="87">
        <f>'Raw Data'!F90/I90</f>
        <v>0.25193811395611526</v>
      </c>
      <c r="K90" s="127">
        <f t="shared" si="6"/>
        <v>9.248695478258405</v>
      </c>
      <c r="L90" s="133">
        <f>A90*Table!$AC$9/$AC$16</f>
        <v>181.57666798407757</v>
      </c>
      <c r="M90" s="133">
        <f>A90*Table!$AD$9/$AC$16</f>
        <v>62.25485759454088</v>
      </c>
      <c r="N90" s="133">
        <f>ABS(A90*Table!$AE$9/$AC$16)</f>
        <v>78.625003604371869</v>
      </c>
      <c r="O90" s="133">
        <f>($L90*(Table!$AC$10/Table!$AC$9)/(Table!$AC$12-Table!$AC$14))</f>
        <v>389.48234230818878</v>
      </c>
      <c r="P90" s="133">
        <f>$N90*(Table!$AE$10/Table!$AE$9)/(Table!$AC$12-Table!$AC$13)</f>
        <v>645.52548115247828</v>
      </c>
      <c r="Q90" s="133">
        <f>'Raw Data'!C90</f>
        <v>1.4675889318983537</v>
      </c>
      <c r="R90" s="133">
        <f>'Raw Data'!C90/'Raw Data'!I$23*100</f>
        <v>21.257574900904679</v>
      </c>
      <c r="S90" s="157">
        <f t="shared" si="7"/>
        <v>9.8952056354362092E-2</v>
      </c>
      <c r="T90" s="157">
        <f t="shared" si="8"/>
        <v>4.7041209487730384E-5</v>
      </c>
      <c r="U90" s="26">
        <f t="shared" si="9"/>
        <v>2.2057485911755912E-2</v>
      </c>
      <c r="V90" s="26">
        <f t="shared" si="10"/>
        <v>0.6308500030036549</v>
      </c>
      <c r="W90" s="26">
        <f t="shared" si="11"/>
        <v>1.5889326641482473E-4</v>
      </c>
      <c r="X90" s="138">
        <f t="shared" si="12"/>
        <v>14.769849851428919</v>
      </c>
      <c r="AS90" s="18"/>
      <c r="AT90" s="18"/>
    </row>
    <row r="91" spans="1:46" x14ac:dyDescent="0.2">
      <c r="A91" s="133">
        <f>'Raw Data'!A91</f>
        <v>1047.3736572265625</v>
      </c>
      <c r="B91" s="84">
        <f>'Raw Data'!E91</f>
        <v>0.82905407611615256</v>
      </c>
      <c r="C91" s="84">
        <f t="shared" si="1"/>
        <v>0.17094592388384744</v>
      </c>
      <c r="D91" s="97">
        <f t="shared" si="2"/>
        <v>9.4892067667939894E-3</v>
      </c>
      <c r="E91" s="87">
        <f>(2*Table!$AC$16*0.147)/A91</f>
        <v>0.10428969297698015</v>
      </c>
      <c r="F91" s="87">
        <f t="shared" si="3"/>
        <v>0.20857938595396031</v>
      </c>
      <c r="G91" s="133">
        <f>IF((('Raw Data'!C91)/('Raw Data'!C$136)*100)&lt;0,0,('Raw Data'!C91)/('Raw Data'!C$136)*100)</f>
        <v>82.90540761161526</v>
      </c>
      <c r="H91" s="133">
        <f t="shared" si="4"/>
        <v>0.94892067667940694</v>
      </c>
      <c r="I91" s="49">
        <f t="shared" si="5"/>
        <v>3.6143939174643092E-2</v>
      </c>
      <c r="J91" s="87">
        <f>'Raw Data'!F91/I91</f>
        <v>0.26253936298817082</v>
      </c>
      <c r="K91" s="127">
        <f t="shared" si="6"/>
        <v>10.051350541816584</v>
      </c>
      <c r="L91" s="133">
        <f>A91*Table!$AC$9/$AC$16</f>
        <v>197.33493706365229</v>
      </c>
      <c r="M91" s="133">
        <f>A91*Table!$AD$9/$AC$16</f>
        <v>67.657692707537933</v>
      </c>
      <c r="N91" s="133">
        <f>ABS(A91*Table!$AE$9/$AC$16)</f>
        <v>85.448534275663135</v>
      </c>
      <c r="O91" s="133">
        <f>($L91*(Table!$AC$10/Table!$AC$9)/(Table!$AC$12-Table!$AC$14))</f>
        <v>423.2838632853975</v>
      </c>
      <c r="P91" s="133">
        <f>$N91*(Table!$AE$10/Table!$AE$9)/(Table!$AC$12-Table!$AC$13)</f>
        <v>701.54790045700418</v>
      </c>
      <c r="Q91" s="133">
        <f>'Raw Data'!C91</f>
        <v>1.4845811863790732</v>
      </c>
      <c r="R91" s="133">
        <f>'Raw Data'!C91/'Raw Data'!I$23*100</f>
        <v>21.503702487797753</v>
      </c>
      <c r="S91" s="157">
        <f t="shared" si="7"/>
        <v>9.2642335723863795E-2</v>
      </c>
      <c r="T91" s="157">
        <f t="shared" si="8"/>
        <v>3.8514022698721284E-5</v>
      </c>
      <c r="U91" s="26">
        <f t="shared" si="9"/>
        <v>2.0531070587300613E-2</v>
      </c>
      <c r="V91" s="26">
        <f t="shared" si="10"/>
        <v>0.55880579951069098</v>
      </c>
      <c r="W91" s="26">
        <f t="shared" si="11"/>
        <v>1.2595119342495459E-4</v>
      </c>
      <c r="X91" s="138">
        <f t="shared" si="12"/>
        <v>14.769975802622344</v>
      </c>
      <c r="AS91" s="18"/>
      <c r="AT91" s="18"/>
    </row>
    <row r="92" spans="1:46" x14ac:dyDescent="0.2">
      <c r="A92" s="133">
        <f>'Raw Data'!A92</f>
        <v>1147.60498046875</v>
      </c>
      <c r="B92" s="84">
        <f>'Raw Data'!E92</f>
        <v>0.83917951025992754</v>
      </c>
      <c r="C92" s="84">
        <f t="shared" si="1"/>
        <v>0.16082048974007246</v>
      </c>
      <c r="D92" s="97">
        <f t="shared" si="2"/>
        <v>1.0125434143774981E-2</v>
      </c>
      <c r="E92" s="87">
        <f>(2*Table!$AC$16*0.147)/A92</f>
        <v>9.5181076244300472E-2</v>
      </c>
      <c r="F92" s="87">
        <f t="shared" si="3"/>
        <v>0.19036215248860094</v>
      </c>
      <c r="G92" s="133">
        <f>IF((('Raw Data'!C92)/('Raw Data'!C$136)*100)&lt;0,0,('Raw Data'!C92)/('Raw Data'!C$136)*100)</f>
        <v>83.91795102599275</v>
      </c>
      <c r="H92" s="133">
        <f t="shared" si="4"/>
        <v>1.0125434143774896</v>
      </c>
      <c r="I92" s="49">
        <f t="shared" si="5"/>
        <v>3.9690777717508063E-2</v>
      </c>
      <c r="J92" s="87">
        <f>'Raw Data'!F92/I92</f>
        <v>0.25510798039385696</v>
      </c>
      <c r="K92" s="127">
        <f t="shared" si="6"/>
        <v>11.013242373090154</v>
      </c>
      <c r="L92" s="133">
        <f>A92*Table!$AC$9/$AC$16</f>
        <v>216.21945046279455</v>
      </c>
      <c r="M92" s="133">
        <f>A92*Table!$AD$9/$AC$16</f>
        <v>74.132383015815279</v>
      </c>
      <c r="N92" s="133">
        <f>ABS(A92*Table!$AE$9/$AC$16)</f>
        <v>93.625768446545536</v>
      </c>
      <c r="O92" s="133">
        <f>($L92*(Table!$AC$10/Table!$AC$9)/(Table!$AC$12-Table!$AC$14))</f>
        <v>463.7911850338794</v>
      </c>
      <c r="P92" s="133">
        <f>$N92*(Table!$AE$10/Table!$AE$9)/(Table!$AC$12-Table!$AC$13)</f>
        <v>768.68447000447873</v>
      </c>
      <c r="Q92" s="133">
        <f>'Raw Data'!C92</f>
        <v>1.5027127286593895</v>
      </c>
      <c r="R92" s="133">
        <f>'Raw Data'!C92/'Raw Data'!I$23*100</f>
        <v>21.766332308529762</v>
      </c>
      <c r="S92" s="157">
        <f t="shared" si="7"/>
        <v>9.8853770641821659E-2</v>
      </c>
      <c r="T92" s="157">
        <f t="shared" si="8"/>
        <v>3.0935091503314638E-5</v>
      </c>
      <c r="U92" s="26">
        <f t="shared" si="9"/>
        <v>1.8966746118197483E-2</v>
      </c>
      <c r="V92" s="26">
        <f t="shared" si="10"/>
        <v>0.48871849283256508</v>
      </c>
      <c r="W92" s="26">
        <f t="shared" si="11"/>
        <v>1.1194494181614087E-4</v>
      </c>
      <c r="X92" s="138">
        <f t="shared" si="12"/>
        <v>14.77008774756416</v>
      </c>
      <c r="AS92" s="18"/>
      <c r="AT92" s="18"/>
    </row>
    <row r="93" spans="1:46" x14ac:dyDescent="0.2">
      <c r="A93" s="133">
        <f>'Raw Data'!A93</f>
        <v>1257.69873046875</v>
      </c>
      <c r="B93" s="84">
        <f>'Raw Data'!E93</f>
        <v>0.84902385771524924</v>
      </c>
      <c r="C93" s="84">
        <f t="shared" si="1"/>
        <v>0.15097614228475076</v>
      </c>
      <c r="D93" s="97">
        <f t="shared" si="2"/>
        <v>9.8443474553217003E-3</v>
      </c>
      <c r="E93" s="87">
        <f>(2*Table!$AC$16*0.147)/A93</f>
        <v>8.6849318122174168E-2</v>
      </c>
      <c r="F93" s="87">
        <f t="shared" si="3"/>
        <v>0.17369863624434834</v>
      </c>
      <c r="G93" s="133">
        <f>IF((('Raw Data'!C93)/('Raw Data'!C$136)*100)&lt;0,0,('Raw Data'!C93)/('Raw Data'!C$136)*100)</f>
        <v>84.902385771524919</v>
      </c>
      <c r="H93" s="133">
        <f t="shared" si="4"/>
        <v>0.98443474553216959</v>
      </c>
      <c r="I93" s="49">
        <f t="shared" si="5"/>
        <v>3.978419817226686E-2</v>
      </c>
      <c r="J93" s="87">
        <f>'Raw Data'!F93/I93</f>
        <v>0.24744365621484588</v>
      </c>
      <c r="K93" s="127">
        <f t="shared" si="6"/>
        <v>12.069781141349196</v>
      </c>
      <c r="L93" s="133">
        <f>A93*Table!$AC$9/$AC$16</f>
        <v>236.9621367786601</v>
      </c>
      <c r="M93" s="133">
        <f>A93*Table!$AD$9/$AC$16</f>
        <v>81.244161181254896</v>
      </c>
      <c r="N93" s="133">
        <f>ABS(A93*Table!$AE$9/$AC$16)</f>
        <v>102.60761509268126</v>
      </c>
      <c r="O93" s="133">
        <f>($L93*(Table!$AC$10/Table!$AC$9)/(Table!$AC$12-Table!$AC$14))</f>
        <v>508.28429167451765</v>
      </c>
      <c r="P93" s="133">
        <f>$N93*(Table!$AE$10/Table!$AE$9)/(Table!$AC$12-Table!$AC$13)</f>
        <v>842.42705330608578</v>
      </c>
      <c r="Q93" s="133">
        <f>'Raw Data'!C93</f>
        <v>1.5203409310232383</v>
      </c>
      <c r="R93" s="133">
        <f>'Raw Data'!C93/'Raw Data'!I$23*100</f>
        <v>22.021671405175233</v>
      </c>
      <c r="S93" s="157">
        <f t="shared" si="7"/>
        <v>9.6109544701849237E-2</v>
      </c>
      <c r="T93" s="157">
        <f t="shared" si="8"/>
        <v>2.4800115781875576E-5</v>
      </c>
      <c r="U93" s="26">
        <f t="shared" si="9"/>
        <v>1.7509496409340936E-2</v>
      </c>
      <c r="V93" s="26">
        <f t="shared" si="10"/>
        <v>0.42692210997285418</v>
      </c>
      <c r="W93" s="26">
        <f t="shared" si="11"/>
        <v>9.0616932977148352E-5</v>
      </c>
      <c r="X93" s="138">
        <f t="shared" si="12"/>
        <v>14.770178364497138</v>
      </c>
      <c r="AS93" s="18"/>
      <c r="AT93" s="18"/>
    </row>
    <row r="94" spans="1:46" x14ac:dyDescent="0.2">
      <c r="A94" s="133">
        <f>'Raw Data'!A94</f>
        <v>1377.39111328125</v>
      </c>
      <c r="B94" s="84">
        <f>'Raw Data'!E94</f>
        <v>0.85871901650529092</v>
      </c>
      <c r="C94" s="84">
        <f t="shared" si="1"/>
        <v>0.14128098349470908</v>
      </c>
      <c r="D94" s="97">
        <f t="shared" si="2"/>
        <v>9.6951587900416802E-3</v>
      </c>
      <c r="E94" s="87">
        <f>(2*Table!$AC$16*0.147)/A94</f>
        <v>7.9302295543438192E-2</v>
      </c>
      <c r="F94" s="87">
        <f t="shared" si="3"/>
        <v>0.15860459108687638</v>
      </c>
      <c r="G94" s="133">
        <f>IF((('Raw Data'!C94)/('Raw Data'!C$136)*100)&lt;0,0,('Raw Data'!C94)/('Raw Data'!C$136)*100)</f>
        <v>85.871901650529097</v>
      </c>
      <c r="H94" s="133">
        <f t="shared" si="4"/>
        <v>0.96951587900417735</v>
      </c>
      <c r="I94" s="49">
        <f t="shared" si="5"/>
        <v>3.9480654119576464E-2</v>
      </c>
      <c r="J94" s="87">
        <f>'Raw Data'!F94/I94</f>
        <v>0.24556732927163788</v>
      </c>
      <c r="K94" s="127">
        <f t="shared" si="6"/>
        <v>13.21843529026054</v>
      </c>
      <c r="L94" s="133">
        <f>A94*Table!$AC$9/$AC$16</f>
        <v>259.51329477880256</v>
      </c>
      <c r="M94" s="133">
        <f>A94*Table!$AD$9/$AC$16</f>
        <v>88.975986781303732</v>
      </c>
      <c r="N94" s="133">
        <f>ABS(A94*Table!$AE$9/$AC$16)</f>
        <v>112.37255294912127</v>
      </c>
      <c r="O94" s="133">
        <f>($L94*(Table!$AC$10/Table!$AC$9)/(Table!$AC$12-Table!$AC$14))</f>
        <v>556.65657395710559</v>
      </c>
      <c r="P94" s="133">
        <f>$N94*(Table!$AE$10/Table!$AE$9)/(Table!$AC$12-Table!$AC$13)</f>
        <v>922.59895688933693</v>
      </c>
      <c r="Q94" s="133">
        <f>'Raw Data'!C94</f>
        <v>1.5377019823144655</v>
      </c>
      <c r="R94" s="133">
        <f>'Raw Data'!C94/'Raw Data'!I$23*100</f>
        <v>22.273140900590636</v>
      </c>
      <c r="S94" s="157">
        <f t="shared" si="7"/>
        <v>9.4653028182108953E-2</v>
      </c>
      <c r="T94" s="157">
        <f t="shared" si="8"/>
        <v>1.9762563889025309E-5</v>
      </c>
      <c r="U94" s="26">
        <f t="shared" si="9"/>
        <v>1.6170527518165188E-2</v>
      </c>
      <c r="V94" s="26">
        <f t="shared" si="10"/>
        <v>0.37318613259991179</v>
      </c>
      <c r="W94" s="26">
        <f t="shared" si="11"/>
        <v>7.4407385290191645E-5</v>
      </c>
      <c r="X94" s="138">
        <f t="shared" si="12"/>
        <v>14.770252771882427</v>
      </c>
      <c r="AS94" s="18"/>
      <c r="AT94" s="18"/>
    </row>
    <row r="95" spans="1:46" x14ac:dyDescent="0.2">
      <c r="A95" s="133">
        <f>'Raw Data'!A95</f>
        <v>1506.6187744140625</v>
      </c>
      <c r="B95" s="84">
        <f>'Raw Data'!E95</f>
        <v>0.86796552863436127</v>
      </c>
      <c r="C95" s="84">
        <f t="shared" si="1"/>
        <v>0.13203447136563873</v>
      </c>
      <c r="D95" s="97">
        <f t="shared" si="2"/>
        <v>9.24651212907035E-3</v>
      </c>
      <c r="E95" s="87">
        <f>(2*Table!$AC$16*0.147)/A95</f>
        <v>7.2500276114517204E-2</v>
      </c>
      <c r="F95" s="87">
        <f t="shared" si="3"/>
        <v>0.14500055222903441</v>
      </c>
      <c r="G95" s="133">
        <f>IF((('Raw Data'!C95)/('Raw Data'!C$136)*100)&lt;0,0,('Raw Data'!C95)/('Raw Data'!C$136)*100)</f>
        <v>86.796552863436133</v>
      </c>
      <c r="H95" s="133">
        <f t="shared" si="4"/>
        <v>0.92465121290703678</v>
      </c>
      <c r="I95" s="49">
        <f t="shared" si="5"/>
        <v>3.8946098343791036E-2</v>
      </c>
      <c r="J95" s="87">
        <f>'Raw Data'!F95/I95</f>
        <v>0.23741818878615528</v>
      </c>
      <c r="K95" s="127">
        <f t="shared" si="6"/>
        <v>14.458596824573418</v>
      </c>
      <c r="L95" s="133">
        <f>A95*Table!$AC$9/$AC$16</f>
        <v>283.86098788772927</v>
      </c>
      <c r="M95" s="133">
        <f>A95*Table!$AD$9/$AC$16</f>
        <v>97.323767275792889</v>
      </c>
      <c r="N95" s="133">
        <f>ABS(A95*Table!$AE$9/$AC$16)</f>
        <v>122.91541332706021</v>
      </c>
      <c r="O95" s="133">
        <f>($L95*(Table!$AC$10/Table!$AC$9)/(Table!$AC$12-Table!$AC$14))</f>
        <v>608.88242790160723</v>
      </c>
      <c r="P95" s="133">
        <f>$N95*(Table!$AE$10/Table!$AE$9)/(Table!$AC$12-Table!$AC$13)</f>
        <v>1009.1577448855514</v>
      </c>
      <c r="Q95" s="133">
        <f>'Raw Data'!C95</f>
        <v>1.5542596452485304</v>
      </c>
      <c r="R95" s="133">
        <f>'Raw Data'!C95/'Raw Data'!I$23*100</f>
        <v>22.512973562417496</v>
      </c>
      <c r="S95" s="157">
        <f t="shared" si="7"/>
        <v>9.0272928179172762E-2</v>
      </c>
      <c r="T95" s="157">
        <f t="shared" si="8"/>
        <v>1.5746964740603886E-5</v>
      </c>
      <c r="U95" s="26">
        <f t="shared" si="9"/>
        <v>1.4942714072558264E-2</v>
      </c>
      <c r="V95" s="26">
        <f t="shared" si="10"/>
        <v>0.32653757042839571</v>
      </c>
      <c r="W95" s="26">
        <f t="shared" si="11"/>
        <v>5.9312586621278298E-5</v>
      </c>
      <c r="X95" s="138">
        <f t="shared" si="12"/>
        <v>14.770312084469049</v>
      </c>
      <c r="Z95" s="89"/>
      <c r="AS95" s="18"/>
      <c r="AT95" s="18"/>
    </row>
    <row r="96" spans="1:46" x14ac:dyDescent="0.2">
      <c r="A96" s="133">
        <f>'Raw Data'!A96</f>
        <v>1648.274658203125</v>
      </c>
      <c r="B96" s="84">
        <f>'Raw Data'!E96</f>
        <v>0.87691571100891086</v>
      </c>
      <c r="C96" s="84">
        <f t="shared" si="1"/>
        <v>0.12308428899108914</v>
      </c>
      <c r="D96" s="97">
        <f t="shared" si="2"/>
        <v>8.9501823745495868E-3</v>
      </c>
      <c r="E96" s="87">
        <f>(2*Table!$AC$16*0.147)/A96</f>
        <v>6.6269463405700224E-2</v>
      </c>
      <c r="F96" s="87">
        <f t="shared" si="3"/>
        <v>0.13253892681140045</v>
      </c>
      <c r="G96" s="133">
        <f>IF((('Raw Data'!C96)/('Raw Data'!C$136)*100)&lt;0,0,('Raw Data'!C96)/('Raw Data'!C$136)*100)</f>
        <v>87.691571100891082</v>
      </c>
      <c r="H96" s="133">
        <f t="shared" si="4"/>
        <v>0.89501823745494846</v>
      </c>
      <c r="I96" s="49">
        <f t="shared" si="5"/>
        <v>3.9026206513597783E-2</v>
      </c>
      <c r="J96" s="87">
        <f>'Raw Data'!F96/I96</f>
        <v>0.22933774953071859</v>
      </c>
      <c r="K96" s="127">
        <f t="shared" si="6"/>
        <v>15.818028517790717</v>
      </c>
      <c r="L96" s="133">
        <f>A96*Table!$AC$9/$AC$16</f>
        <v>310.55027372124141</v>
      </c>
      <c r="M96" s="133">
        <f>A96*Table!$AD$9/$AC$16</f>
        <v>106.47437956156848</v>
      </c>
      <c r="N96" s="133">
        <f>ABS(A96*Table!$AE$9/$AC$16)</f>
        <v>134.47221309740303</v>
      </c>
      <c r="O96" s="133">
        <f>($L96*(Table!$AC$10/Table!$AC$9)/(Table!$AC$12-Table!$AC$14))</f>
        <v>666.13100326306619</v>
      </c>
      <c r="P96" s="133">
        <f>$N96*(Table!$AE$10/Table!$AE$9)/(Table!$AC$12-Table!$AC$13)</f>
        <v>1104.0411584351641</v>
      </c>
      <c r="Q96" s="133">
        <f>'Raw Data'!C96</f>
        <v>1.5702866726170761</v>
      </c>
      <c r="R96" s="133">
        <f>'Raw Data'!C96/'Raw Data'!I$23*100</f>
        <v>22.745120131065306</v>
      </c>
      <c r="S96" s="157">
        <f t="shared" si="7"/>
        <v>8.7379885454110739E-2</v>
      </c>
      <c r="T96" s="157">
        <f t="shared" si="8"/>
        <v>1.2499444387414904E-5</v>
      </c>
      <c r="U96" s="26">
        <f t="shared" si="9"/>
        <v>1.3799350744044694E-2</v>
      </c>
      <c r="V96" s="26">
        <f t="shared" si="10"/>
        <v>0.28541308422561457</v>
      </c>
      <c r="W96" s="26">
        <f t="shared" si="11"/>
        <v>4.796764446235357E-5</v>
      </c>
      <c r="X96" s="138">
        <f t="shared" si="12"/>
        <v>14.770360052113512</v>
      </c>
      <c r="Z96" s="124"/>
      <c r="AS96" s="18"/>
      <c r="AT96" s="18"/>
    </row>
    <row r="97" spans="1:46" x14ac:dyDescent="0.2">
      <c r="A97" s="133">
        <f>'Raw Data'!A97</f>
        <v>1809.197998046875</v>
      </c>
      <c r="B97" s="84">
        <f>'Raw Data'!E97</f>
        <v>0.88589871147719523</v>
      </c>
      <c r="C97" s="84">
        <f t="shared" si="1"/>
        <v>0.11410128852280477</v>
      </c>
      <c r="D97" s="97">
        <f t="shared" si="2"/>
        <v>8.9830004682843745E-3</v>
      </c>
      <c r="E97" s="87">
        <f>(2*Table!$AC$16*0.147)/A97</f>
        <v>6.0374971264756494E-2</v>
      </c>
      <c r="F97" s="87">
        <f t="shared" si="3"/>
        <v>0.12074994252951299</v>
      </c>
      <c r="G97" s="133">
        <f>IF((('Raw Data'!C97)/('Raw Data'!C$136)*100)&lt;0,0,('Raw Data'!C97)/('Raw Data'!C$136)*100)</f>
        <v>88.589871147719521</v>
      </c>
      <c r="H97" s="133">
        <f t="shared" si="4"/>
        <v>0.89830004682843878</v>
      </c>
      <c r="I97" s="49">
        <f t="shared" si="5"/>
        <v>4.045651699562991E-2</v>
      </c>
      <c r="J97" s="87">
        <f>'Raw Data'!F97/I97</f>
        <v>0.22204087586815033</v>
      </c>
      <c r="K97" s="127">
        <f t="shared" si="6"/>
        <v>17.362364570133803</v>
      </c>
      <c r="L97" s="133">
        <f>A97*Table!$AC$9/$AC$16</f>
        <v>340.86972745299579</v>
      </c>
      <c r="M97" s="133">
        <f>A97*Table!$AD$9/$AC$16</f>
        <v>116.86962084102713</v>
      </c>
      <c r="N97" s="133">
        <f>ABS(A97*Table!$AE$9/$AC$16)</f>
        <v>147.60092167768613</v>
      </c>
      <c r="O97" s="133">
        <f>($L97*(Table!$AC$10/Table!$AC$9)/(Table!$AC$12-Table!$AC$14))</f>
        <v>731.16629655297265</v>
      </c>
      <c r="P97" s="133">
        <f>$N97*(Table!$AE$10/Table!$AE$9)/(Table!$AC$12-Table!$AC$13)</f>
        <v>1211.8302272388021</v>
      </c>
      <c r="Q97" s="133">
        <f>'Raw Data'!C97</f>
        <v>1.5863724671106321</v>
      </c>
      <c r="R97" s="133">
        <f>'Raw Data'!C97/'Raw Data'!I$23*100</f>
        <v>22.978117923468261</v>
      </c>
      <c r="S97" s="157">
        <f t="shared" si="7"/>
        <v>8.7700285771262071E-2</v>
      </c>
      <c r="T97" s="157">
        <f t="shared" si="8"/>
        <v>9.7940637023841148E-6</v>
      </c>
      <c r="U97" s="26">
        <f t="shared" si="9"/>
        <v>1.2700720401124894E-2</v>
      </c>
      <c r="V97" s="26">
        <f t="shared" si="10"/>
        <v>0.24805423418028719</v>
      </c>
      <c r="W97" s="26">
        <f t="shared" si="11"/>
        <v>3.9959946273531797E-5</v>
      </c>
      <c r="X97" s="138">
        <f t="shared" si="12"/>
        <v>14.770400012059785</v>
      </c>
      <c r="Z97" s="84"/>
      <c r="AS97" s="18"/>
      <c r="AT97" s="18"/>
    </row>
    <row r="98" spans="1:46" x14ac:dyDescent="0.2">
      <c r="A98" s="133">
        <f>'Raw Data'!A98</f>
        <v>1978.277587890625</v>
      </c>
      <c r="B98" s="84">
        <f>'Raw Data'!E98</f>
        <v>0.89397975470033719</v>
      </c>
      <c r="C98" s="84">
        <f t="shared" si="1"/>
        <v>0.10602024529966281</v>
      </c>
      <c r="D98" s="97">
        <f t="shared" si="2"/>
        <v>8.0810432231419593E-3</v>
      </c>
      <c r="E98" s="87">
        <f>(2*Table!$AC$16*0.147)/A98</f>
        <v>5.5214838308310338E-2</v>
      </c>
      <c r="F98" s="87">
        <f t="shared" si="3"/>
        <v>0.11042967661662068</v>
      </c>
      <c r="G98" s="133">
        <f>IF((('Raw Data'!C98)/('Raw Data'!C$136)*100)&lt;0,0,('Raw Data'!C98)/('Raw Data'!C$136)*100)</f>
        <v>89.397975470033714</v>
      </c>
      <c r="H98" s="133">
        <f t="shared" si="4"/>
        <v>0.80810432231419327</v>
      </c>
      <c r="I98" s="49">
        <f t="shared" si="5"/>
        <v>3.8801132346903966E-2</v>
      </c>
      <c r="J98" s="87">
        <f>'Raw Data'!F98/I98</f>
        <v>0.20826823173336498</v>
      </c>
      <c r="K98" s="127">
        <f t="shared" si="6"/>
        <v>18.984973860772552</v>
      </c>
      <c r="L98" s="133">
        <f>A98*Table!$AC$9/$AC$16</f>
        <v>372.72589453372575</v>
      </c>
      <c r="M98" s="133">
        <f>A98*Table!$AD$9/$AC$16</f>
        <v>127.79173526870596</v>
      </c>
      <c r="N98" s="133">
        <f>ABS(A98*Table!$AE$9/$AC$16)</f>
        <v>161.39504665724297</v>
      </c>
      <c r="O98" s="133">
        <f>($L98*(Table!$AC$10/Table!$AC$9)/(Table!$AC$12-Table!$AC$14))</f>
        <v>799.49784327268515</v>
      </c>
      <c r="P98" s="133">
        <f>$N98*(Table!$AE$10/Table!$AE$9)/(Table!$AC$12-Table!$AC$13)</f>
        <v>1325.0824848706316</v>
      </c>
      <c r="Q98" s="133">
        <f>'Raw Data'!C98</f>
        <v>1.6008431332360489</v>
      </c>
      <c r="R98" s="133">
        <f>'Raw Data'!C98/'Raw Data'!I$23*100</f>
        <v>23.187721077553874</v>
      </c>
      <c r="S98" s="157">
        <f t="shared" si="7"/>
        <v>7.8894552271444346E-2</v>
      </c>
      <c r="T98" s="157">
        <f t="shared" si="8"/>
        <v>7.7585589168815972E-6</v>
      </c>
      <c r="U98" s="26">
        <f t="shared" si="9"/>
        <v>1.1721166543810573E-2</v>
      </c>
      <c r="V98" s="26">
        <f t="shared" si="10"/>
        <v>0.21657213640362852</v>
      </c>
      <c r="W98" s="26">
        <f t="shared" si="11"/>
        <v>3.0065514371808023E-5</v>
      </c>
      <c r="X98" s="138">
        <f t="shared" si="12"/>
        <v>14.770430077574156</v>
      </c>
      <c r="Z98" s="84"/>
      <c r="AS98" s="18"/>
      <c r="AT98" s="18"/>
    </row>
    <row r="99" spans="1:46" x14ac:dyDescent="0.2">
      <c r="A99" s="133">
        <f>'Raw Data'!A99</f>
        <v>2158.394775390625</v>
      </c>
      <c r="B99" s="84">
        <f>'Raw Data'!E99</f>
        <v>0.90166828897224149</v>
      </c>
      <c r="C99" s="84">
        <f t="shared" si="1"/>
        <v>9.8331711027758506E-2</v>
      </c>
      <c r="D99" s="97">
        <f t="shared" si="2"/>
        <v>7.6885342719043015E-3</v>
      </c>
      <c r="E99" s="87">
        <f>(2*Table!$AC$16*0.147)/A99</f>
        <v>5.0607181962144351E-2</v>
      </c>
      <c r="F99" s="87">
        <f t="shared" si="3"/>
        <v>0.1012143639242887</v>
      </c>
      <c r="G99" s="133">
        <f>IF((('Raw Data'!C99)/('Raw Data'!C$136)*100)&lt;0,0,('Raw Data'!C99)/('Raw Data'!C$136)*100)</f>
        <v>90.16682889722415</v>
      </c>
      <c r="H99" s="133">
        <f t="shared" si="4"/>
        <v>0.76885342719043592</v>
      </c>
      <c r="I99" s="49">
        <f t="shared" si="5"/>
        <v>3.7843650220009906E-2</v>
      </c>
      <c r="J99" s="87">
        <f>'Raw Data'!F99/I99</f>
        <v>0.2031657682915316</v>
      </c>
      <c r="K99" s="127">
        <f t="shared" si="6"/>
        <v>20.71350787313504</v>
      </c>
      <c r="L99" s="133">
        <f>A99*Table!$AC$9/$AC$16</f>
        <v>406.66164765693611</v>
      </c>
      <c r="M99" s="133">
        <f>A99*Table!$AD$9/$AC$16</f>
        <v>139.42685062523523</v>
      </c>
      <c r="N99" s="133">
        <f>ABS(A99*Table!$AE$9/$AC$16)</f>
        <v>176.08965880787161</v>
      </c>
      <c r="O99" s="133">
        <f>($L99*(Table!$AC$10/Table!$AC$9)/(Table!$AC$12-Table!$AC$14))</f>
        <v>872.29010651423459</v>
      </c>
      <c r="P99" s="133">
        <f>$N99*(Table!$AE$10/Table!$AE$9)/(Table!$AC$12-Table!$AC$13)</f>
        <v>1445.7279048265318</v>
      </c>
      <c r="Q99" s="133">
        <f>'Raw Data'!C99</f>
        <v>1.6146109363983852</v>
      </c>
      <c r="R99" s="133">
        <f>'Raw Data'!C99/'Raw Data'!I$23*100</f>
        <v>23.387143477507315</v>
      </c>
      <c r="S99" s="157">
        <f t="shared" si="7"/>
        <v>7.5062520055387327E-2</v>
      </c>
      <c r="T99" s="157">
        <f t="shared" si="8"/>
        <v>6.1316585683313107E-6</v>
      </c>
      <c r="U99" s="26">
        <f t="shared" si="9"/>
        <v>1.083543369552251E-2</v>
      </c>
      <c r="V99" s="26">
        <f t="shared" si="10"/>
        <v>0.18962604502186442</v>
      </c>
      <c r="W99" s="26">
        <f t="shared" si="11"/>
        <v>2.403020428174282E-5</v>
      </c>
      <c r="X99" s="138">
        <f t="shared" si="12"/>
        <v>14.770454107778438</v>
      </c>
      <c r="Z99" s="84"/>
      <c r="AS99" s="18"/>
      <c r="AT99" s="18"/>
    </row>
    <row r="100" spans="1:46" x14ac:dyDescent="0.2">
      <c r="A100" s="133">
        <f>'Raw Data'!A100</f>
        <v>2368.03857421875</v>
      </c>
      <c r="B100" s="84">
        <f>'Raw Data'!E100</f>
        <v>0.90948411422123165</v>
      </c>
      <c r="C100" s="84">
        <f t="shared" si="1"/>
        <v>9.0515885778768346E-2</v>
      </c>
      <c r="D100" s="97">
        <f t="shared" si="2"/>
        <v>7.8158252489901603E-3</v>
      </c>
      <c r="E100" s="87">
        <f>(2*Table!$AC$16*0.147)/A100</f>
        <v>4.6126899423659808E-2</v>
      </c>
      <c r="F100" s="87">
        <f t="shared" si="3"/>
        <v>9.2253798847319615E-2</v>
      </c>
      <c r="G100" s="133">
        <f>IF((('Raw Data'!C100)/('Raw Data'!C$136)*100)&lt;0,0,('Raw Data'!C100)/('Raw Data'!C$136)*100)</f>
        <v>90.948411422123172</v>
      </c>
      <c r="H100" s="133">
        <f t="shared" si="4"/>
        <v>0.78158252489902225</v>
      </c>
      <c r="I100" s="49">
        <f t="shared" si="5"/>
        <v>4.0257891482358144E-2</v>
      </c>
      <c r="J100" s="87">
        <f>'Raw Data'!F100/I100</f>
        <v>0.19414392957999849</v>
      </c>
      <c r="K100" s="127">
        <f t="shared" si="6"/>
        <v>22.72540047364155</v>
      </c>
      <c r="L100" s="133">
        <f>A100*Table!$AC$9/$AC$16</f>
        <v>446.1604889368291</v>
      </c>
      <c r="M100" s="133">
        <f>A100*Table!$AD$9/$AC$16</f>
        <v>152.9693104926271</v>
      </c>
      <c r="N100" s="133">
        <f>ABS(A100*Table!$AE$9/$AC$16)</f>
        <v>193.19315879209</v>
      </c>
      <c r="O100" s="133">
        <f>($L100*(Table!$AC$10/Table!$AC$9)/(Table!$AC$12-Table!$AC$14))</f>
        <v>957.01520578470434</v>
      </c>
      <c r="P100" s="133">
        <f>$N100*(Table!$AE$10/Table!$AE$9)/(Table!$AC$12-Table!$AC$13)</f>
        <v>1586.1507289990966</v>
      </c>
      <c r="Q100" s="133">
        <f>'Raw Data'!C100</f>
        <v>1.6286066786001903</v>
      </c>
      <c r="R100" s="133">
        <f>'Raw Data'!C100/'Raw Data'!I$23*100</f>
        <v>23.589867504434789</v>
      </c>
      <c r="S100" s="157">
        <f t="shared" si="7"/>
        <v>7.6305251268187213E-2</v>
      </c>
      <c r="T100" s="157">
        <f t="shared" si="8"/>
        <v>4.7576910833235786E-6</v>
      </c>
      <c r="U100" s="26">
        <f t="shared" si="9"/>
        <v>9.9617750155178222E-3</v>
      </c>
      <c r="V100" s="26">
        <f t="shared" si="10"/>
        <v>0.16449787972276078</v>
      </c>
      <c r="W100" s="26">
        <f t="shared" si="11"/>
        <v>2.0294248120484969E-5</v>
      </c>
      <c r="X100" s="138">
        <f t="shared" si="12"/>
        <v>14.770474402026558</v>
      </c>
      <c r="Z100" s="84"/>
      <c r="AS100" s="18"/>
      <c r="AT100" s="18"/>
    </row>
    <row r="101" spans="1:46" x14ac:dyDescent="0.2">
      <c r="A101" s="133">
        <f>'Raw Data'!A101</f>
        <v>2588.29150390625</v>
      </c>
      <c r="B101" s="84">
        <f>'Raw Data'!E101</f>
        <v>0.91623446052752722</v>
      </c>
      <c r="C101" s="84">
        <f t="shared" si="1"/>
        <v>8.3765539472472783E-2</v>
      </c>
      <c r="D101" s="97">
        <f t="shared" si="2"/>
        <v>6.7503463062955626E-3</v>
      </c>
      <c r="E101" s="87">
        <f>(2*Table!$AC$16*0.147)/A101</f>
        <v>4.2201690566725077E-2</v>
      </c>
      <c r="F101" s="87">
        <f t="shared" si="3"/>
        <v>8.4403381133450153E-2</v>
      </c>
      <c r="G101" s="133">
        <f>IF((('Raw Data'!C101)/('Raw Data'!C$136)*100)&lt;0,0,('Raw Data'!C101)/('Raw Data'!C$136)*100)</f>
        <v>91.623446052752726</v>
      </c>
      <c r="H101" s="133">
        <f t="shared" si="4"/>
        <v>0.67503463062955404</v>
      </c>
      <c r="I101" s="49">
        <f t="shared" si="5"/>
        <v>3.8624414201996027E-2</v>
      </c>
      <c r="J101" s="87">
        <f>'Raw Data'!F101/I101</f>
        <v>0.17476889800821158</v>
      </c>
      <c r="K101" s="127">
        <f t="shared" si="6"/>
        <v>24.839105920476413</v>
      </c>
      <c r="L101" s="133">
        <f>A101*Table!$AC$9/$AC$16</f>
        <v>487.65818913014795</v>
      </c>
      <c r="M101" s="133">
        <f>A101*Table!$AD$9/$AC$16</f>
        <v>167.19709341605073</v>
      </c>
      <c r="N101" s="133">
        <f>ABS(A101*Table!$AE$9/$AC$16)</f>
        <v>211.16219007511231</v>
      </c>
      <c r="O101" s="133">
        <f>($L101*(Table!$AC$10/Table!$AC$9)/(Table!$AC$12-Table!$AC$14))</f>
        <v>1046.0278617120291</v>
      </c>
      <c r="P101" s="133">
        <f>$N101*(Table!$AE$10/Table!$AE$9)/(Table!$AC$12-Table!$AC$13)</f>
        <v>1733.6797214705441</v>
      </c>
      <c r="Q101" s="133">
        <f>'Raw Data'!C101</f>
        <v>1.6406944753031714</v>
      </c>
      <c r="R101" s="133">
        <f>'Raw Data'!C101/'Raw Data'!I$23*100</f>
        <v>23.76495552684727</v>
      </c>
      <c r="S101" s="157">
        <f t="shared" si="7"/>
        <v>6.5903069047726456E-2</v>
      </c>
      <c r="T101" s="157">
        <f t="shared" si="8"/>
        <v>3.7643947327081762E-6</v>
      </c>
      <c r="U101" s="26">
        <f t="shared" si="9"/>
        <v>9.1817152322221807E-3</v>
      </c>
      <c r="V101" s="26">
        <f t="shared" si="10"/>
        <v>0.14331019068262935</v>
      </c>
      <c r="W101" s="26">
        <f t="shared" si="11"/>
        <v>1.4671528121713861E-5</v>
      </c>
      <c r="X101" s="138">
        <f t="shared" si="12"/>
        <v>14.77048907355468</v>
      </c>
      <c r="Z101" s="84"/>
      <c r="AS101" s="18"/>
      <c r="AT101" s="18"/>
    </row>
    <row r="102" spans="1:46" x14ac:dyDescent="0.2">
      <c r="A102" s="133">
        <f>'Raw Data'!A102</f>
        <v>2829.26611328125</v>
      </c>
      <c r="B102" s="84">
        <f>'Raw Data'!E102</f>
        <v>0.92250231829109708</v>
      </c>
      <c r="C102" s="84">
        <f t="shared" si="1"/>
        <v>7.7497681708902921E-2</v>
      </c>
      <c r="D102" s="97">
        <f t="shared" si="2"/>
        <v>6.2678577635698618E-3</v>
      </c>
      <c r="E102" s="87">
        <f>(2*Table!$AC$16*0.147)/A102</f>
        <v>3.8607282868013751E-2</v>
      </c>
      <c r="F102" s="87">
        <f t="shared" si="3"/>
        <v>7.7214565736027502E-2</v>
      </c>
      <c r="G102" s="133">
        <f>IF((('Raw Data'!C102)/('Raw Data'!C$136)*100)&lt;0,0,('Raw Data'!C102)/('Raw Data'!C$136)*100)</f>
        <v>92.250231829109708</v>
      </c>
      <c r="H102" s="133">
        <f t="shared" si="4"/>
        <v>0.62678577635698218</v>
      </c>
      <c r="I102" s="49">
        <f t="shared" si="5"/>
        <v>3.8660611207073536E-2</v>
      </c>
      <c r="J102" s="87">
        <f>'Raw Data'!F102/I102</f>
        <v>0.1621251596359414</v>
      </c>
      <c r="K102" s="127">
        <f t="shared" si="6"/>
        <v>27.151671501817464</v>
      </c>
      <c r="L102" s="133">
        <f>A102*Table!$AC$9/$AC$16</f>
        <v>533.06004647767099</v>
      </c>
      <c r="M102" s="133">
        <f>A102*Table!$AD$9/$AC$16</f>
        <v>182.76344450663004</v>
      </c>
      <c r="N102" s="133">
        <f>ABS(A102*Table!$AE$9/$AC$16)</f>
        <v>230.8217709960883</v>
      </c>
      <c r="O102" s="133">
        <f>($L102*(Table!$AC$10/Table!$AC$9)/(Table!$AC$12-Table!$AC$14))</f>
        <v>1143.4149431095475</v>
      </c>
      <c r="P102" s="133">
        <f>$N102*(Table!$AE$10/Table!$AE$9)/(Table!$AC$12-Table!$AC$13)</f>
        <v>1895.0884318233846</v>
      </c>
      <c r="Q102" s="133">
        <f>'Raw Data'!C102</f>
        <v>1.6519182832341177</v>
      </c>
      <c r="R102" s="133">
        <f>'Raw Data'!C102/'Raw Data'!I$23*100</f>
        <v>23.927528937275515</v>
      </c>
      <c r="S102" s="157">
        <f t="shared" si="7"/>
        <v>6.1192573570430196E-2</v>
      </c>
      <c r="T102" s="157">
        <f t="shared" si="8"/>
        <v>2.9925131187491516E-6</v>
      </c>
      <c r="U102" s="26">
        <f t="shared" si="9"/>
        <v>8.457150363111475E-3</v>
      </c>
      <c r="V102" s="26">
        <f t="shared" si="10"/>
        <v>0.12471215042756809</v>
      </c>
      <c r="W102" s="26">
        <f t="shared" si="11"/>
        <v>1.1401111864597304E-5</v>
      </c>
      <c r="X102" s="138">
        <f t="shared" si="12"/>
        <v>14.770500474666544</v>
      </c>
      <c r="Z102" s="84"/>
      <c r="AS102" s="18"/>
      <c r="AT102" s="18"/>
    </row>
    <row r="103" spans="1:46" x14ac:dyDescent="0.2">
      <c r="A103" s="133">
        <f>'Raw Data'!A103</f>
        <v>3098.591552734375</v>
      </c>
      <c r="B103" s="84">
        <f>'Raw Data'!E103</f>
        <v>0.92875140660764355</v>
      </c>
      <c r="C103" s="84">
        <f t="shared" si="1"/>
        <v>7.1248593392356452E-2</v>
      </c>
      <c r="D103" s="97">
        <f t="shared" si="2"/>
        <v>6.2490883165464695E-3</v>
      </c>
      <c r="E103" s="87">
        <f>(2*Table!$AC$16*0.147)/A103</f>
        <v>3.5251589402915652E-2</v>
      </c>
      <c r="F103" s="87">
        <f t="shared" si="3"/>
        <v>7.0503178805831304E-2</v>
      </c>
      <c r="G103" s="133">
        <f>IF((('Raw Data'!C103)/('Raw Data'!C$136)*100)&lt;0,0,('Raw Data'!C103)/('Raw Data'!C$136)*100)</f>
        <v>92.875140660764359</v>
      </c>
      <c r="H103" s="133">
        <f t="shared" si="4"/>
        <v>0.6249088316546505</v>
      </c>
      <c r="I103" s="49">
        <f t="shared" si="5"/>
        <v>3.9490534617569573E-2</v>
      </c>
      <c r="J103" s="87">
        <f>'Raw Data'!F103/I103</f>
        <v>0.15824268719234338</v>
      </c>
      <c r="K103" s="127">
        <f t="shared" si="6"/>
        <v>29.736312029191904</v>
      </c>
      <c r="L103" s="133">
        <f>A103*Table!$AC$9/$AC$16</f>
        <v>583.80346386020915</v>
      </c>
      <c r="M103" s="133">
        <f>A103*Table!$AD$9/$AC$16</f>
        <v>200.16118760921455</v>
      </c>
      <c r="N103" s="133">
        <f>ABS(A103*Table!$AE$9/$AC$16)</f>
        <v>252.79431526014579</v>
      </c>
      <c r="O103" s="133">
        <f>($L103*(Table!$AC$10/Table!$AC$9)/(Table!$AC$12-Table!$AC$14))</f>
        <v>1252.2596822398309</v>
      </c>
      <c r="P103" s="133">
        <f>$N103*(Table!$AE$10/Table!$AE$9)/(Table!$AC$12-Table!$AC$13)</f>
        <v>2075.4869889995543</v>
      </c>
      <c r="Q103" s="133">
        <f>'Raw Data'!C103</f>
        <v>1.6631084808509331</v>
      </c>
      <c r="R103" s="133">
        <f>'Raw Data'!C103/'Raw Data'!I$23*100</f>
        <v>24.089615512627159</v>
      </c>
      <c r="S103" s="157">
        <f t="shared" si="7"/>
        <v>6.1009329021625841E-2</v>
      </c>
      <c r="T103" s="157">
        <f t="shared" si="8"/>
        <v>2.3509089794870874E-6</v>
      </c>
      <c r="U103" s="26">
        <f t="shared" si="9"/>
        <v>7.7743759068113058E-3</v>
      </c>
      <c r="V103" s="26">
        <f t="shared" si="10"/>
        <v>0.1081653890664304</v>
      </c>
      <c r="W103" s="26">
        <f t="shared" si="11"/>
        <v>9.4768426023923209E-6</v>
      </c>
      <c r="X103" s="138">
        <f t="shared" si="12"/>
        <v>14.770509951509148</v>
      </c>
      <c r="Z103" s="84"/>
      <c r="AS103" s="18"/>
      <c r="AT103" s="18"/>
    </row>
    <row r="104" spans="1:46" x14ac:dyDescent="0.2">
      <c r="A104" s="133">
        <f>'Raw Data'!A104</f>
        <v>3388.222412109375</v>
      </c>
      <c r="B104" s="84">
        <f>'Raw Data'!E104</f>
        <v>0.93464558174411139</v>
      </c>
      <c r="C104" s="84">
        <f t="shared" si="1"/>
        <v>6.5354418255888613E-2</v>
      </c>
      <c r="D104" s="97">
        <f t="shared" si="2"/>
        <v>5.8941751364678385E-3</v>
      </c>
      <c r="E104" s="87">
        <f>(2*Table!$AC$16*0.147)/A104</f>
        <v>3.2238225198543725E-2</v>
      </c>
      <c r="F104" s="87">
        <f t="shared" si="3"/>
        <v>6.4476450397087451E-2</v>
      </c>
      <c r="G104" s="133">
        <f>IF((('Raw Data'!C104)/('Raw Data'!C$136)*100)&lt;0,0,('Raw Data'!C104)/('Raw Data'!C$136)*100)</f>
        <v>93.464558174411138</v>
      </c>
      <c r="H104" s="133">
        <f t="shared" si="4"/>
        <v>0.58941751364677941</v>
      </c>
      <c r="I104" s="49">
        <f t="shared" si="5"/>
        <v>3.8807578277085808E-2</v>
      </c>
      <c r="J104" s="87">
        <f>'Raw Data'!F104/I104</f>
        <v>0.15188206526012712</v>
      </c>
      <c r="K104" s="127">
        <f t="shared" si="6"/>
        <v>32.515817963124306</v>
      </c>
      <c r="L104" s="133">
        <f>A104*Table!$AC$9/$AC$16</f>
        <v>638.37261118610354</v>
      </c>
      <c r="M104" s="133">
        <f>A104*Table!$AD$9/$AC$16</f>
        <v>218.87060954952122</v>
      </c>
      <c r="N104" s="133">
        <f>ABS(A104*Table!$AE$9/$AC$16)</f>
        <v>276.42344918368588</v>
      </c>
      <c r="O104" s="133">
        <f>($L104*(Table!$AC$10/Table!$AC$9)/(Table!$AC$12-Table!$AC$14))</f>
        <v>1369.3106203048126</v>
      </c>
      <c r="P104" s="133">
        <f>$N104*(Table!$AE$10/Table!$AE$9)/(Table!$AC$12-Table!$AC$13)</f>
        <v>2269.4864464998832</v>
      </c>
      <c r="Q104" s="133">
        <f>'Raw Data'!C104</f>
        <v>1.6736631379823668</v>
      </c>
      <c r="R104" s="133">
        <f>'Raw Data'!C104/'Raw Data'!I$23*100</f>
        <v>24.242496479257643</v>
      </c>
      <c r="S104" s="157">
        <f t="shared" si="7"/>
        <v>5.7544341189689555E-2</v>
      </c>
      <c r="T104" s="157">
        <f t="shared" si="8"/>
        <v>1.8447832983436996E-6</v>
      </c>
      <c r="U104" s="26">
        <f t="shared" si="9"/>
        <v>7.1549306776957453E-3</v>
      </c>
      <c r="V104" s="26">
        <f t="shared" si="10"/>
        <v>9.3996282622674551E-2</v>
      </c>
      <c r="W104" s="26">
        <f t="shared" si="11"/>
        <v>7.4757519832473595E-6</v>
      </c>
      <c r="X104" s="138">
        <f t="shared" si="12"/>
        <v>14.770517427261131</v>
      </c>
      <c r="Z104" s="84"/>
      <c r="AS104" s="18"/>
      <c r="AT104" s="18"/>
    </row>
    <row r="105" spans="1:46" x14ac:dyDescent="0.2">
      <c r="A105" s="133">
        <f>'Raw Data'!A105</f>
        <v>3707.71044921875</v>
      </c>
      <c r="B105" s="84">
        <f>'Raw Data'!E105</f>
        <v>0.94023199482650766</v>
      </c>
      <c r="C105" s="84">
        <f t="shared" si="1"/>
        <v>5.9768005173492345E-2</v>
      </c>
      <c r="D105" s="97">
        <f t="shared" si="2"/>
        <v>5.5864130823962688E-3</v>
      </c>
      <c r="E105" s="87">
        <f>(2*Table!$AC$16*0.147)/A105</f>
        <v>2.9460304044872467E-2</v>
      </c>
      <c r="F105" s="87">
        <f t="shared" si="3"/>
        <v>5.8920608089744933E-2</v>
      </c>
      <c r="G105" s="133">
        <f>IF((('Raw Data'!C105)/('Raw Data'!C$136)*100)&lt;0,0,('Raw Data'!C105)/('Raw Data'!C$136)*100)</f>
        <v>94.023199482650767</v>
      </c>
      <c r="H105" s="133">
        <f t="shared" si="4"/>
        <v>0.5586413082396291</v>
      </c>
      <c r="I105" s="49">
        <f t="shared" si="5"/>
        <v>3.913390004271311E-2</v>
      </c>
      <c r="J105" s="87">
        <f>'Raw Data'!F105/I105</f>
        <v>0.14275124831153857</v>
      </c>
      <c r="K105" s="127">
        <f t="shared" si="6"/>
        <v>35.581854838069866</v>
      </c>
      <c r="L105" s="133">
        <f>A105*Table!$AC$9/$AC$16</f>
        <v>698.56712845371749</v>
      </c>
      <c r="M105" s="133">
        <f>A105*Table!$AD$9/$AC$16</f>
        <v>239.5087297555603</v>
      </c>
      <c r="N105" s="133">
        <f>ABS(A105*Table!$AE$9/$AC$16)</f>
        <v>302.48843974483333</v>
      </c>
      <c r="O105" s="133">
        <f>($L105*(Table!$AC$10/Table!$AC$9)/(Table!$AC$12-Table!$AC$14))</f>
        <v>1498.4279889612133</v>
      </c>
      <c r="P105" s="133">
        <f>$N105*(Table!$AE$10/Table!$AE$9)/(Table!$AC$12-Table!$AC$13)</f>
        <v>2483.4847269690745</v>
      </c>
      <c r="Q105" s="133">
        <f>'Raw Data'!C105</f>
        <v>1.6836666878114921</v>
      </c>
      <c r="R105" s="133">
        <f>'Raw Data'!C105/'Raw Data'!I$23*100</f>
        <v>24.38739482588969</v>
      </c>
      <c r="S105" s="157">
        <f t="shared" si="7"/>
        <v>5.453968587580843E-2</v>
      </c>
      <c r="T105" s="157">
        <f t="shared" si="8"/>
        <v>1.444192855415416E-6</v>
      </c>
      <c r="U105" s="26">
        <f t="shared" si="9"/>
        <v>6.5774809440765115E-3</v>
      </c>
      <c r="V105" s="26">
        <f t="shared" si="10"/>
        <v>8.1528917651666977E-2</v>
      </c>
      <c r="W105" s="26">
        <f t="shared" si="11"/>
        <v>5.9169390356115013E-6</v>
      </c>
      <c r="X105" s="138">
        <f t="shared" si="12"/>
        <v>14.770523344200166</v>
      </c>
      <c r="Z105" s="84"/>
      <c r="AS105" s="18"/>
      <c r="AT105" s="18"/>
    </row>
    <row r="106" spans="1:46" x14ac:dyDescent="0.2">
      <c r="A106" s="133">
        <f>'Raw Data'!A106</f>
        <v>4059.138671875</v>
      </c>
      <c r="B106" s="84">
        <f>'Raw Data'!E106</f>
        <v>0.94530264625554583</v>
      </c>
      <c r="C106" s="84">
        <f t="shared" si="1"/>
        <v>5.4697353744454169E-2</v>
      </c>
      <c r="D106" s="97">
        <f t="shared" si="2"/>
        <v>5.0706514290381755E-3</v>
      </c>
      <c r="E106" s="87">
        <f>(2*Table!$AC$16*0.147)/A106</f>
        <v>2.6909718039733618E-2</v>
      </c>
      <c r="F106" s="87">
        <f t="shared" si="3"/>
        <v>5.3819436079467237E-2</v>
      </c>
      <c r="G106" s="133">
        <f>IF((('Raw Data'!C106)/('Raw Data'!C$136)*100)&lt;0,0,('Raw Data'!C106)/('Raw Data'!C$136)*100)</f>
        <v>94.53026462555458</v>
      </c>
      <c r="H106" s="133">
        <f t="shared" si="4"/>
        <v>0.50706514290381222</v>
      </c>
      <c r="I106" s="49">
        <f t="shared" si="5"/>
        <v>3.9328077416933116E-2</v>
      </c>
      <c r="J106" s="87">
        <f>'Raw Data'!F106/I106</f>
        <v>0.12893209539032674</v>
      </c>
      <c r="K106" s="127">
        <f t="shared" si="6"/>
        <v>38.954412694412291</v>
      </c>
      <c r="L106" s="133">
        <f>A106*Table!$AC$9/$AC$16</f>
        <v>764.779473705839</v>
      </c>
      <c r="M106" s="133">
        <f>A106*Table!$AD$9/$AC$16</f>
        <v>262.21010527057337</v>
      </c>
      <c r="N106" s="133">
        <f>ABS(A106*Table!$AE$9/$AC$16)</f>
        <v>331.15922626107488</v>
      </c>
      <c r="O106" s="133">
        <f>($L106*(Table!$AC$10/Table!$AC$9)/(Table!$AC$12-Table!$AC$14))</f>
        <v>1640.4536115526364</v>
      </c>
      <c r="P106" s="133">
        <f>$N106*(Table!$AE$10/Table!$AE$9)/(Table!$AC$12-Table!$AC$13)</f>
        <v>2718.8770628988077</v>
      </c>
      <c r="Q106" s="133">
        <f>'Raw Data'!C106</f>
        <v>1.6927466669480782</v>
      </c>
      <c r="R106" s="133">
        <f>'Raw Data'!C106/'Raw Data'!I$23*100</f>
        <v>24.518915534719891</v>
      </c>
      <c r="S106" s="157">
        <f t="shared" si="7"/>
        <v>4.9504347789267933E-2</v>
      </c>
      <c r="T106" s="157">
        <f t="shared" si="8"/>
        <v>1.1408211030294879E-6</v>
      </c>
      <c r="U106" s="26">
        <f t="shared" si="9"/>
        <v>6.040423231806983E-3</v>
      </c>
      <c r="V106" s="26">
        <f t="shared" si="10"/>
        <v>7.0592378827655691E-2</v>
      </c>
      <c r="W106" s="26">
        <f t="shared" si="11"/>
        <v>4.4809660204711298E-6</v>
      </c>
      <c r="X106" s="138">
        <f t="shared" si="12"/>
        <v>14.770527825166187</v>
      </c>
      <c r="Z106" s="84"/>
      <c r="AS106" s="18"/>
      <c r="AT106" s="18"/>
    </row>
    <row r="107" spans="1:46" x14ac:dyDescent="0.2">
      <c r="A107" s="133">
        <f>'Raw Data'!A107</f>
        <v>4436.59912109375</v>
      </c>
      <c r="B107" s="84">
        <f>'Raw Data'!E107</f>
        <v>0.95072297817034124</v>
      </c>
      <c r="C107" s="84">
        <f t="shared" si="1"/>
        <v>4.9277021829658763E-2</v>
      </c>
      <c r="D107" s="97">
        <f t="shared" si="2"/>
        <v>5.4203319147954065E-3</v>
      </c>
      <c r="E107" s="87">
        <f>(2*Table!$AC$16*0.147)/A107</f>
        <v>2.4620272006321504E-2</v>
      </c>
      <c r="F107" s="87">
        <f t="shared" si="3"/>
        <v>4.9240544012643009E-2</v>
      </c>
      <c r="G107" s="133">
        <f>IF((('Raw Data'!C107)/('Raw Data'!C$136)*100)&lt;0,0,('Raw Data'!C107)/('Raw Data'!C$136)*100)</f>
        <v>95.072297817034126</v>
      </c>
      <c r="H107" s="133">
        <f t="shared" si="4"/>
        <v>0.54203319147954687</v>
      </c>
      <c r="I107" s="49">
        <f t="shared" si="5"/>
        <v>3.8616300511434831E-2</v>
      </c>
      <c r="J107" s="87">
        <f>'Raw Data'!F107/I107</f>
        <v>0.14036383193129465</v>
      </c>
      <c r="K107" s="127">
        <f t="shared" si="6"/>
        <v>42.576794510674183</v>
      </c>
      <c r="L107" s="133">
        <f>A107*Table!$AC$9/$AC$16</f>
        <v>835.89653252879873</v>
      </c>
      <c r="M107" s="133">
        <f>A107*Table!$AD$9/$AC$16</f>
        <v>286.5930968670167</v>
      </c>
      <c r="N107" s="133">
        <f>ABS(A107*Table!$AE$9/$AC$16)</f>
        <v>361.95381605263259</v>
      </c>
      <c r="O107" s="133">
        <f>($L107*(Table!$AC$10/Table!$AC$9)/(Table!$AC$12-Table!$AC$14))</f>
        <v>1792.999855274129</v>
      </c>
      <c r="P107" s="133">
        <f>$N107*(Table!$AE$10/Table!$AE$9)/(Table!$AC$12-Table!$AC$13)</f>
        <v>2971.7062073286743</v>
      </c>
      <c r="Q107" s="133">
        <f>'Raw Data'!C107</f>
        <v>1.7024528164218646</v>
      </c>
      <c r="R107" s="133">
        <f>'Raw Data'!C107/'Raw Data'!I$23*100</f>
        <v>24.659506128552934</v>
      </c>
      <c r="S107" s="157">
        <f t="shared" si="7"/>
        <v>5.2918249262146284E-2</v>
      </c>
      <c r="T107" s="157">
        <f t="shared" si="8"/>
        <v>8.6936184140462558E-7</v>
      </c>
      <c r="U107" s="26">
        <f t="shared" si="9"/>
        <v>5.5582002014357458E-3</v>
      </c>
      <c r="V107" s="26">
        <f t="shared" si="10"/>
        <v>6.1327689567836366E-2</v>
      </c>
      <c r="W107" s="26">
        <f t="shared" si="11"/>
        <v>4.0096011521713476E-6</v>
      </c>
      <c r="X107" s="138">
        <f t="shared" si="12"/>
        <v>14.77053183476734</v>
      </c>
      <c r="Z107" s="84"/>
      <c r="AS107" s="18"/>
      <c r="AT107" s="18"/>
    </row>
    <row r="108" spans="1:46" x14ac:dyDescent="0.2">
      <c r="A108" s="133">
        <f>'Raw Data'!A108</f>
        <v>4846.0673828125</v>
      </c>
      <c r="B108" s="84">
        <f>'Raw Data'!E108</f>
        <v>0.95519977567098169</v>
      </c>
      <c r="C108" s="84">
        <f t="shared" si="1"/>
        <v>4.4800224329018312E-2</v>
      </c>
      <c r="D108" s="97">
        <f t="shared" si="2"/>
        <v>4.4767975006404503E-3</v>
      </c>
      <c r="E108" s="87">
        <f>(2*Table!$AC$16*0.147)/A108</f>
        <v>2.2539983148344368E-2</v>
      </c>
      <c r="F108" s="87">
        <f t="shared" si="3"/>
        <v>4.5079966296688735E-2</v>
      </c>
      <c r="G108" s="133">
        <f>IF((('Raw Data'!C108)/('Raw Data'!C$136)*100)&lt;0,0,('Raw Data'!C108)/('Raw Data'!C$136)*100)</f>
        <v>95.519977567098167</v>
      </c>
      <c r="H108" s="133">
        <f t="shared" si="4"/>
        <v>0.44767975006404015</v>
      </c>
      <c r="I108" s="49">
        <f t="shared" si="5"/>
        <v>3.8339259717763419E-2</v>
      </c>
      <c r="J108" s="87">
        <f>'Raw Data'!F108/I108</f>
        <v>0.11676796927214148</v>
      </c>
      <c r="K108" s="127">
        <f t="shared" si="6"/>
        <v>46.506346305190206</v>
      </c>
      <c r="L108" s="133">
        <f>A108*Table!$AC$9/$AC$16</f>
        <v>913.04416088313098</v>
      </c>
      <c r="M108" s="133">
        <f>A108*Table!$AD$9/$AC$16</f>
        <v>313.04371230278781</v>
      </c>
      <c r="N108" s="133">
        <f>ABS(A108*Table!$AE$9/$AC$16)</f>
        <v>395.35971905091873</v>
      </c>
      <c r="O108" s="133">
        <f>($L108*(Table!$AC$10/Table!$AC$9)/(Table!$AC$12-Table!$AC$14))</f>
        <v>1958.4816835759998</v>
      </c>
      <c r="P108" s="133">
        <f>$N108*(Table!$AE$10/Table!$AE$9)/(Table!$AC$12-Table!$AC$13)</f>
        <v>3245.9747048515483</v>
      </c>
      <c r="Q108" s="133">
        <f>'Raw Data'!C108</f>
        <v>1.7104693855892401</v>
      </c>
      <c r="R108" s="133">
        <f>'Raw Data'!C108/'Raw Data'!I$23*100</f>
        <v>24.775623670611076</v>
      </c>
      <c r="S108" s="157">
        <f t="shared" si="7"/>
        <v>4.3706601322400181E-2</v>
      </c>
      <c r="T108" s="157">
        <f t="shared" si="8"/>
        <v>6.8144413067905418E-7</v>
      </c>
      <c r="U108" s="26">
        <f t="shared" si="9"/>
        <v>5.1125214970147836E-3</v>
      </c>
      <c r="V108" s="26">
        <f t="shared" si="10"/>
        <v>5.3244521626397978E-2</v>
      </c>
      <c r="W108" s="26">
        <f t="shared" si="11"/>
        <v>2.7756469412138632E-6</v>
      </c>
      <c r="X108" s="138">
        <f t="shared" si="12"/>
        <v>14.770534610414281</v>
      </c>
      <c r="Z108" s="84"/>
      <c r="AS108" s="18"/>
      <c r="AT108" s="18"/>
    </row>
    <row r="109" spans="1:46" x14ac:dyDescent="0.2">
      <c r="A109" s="133">
        <f>'Raw Data'!A109</f>
        <v>5307.00390625</v>
      </c>
      <c r="B109" s="84">
        <f>'Raw Data'!E109</f>
        <v>0.9594825653419351</v>
      </c>
      <c r="C109" s="84">
        <f t="shared" si="1"/>
        <v>4.0517434658064899E-2</v>
      </c>
      <c r="D109" s="97">
        <f t="shared" si="2"/>
        <v>4.282789670953413E-3</v>
      </c>
      <c r="E109" s="87">
        <f>(2*Table!$AC$16*0.147)/A109</f>
        <v>2.0582286931369272E-2</v>
      </c>
      <c r="F109" s="87">
        <f t="shared" si="3"/>
        <v>4.1164573862738543E-2</v>
      </c>
      <c r="G109" s="133">
        <f>IF((('Raw Data'!C109)/('Raw Data'!C$136)*100)&lt;0,0,('Raw Data'!C109)/('Raw Data'!C$136)*100)</f>
        <v>95.948256534193504</v>
      </c>
      <c r="H109" s="133">
        <f t="shared" si="4"/>
        <v>0.42827896709533775</v>
      </c>
      <c r="I109" s="49">
        <f t="shared" si="5"/>
        <v>3.9459958743382373E-2</v>
      </c>
      <c r="J109" s="87">
        <f>'Raw Data'!F109/I109</f>
        <v>0.10853507726162176</v>
      </c>
      <c r="K109" s="127">
        <f t="shared" si="6"/>
        <v>50.929824538225787</v>
      </c>
      <c r="L109" s="133">
        <f>A109*Table!$AC$9/$AC$16</f>
        <v>999.88888837392562</v>
      </c>
      <c r="M109" s="133">
        <f>A109*Table!$AD$9/$AC$16</f>
        <v>342.8190474424888</v>
      </c>
      <c r="N109" s="133">
        <f>ABS(A109*Table!$AE$9/$AC$16)</f>
        <v>432.96458914680125</v>
      </c>
      <c r="O109" s="133">
        <f>($L109*(Table!$AC$10/Table!$AC$9)/(Table!$AC$12-Table!$AC$14))</f>
        <v>2144.763810325881</v>
      </c>
      <c r="P109" s="133">
        <f>$N109*(Table!$AE$10/Table!$AE$9)/(Table!$AC$12-Table!$AC$13)</f>
        <v>3554.7174806798121</v>
      </c>
      <c r="Q109" s="133">
        <f>'Raw Data'!C109</f>
        <v>1.7181385463278276</v>
      </c>
      <c r="R109" s="133">
        <f>'Raw Data'!C109/'Raw Data'!I$23*100</f>
        <v>24.886709108286542</v>
      </c>
      <c r="S109" s="157">
        <f t="shared" si="7"/>
        <v>4.1812519031579037E-2</v>
      </c>
      <c r="T109" s="157">
        <f t="shared" si="8"/>
        <v>5.3154224655127535E-7</v>
      </c>
      <c r="U109" s="26">
        <f t="shared" si="9"/>
        <v>4.6894084775362119E-3</v>
      </c>
      <c r="V109" s="26">
        <f t="shared" si="10"/>
        <v>4.6008019883646042E-2</v>
      </c>
      <c r="W109" s="26">
        <f t="shared" si="11"/>
        <v>2.2141324775804425E-6</v>
      </c>
      <c r="X109" s="138">
        <f t="shared" si="12"/>
        <v>14.770536824546758</v>
      </c>
      <c r="Z109" s="84"/>
      <c r="AS109" s="18"/>
      <c r="AT109" s="18"/>
    </row>
    <row r="110" spans="1:46" x14ac:dyDescent="0.2">
      <c r="A110" s="133">
        <f>'Raw Data'!A110</f>
        <v>5806.4521484375</v>
      </c>
      <c r="B110" s="84">
        <f>'Raw Data'!E110</f>
        <v>0.96389719615894953</v>
      </c>
      <c r="C110" s="84">
        <f t="shared" si="1"/>
        <v>3.6102803841050468E-2</v>
      </c>
      <c r="D110" s="97">
        <f t="shared" si="2"/>
        <v>4.4146308170144311E-3</v>
      </c>
      <c r="E110" s="87">
        <f>(2*Table!$AC$16*0.147)/A110</f>
        <v>1.8811879328709979E-2</v>
      </c>
      <c r="F110" s="87">
        <f t="shared" si="3"/>
        <v>3.7623758657419959E-2</v>
      </c>
      <c r="G110" s="133">
        <f>IF((('Raw Data'!C110)/('Raw Data'!C$136)*100)&lt;0,0,('Raw Data'!C110)/('Raw Data'!C$136)*100)</f>
        <v>96.389719615894947</v>
      </c>
      <c r="H110" s="133">
        <f t="shared" si="4"/>
        <v>0.44146308170144266</v>
      </c>
      <c r="I110" s="49">
        <f t="shared" si="5"/>
        <v>3.9061444030010328E-2</v>
      </c>
      <c r="J110" s="87">
        <f>'Raw Data'!F110/I110</f>
        <v>0.11301760410144426</v>
      </c>
      <c r="K110" s="127">
        <f t="shared" si="6"/>
        <v>55.722888909363334</v>
      </c>
      <c r="L110" s="133">
        <f>A110*Table!$AC$9/$AC$16</f>
        <v>1093.9895818166121</v>
      </c>
      <c r="M110" s="133">
        <f>A110*Table!$AD$9/$AC$16</f>
        <v>375.08214233712414</v>
      </c>
      <c r="N110" s="133">
        <f>ABS(A110*Table!$AE$9/$AC$16)</f>
        <v>473.71138466435031</v>
      </c>
      <c r="O110" s="133">
        <f>($L110*(Table!$AC$10/Table!$AC$9)/(Table!$AC$12-Table!$AC$14))</f>
        <v>2346.6099996066332</v>
      </c>
      <c r="P110" s="133">
        <f>$N110*(Table!$AE$10/Table!$AE$9)/(Table!$AC$12-Table!$AC$13)</f>
        <v>3889.2560317270127</v>
      </c>
      <c r="Q110" s="133">
        <f>'Raw Data'!C110</f>
        <v>1.7260437940608244</v>
      </c>
      <c r="R110" s="133">
        <f>'Raw Data'!C110/'Raw Data'!I$23*100</f>
        <v>25.001214193560667</v>
      </c>
      <c r="S110" s="157">
        <f t="shared" si="7"/>
        <v>4.3099673165299154E-2</v>
      </c>
      <c r="T110" s="157">
        <f t="shared" si="8"/>
        <v>4.0246435939472747E-7</v>
      </c>
      <c r="U110" s="26">
        <f t="shared" si="9"/>
        <v>4.305764269544256E-3</v>
      </c>
      <c r="V110" s="26">
        <f t="shared" si="10"/>
        <v>3.982464082766788E-2</v>
      </c>
      <c r="W110" s="26">
        <f t="shared" si="11"/>
        <v>1.9065506980814735E-6</v>
      </c>
      <c r="X110" s="138">
        <f t="shared" si="12"/>
        <v>14.770538731097457</v>
      </c>
      <c r="Z110" s="84"/>
      <c r="AS110" s="18"/>
      <c r="AT110" s="18"/>
    </row>
    <row r="111" spans="1:46" x14ac:dyDescent="0.2">
      <c r="A111" s="133">
        <f>'Raw Data'!A111</f>
        <v>6356.62158203125</v>
      </c>
      <c r="B111" s="84">
        <f>'Raw Data'!E111</f>
        <v>0.96813977371158311</v>
      </c>
      <c r="C111" s="84">
        <f t="shared" si="1"/>
        <v>3.1860226288416893E-2</v>
      </c>
      <c r="D111" s="97">
        <f t="shared" si="2"/>
        <v>4.2425775526335752E-3</v>
      </c>
      <c r="E111" s="87">
        <f>(2*Table!$AC$16*0.147)/A111</f>
        <v>1.7183699821475083E-2</v>
      </c>
      <c r="F111" s="87">
        <f t="shared" si="3"/>
        <v>3.4367399642950165E-2</v>
      </c>
      <c r="G111" s="133">
        <f>IF((('Raw Data'!C111)/('Raw Data'!C$136)*100)&lt;0,0,('Raw Data'!C111)/('Raw Data'!C$136)*100)</f>
        <v>96.813977371158316</v>
      </c>
      <c r="H111" s="133">
        <f t="shared" si="4"/>
        <v>0.42425775526336906</v>
      </c>
      <c r="I111" s="49">
        <f t="shared" si="5"/>
        <v>3.9315506758968999E-2</v>
      </c>
      <c r="J111" s="87">
        <f>'Raw Data'!F111/I111</f>
        <v>0.10791104839735331</v>
      </c>
      <c r="K111" s="127">
        <f t="shared" si="6"/>
        <v>61.002710295254133</v>
      </c>
      <c r="L111" s="133">
        <f>A111*Table!$AC$9/$AC$16</f>
        <v>1197.646619401512</v>
      </c>
      <c r="M111" s="133">
        <f>A111*Table!$AD$9/$AC$16</f>
        <v>410.6216980805184</v>
      </c>
      <c r="N111" s="133">
        <f>ABS(A111*Table!$AE$9/$AC$16)</f>
        <v>518.59619857913117</v>
      </c>
      <c r="O111" s="133">
        <f>($L111*(Table!$AC$10/Table!$AC$9)/(Table!$AC$12-Table!$AC$14))</f>
        <v>2568.9545675708109</v>
      </c>
      <c r="P111" s="133">
        <f>$N111*(Table!$AE$10/Table!$AE$9)/(Table!$AC$12-Table!$AC$13)</f>
        <v>4257.7684612408129</v>
      </c>
      <c r="Q111" s="133">
        <f>'Raw Data'!C111</f>
        <v>1.7336409472476226</v>
      </c>
      <c r="R111" s="133">
        <f>'Raw Data'!C111/'Raw Data'!I$23*100</f>
        <v>25.111256623965968</v>
      </c>
      <c r="S111" s="157">
        <f t="shared" si="7"/>
        <v>4.1419931467928252E-2</v>
      </c>
      <c r="T111" s="157">
        <f t="shared" si="8"/>
        <v>2.989605739633916E-7</v>
      </c>
      <c r="U111" s="26">
        <f t="shared" si="9"/>
        <v>3.9504092386040222E-3</v>
      </c>
      <c r="V111" s="26">
        <f t="shared" si="10"/>
        <v>3.4426642281384374E-2</v>
      </c>
      <c r="W111" s="26">
        <f t="shared" si="11"/>
        <v>1.5288072865289249E-6</v>
      </c>
      <c r="X111" s="138">
        <f t="shared" si="12"/>
        <v>14.770540259904744</v>
      </c>
      <c r="Z111" s="84"/>
      <c r="AS111" s="18"/>
      <c r="AT111" s="18"/>
    </row>
    <row r="112" spans="1:46" x14ac:dyDescent="0.2">
      <c r="A112" s="133">
        <f>'Raw Data'!A112</f>
        <v>6946.20654296875</v>
      </c>
      <c r="B112" s="84">
        <f>'Raw Data'!E112</f>
        <v>0.97125208929073503</v>
      </c>
      <c r="C112" s="84">
        <f t="shared" si="1"/>
        <v>2.8747910709264968E-2</v>
      </c>
      <c r="D112" s="97">
        <f t="shared" si="2"/>
        <v>3.1123155791519252E-3</v>
      </c>
      <c r="E112" s="87">
        <f>(2*Table!$AC$16*0.147)/A112</f>
        <v>1.5725169769808048E-2</v>
      </c>
      <c r="F112" s="87">
        <f t="shared" si="3"/>
        <v>3.1450339539616096E-2</v>
      </c>
      <c r="G112" s="133">
        <f>IF((('Raw Data'!C112)/('Raw Data'!C$136)*100)&lt;0,0,('Raw Data'!C112)/('Raw Data'!C$136)*100)</f>
        <v>97.125208929073509</v>
      </c>
      <c r="H112" s="133">
        <f t="shared" si="4"/>
        <v>0.31123155791519252</v>
      </c>
      <c r="I112" s="49">
        <f t="shared" si="5"/>
        <v>3.8521334674553209E-2</v>
      </c>
      <c r="J112" s="87">
        <f>'Raw Data'!F112/I112</f>
        <v>8.0794593579019691E-2</v>
      </c>
      <c r="K112" s="127">
        <f t="shared" si="6"/>
        <v>66.660791416234758</v>
      </c>
      <c r="L112" s="133">
        <f>A112*Table!$AC$9/$AC$16</f>
        <v>1308.7299088823263</v>
      </c>
      <c r="M112" s="133">
        <f>A112*Table!$AD$9/$AC$16</f>
        <v>448.70739733108331</v>
      </c>
      <c r="N112" s="133">
        <f>ABS(A112*Table!$AE$9/$AC$16)</f>
        <v>566.69667389229414</v>
      </c>
      <c r="O112" s="133">
        <f>($L112*(Table!$AC$10/Table!$AC$9)/(Table!$AC$12-Table!$AC$14))</f>
        <v>2807.2284617810519</v>
      </c>
      <c r="P112" s="133">
        <f>$N112*(Table!$AE$10/Table!$AE$9)/(Table!$AC$12-Table!$AC$13)</f>
        <v>4652.6820516608705</v>
      </c>
      <c r="Q112" s="133">
        <f>'Raw Data'!C112</f>
        <v>1.7392141484271271</v>
      </c>
      <c r="R112" s="133">
        <f>'Raw Data'!C112/'Raw Data'!I$23*100</f>
        <v>25.191982731213098</v>
      </c>
      <c r="S112" s="157">
        <f t="shared" si="7"/>
        <v>3.0385277910834244E-2</v>
      </c>
      <c r="T112" s="157">
        <f t="shared" si="8"/>
        <v>2.353737108551357E-7</v>
      </c>
      <c r="U112" s="26">
        <f t="shared" si="9"/>
        <v>3.6267252600937286E-3</v>
      </c>
      <c r="V112" s="26">
        <f t="shared" si="10"/>
        <v>2.97928589805984E-2</v>
      </c>
      <c r="W112" s="26">
        <f t="shared" si="11"/>
        <v>9.3921260274862489E-7</v>
      </c>
      <c r="X112" s="138">
        <f t="shared" si="12"/>
        <v>14.770541199117346</v>
      </c>
      <c r="Z112" s="84"/>
      <c r="AS112" s="18"/>
      <c r="AT112" s="18"/>
    </row>
    <row r="113" spans="1:46" x14ac:dyDescent="0.2">
      <c r="A113" s="133">
        <f>'Raw Data'!A113</f>
        <v>7605.62109375</v>
      </c>
      <c r="B113" s="84">
        <f>'Raw Data'!E113</f>
        <v>0.97467808214362639</v>
      </c>
      <c r="C113" s="84">
        <f t="shared" si="1"/>
        <v>2.532191785637361E-2</v>
      </c>
      <c r="D113" s="97">
        <f t="shared" si="2"/>
        <v>3.4259928528913575E-3</v>
      </c>
      <c r="E113" s="87">
        <f>(2*Table!$AC$16*0.147)/A113</f>
        <v>1.4361782660208539E-2</v>
      </c>
      <c r="F113" s="87">
        <f t="shared" si="3"/>
        <v>2.8723565320417078E-2</v>
      </c>
      <c r="G113" s="133">
        <f>IF((('Raw Data'!C113)/('Raw Data'!C$136)*100)&lt;0,0,('Raw Data'!C113)/('Raw Data'!C$136)*100)</f>
        <v>97.467808214362634</v>
      </c>
      <c r="H113" s="133">
        <f t="shared" si="4"/>
        <v>0.34259928528912553</v>
      </c>
      <c r="I113" s="49">
        <f t="shared" si="5"/>
        <v>3.9386992636265772E-2</v>
      </c>
      <c r="J113" s="87">
        <f>'Raw Data'!F113/I113</f>
        <v>8.6982849503895787E-2</v>
      </c>
      <c r="K113" s="127">
        <f t="shared" si="6"/>
        <v>72.989007479857904</v>
      </c>
      <c r="L113" s="133">
        <f>A113*Table!$AC$9/$AC$16</f>
        <v>1432.9697424693634</v>
      </c>
      <c r="M113" s="133">
        <f>A113*Table!$AD$9/$AC$16</f>
        <v>491.30391170378175</v>
      </c>
      <c r="N113" s="133">
        <f>ABS(A113*Table!$AE$9/$AC$16)</f>
        <v>620.49409991645678</v>
      </c>
      <c r="O113" s="133">
        <f>($L113*(Table!$AC$10/Table!$AC$9)/(Table!$AC$12-Table!$AC$14))</f>
        <v>3073.7231713199562</v>
      </c>
      <c r="P113" s="133">
        <f>$N113*(Table!$AE$10/Table!$AE$9)/(Table!$AC$12-Table!$AC$13)</f>
        <v>5094.3686364241103</v>
      </c>
      <c r="Q113" s="133">
        <f>'Raw Data'!C113</f>
        <v>1.7453490492503625</v>
      </c>
      <c r="R113" s="133">
        <f>'Raw Data'!C113/'Raw Data'!I$23*100</f>
        <v>25.280844885270675</v>
      </c>
      <c r="S113" s="157">
        <f t="shared" si="7"/>
        <v>3.3447683021913185E-2</v>
      </c>
      <c r="T113" s="157">
        <f t="shared" si="8"/>
        <v>1.7698938870047698E-7</v>
      </c>
      <c r="U113" s="26">
        <f t="shared" si="9"/>
        <v>3.3239684929933571E-3</v>
      </c>
      <c r="V113" s="26">
        <f t="shared" si="10"/>
        <v>2.5709563971635957E-2</v>
      </c>
      <c r="W113" s="26">
        <f t="shared" si="11"/>
        <v>8.6236823721040984E-7</v>
      </c>
      <c r="X113" s="138">
        <f t="shared" si="12"/>
        <v>14.770542061485584</v>
      </c>
      <c r="Z113" s="84"/>
      <c r="AS113" s="18"/>
      <c r="AT113" s="18"/>
    </row>
    <row r="114" spans="1:46" x14ac:dyDescent="0.2">
      <c r="A114" s="133">
        <f>'Raw Data'!A114</f>
        <v>8316.7763671875</v>
      </c>
      <c r="B114" s="84">
        <f>'Raw Data'!E114</f>
        <v>0.97757272901441916</v>
      </c>
      <c r="C114" s="84">
        <f t="shared" si="1"/>
        <v>2.2427270985580838E-2</v>
      </c>
      <c r="D114" s="97">
        <f t="shared" si="2"/>
        <v>2.8946468707927719E-3</v>
      </c>
      <c r="E114" s="87">
        <f>(2*Table!$AC$16*0.147)/A114</f>
        <v>1.3133727819745821E-2</v>
      </c>
      <c r="F114" s="87">
        <f t="shared" si="3"/>
        <v>2.6267455639491642E-2</v>
      </c>
      <c r="G114" s="133">
        <f>IF((('Raw Data'!C114)/('Raw Data'!C$136)*100)&lt;0,0,('Raw Data'!C114)/('Raw Data'!C$136)*100)</f>
        <v>97.757272901441922</v>
      </c>
      <c r="H114" s="133">
        <f t="shared" si="4"/>
        <v>0.2894646870792883</v>
      </c>
      <c r="I114" s="49">
        <f t="shared" si="5"/>
        <v>3.8820338344550676E-2</v>
      </c>
      <c r="J114" s="87">
        <f>'Raw Data'!F114/I114</f>
        <v>7.4565214890743012E-2</v>
      </c>
      <c r="K114" s="127">
        <f t="shared" si="6"/>
        <v>79.813764713021271</v>
      </c>
      <c r="L114" s="133">
        <f>A114*Table!$AC$9/$AC$16</f>
        <v>1566.9580093672359</v>
      </c>
      <c r="M114" s="133">
        <f>A114*Table!$AD$9/$AC$16</f>
        <v>537.24274606876656</v>
      </c>
      <c r="N114" s="133">
        <f>ABS(A114*Table!$AE$9/$AC$16)</f>
        <v>678.51272138776039</v>
      </c>
      <c r="O114" s="133">
        <f>($L114*(Table!$AC$10/Table!$AC$9)/(Table!$AC$12-Table!$AC$14))</f>
        <v>3361.1282912210127</v>
      </c>
      <c r="P114" s="133">
        <f>$N114*(Table!$AE$10/Table!$AE$9)/(Table!$AC$12-Table!$AC$13)</f>
        <v>5570.7119982574732</v>
      </c>
      <c r="Q114" s="133">
        <f>'Raw Data'!C114</f>
        <v>1.7505324726353866</v>
      </c>
      <c r="R114" s="133">
        <f>'Raw Data'!C114/'Raw Data'!I$23*100</f>
        <v>25.355925180887052</v>
      </c>
      <c r="S114" s="157">
        <f t="shared" si="7"/>
        <v>2.8260196431215318E-2</v>
      </c>
      <c r="T114" s="157">
        <f t="shared" si="8"/>
        <v>1.35735518047575E-7</v>
      </c>
      <c r="U114" s="26">
        <f t="shared" si="9"/>
        <v>3.0487684243771141E-3</v>
      </c>
      <c r="V114" s="26">
        <f t="shared" si="10"/>
        <v>2.2214028264670994E-2</v>
      </c>
      <c r="W114" s="26">
        <f t="shared" si="11"/>
        <v>6.0934213918103975E-7</v>
      </c>
      <c r="X114" s="138">
        <f t="shared" si="12"/>
        <v>14.770542670827723</v>
      </c>
      <c r="Z114" s="84"/>
      <c r="AS114" s="18"/>
      <c r="AT114" s="18"/>
    </row>
    <row r="115" spans="1:46" x14ac:dyDescent="0.2">
      <c r="A115" s="133">
        <f>'Raw Data'!A115</f>
        <v>9097.396484375</v>
      </c>
      <c r="B115" s="84">
        <f>'Raw Data'!E115</f>
        <v>0.98023918491109718</v>
      </c>
      <c r="C115" s="84">
        <f t="shared" si="1"/>
        <v>1.9760815088902817E-2</v>
      </c>
      <c r="D115" s="97">
        <f t="shared" si="2"/>
        <v>2.6664558966780216E-3</v>
      </c>
      <c r="E115" s="87">
        <f>(2*Table!$AC$16*0.147)/A115</f>
        <v>1.2006762300834169E-2</v>
      </c>
      <c r="F115" s="87">
        <f t="shared" si="3"/>
        <v>2.4013524601668338E-2</v>
      </c>
      <c r="G115" s="133">
        <f>IF((('Raw Data'!C115)/('Raw Data'!C$136)*100)&lt;0,0,('Raw Data'!C115)/('Raw Data'!C$136)*100)</f>
        <v>98.023918491109725</v>
      </c>
      <c r="H115" s="133">
        <f t="shared" si="4"/>
        <v>0.26664558966780305</v>
      </c>
      <c r="I115" s="49">
        <f t="shared" si="5"/>
        <v>3.8962098884961049E-2</v>
      </c>
      <c r="J115" s="87">
        <f>'Raw Data'!F115/I115</f>
        <v>6.8437172867687704E-2</v>
      </c>
      <c r="K115" s="127">
        <f t="shared" si="6"/>
        <v>87.305156523105936</v>
      </c>
      <c r="L115" s="133">
        <f>A115*Table!$AC$9/$AC$16</f>
        <v>1714.0340988153155</v>
      </c>
      <c r="M115" s="133">
        <f>A115*Table!$AD$9/$AC$16</f>
        <v>587.66883387953681</v>
      </c>
      <c r="N115" s="133">
        <f>ABS(A115*Table!$AE$9/$AC$16)</f>
        <v>742.19853626341512</v>
      </c>
      <c r="O115" s="133">
        <f>($L115*(Table!$AC$10/Table!$AC$9)/(Table!$AC$12-Table!$AC$14))</f>
        <v>3676.6068185656709</v>
      </c>
      <c r="P115" s="133">
        <f>$N115*(Table!$AE$10/Table!$AE$9)/(Table!$AC$12-Table!$AC$13)</f>
        <v>6093.584041571552</v>
      </c>
      <c r="Q115" s="133">
        <f>'Raw Data'!C115</f>
        <v>1.7553072760801298</v>
      </c>
      <c r="R115" s="133">
        <f>'Raw Data'!C115/'Raw Data'!I$23*100</f>
        <v>25.425086742178216</v>
      </c>
      <c r="S115" s="157">
        <f t="shared" si="7"/>
        <v>2.6032386946963079E-2</v>
      </c>
      <c r="T115" s="157">
        <f t="shared" si="8"/>
        <v>1.0397560401553818E-7</v>
      </c>
      <c r="U115" s="26">
        <f t="shared" si="9"/>
        <v>2.7947651601033792E-3</v>
      </c>
      <c r="V115" s="26">
        <f t="shared" si="10"/>
        <v>1.9175329389545019E-2</v>
      </c>
      <c r="W115" s="26">
        <f t="shared" si="11"/>
        <v>4.6911123034467852E-7</v>
      </c>
      <c r="X115" s="138">
        <f t="shared" si="12"/>
        <v>14.770543139938953</v>
      </c>
      <c r="Z115" s="84"/>
      <c r="AS115" s="18"/>
      <c r="AT115" s="18"/>
    </row>
    <row r="116" spans="1:46" x14ac:dyDescent="0.2">
      <c r="A116" s="133">
        <f>'Raw Data'!A116</f>
        <v>9956.7275390625</v>
      </c>
      <c r="B116" s="84">
        <f>'Raw Data'!E116</f>
        <v>0.98302206825643246</v>
      </c>
      <c r="C116" s="84">
        <f t="shared" si="1"/>
        <v>1.6977931743567543E-2</v>
      </c>
      <c r="D116" s="97">
        <f t="shared" si="2"/>
        <v>2.7828833453352742E-3</v>
      </c>
      <c r="E116" s="87">
        <f>(2*Table!$AC$16*0.147)/A116</f>
        <v>1.0970499766695422E-2</v>
      </c>
      <c r="F116" s="87">
        <f t="shared" si="3"/>
        <v>2.1940999533390845E-2</v>
      </c>
      <c r="G116" s="133">
        <f>IF((('Raw Data'!C116)/('Raw Data'!C$136)*100)&lt;0,0,('Raw Data'!C116)/('Raw Data'!C$136)*100)</f>
        <v>98.302206825643239</v>
      </c>
      <c r="H116" s="133">
        <f t="shared" si="4"/>
        <v>0.27828833453351365</v>
      </c>
      <c r="I116" s="49">
        <f t="shared" si="5"/>
        <v>3.9199500412901545E-2</v>
      </c>
      <c r="J116" s="87">
        <f>'Raw Data'!F116/I116</f>
        <v>7.0992826847848217E-2</v>
      </c>
      <c r="K116" s="127">
        <f t="shared" si="6"/>
        <v>95.551915072490189</v>
      </c>
      <c r="L116" s="133">
        <f>A116*Table!$AC$9/$AC$16</f>
        <v>1875.9400608600702</v>
      </c>
      <c r="M116" s="133">
        <f>A116*Table!$AD$9/$AC$16</f>
        <v>643.17944943773841</v>
      </c>
      <c r="N116" s="133">
        <f>ABS(A116*Table!$AE$9/$AC$16)</f>
        <v>812.30587434087352</v>
      </c>
      <c r="O116" s="133">
        <f>($L116*(Table!$AC$10/Table!$AC$9)/(Table!$AC$12-Table!$AC$14))</f>
        <v>4023.8954544403059</v>
      </c>
      <c r="P116" s="133">
        <f>$N116*(Table!$AE$10/Table!$AE$9)/(Table!$AC$12-Table!$AC$13)</f>
        <v>6669.1779502534764</v>
      </c>
      <c r="Q116" s="133">
        <f>'Raw Data'!C116</f>
        <v>1.7602905653219205</v>
      </c>
      <c r="R116" s="133">
        <f>'Raw Data'!C116/'Raw Data'!I$23*100</f>
        <v>25.497268156202114</v>
      </c>
      <c r="S116" s="157">
        <f t="shared" si="7"/>
        <v>2.7169058436061874E-2</v>
      </c>
      <c r="T116" s="157">
        <f t="shared" si="8"/>
        <v>7.6303580676118088E-8</v>
      </c>
      <c r="U116" s="26">
        <f t="shared" si="9"/>
        <v>2.5608080623046627E-3</v>
      </c>
      <c r="V116" s="26">
        <f t="shared" si="10"/>
        <v>1.6540112181832822E-2</v>
      </c>
      <c r="W116" s="26">
        <f t="shared" si="11"/>
        <v>4.0873085707936547E-7</v>
      </c>
      <c r="X116" s="138">
        <f t="shared" si="12"/>
        <v>14.77054354866981</v>
      </c>
      <c r="Z116" s="84"/>
      <c r="AS116" s="18"/>
      <c r="AT116" s="18"/>
    </row>
    <row r="117" spans="1:46" x14ac:dyDescent="0.2">
      <c r="A117" s="133">
        <f>'Raw Data'!A117</f>
        <v>10896.4423828125</v>
      </c>
      <c r="B117" s="84">
        <f>'Raw Data'!E117</f>
        <v>0.98530153228175543</v>
      </c>
      <c r="C117" s="84">
        <f t="shared" si="1"/>
        <v>1.4698467718244568E-2</v>
      </c>
      <c r="D117" s="97">
        <f t="shared" si="2"/>
        <v>2.2794640253229748E-3</v>
      </c>
      <c r="E117" s="87">
        <f>(2*Table!$AC$16*0.147)/A117</f>
        <v>1.0024398175741231E-2</v>
      </c>
      <c r="F117" s="87">
        <f t="shared" si="3"/>
        <v>2.0048796351482462E-2</v>
      </c>
      <c r="G117" s="133">
        <f>IF((('Raw Data'!C117)/('Raw Data'!C$136)*100)&lt;0,0,('Raw Data'!C117)/('Raw Data'!C$136)*100)</f>
        <v>98.53015322817555</v>
      </c>
      <c r="H117" s="133">
        <f t="shared" si="4"/>
        <v>0.2279464025323108</v>
      </c>
      <c r="I117" s="49">
        <f t="shared" si="5"/>
        <v>3.9168103737895477E-2</v>
      </c>
      <c r="J117" s="87">
        <f>'Raw Data'!F117/I117</f>
        <v>5.8196946182961971E-2</v>
      </c>
      <c r="K117" s="127">
        <f t="shared" si="6"/>
        <v>104.5700942473331</v>
      </c>
      <c r="L117" s="133">
        <f>A117*Table!$AC$9/$AC$16</f>
        <v>2052.9910762925433</v>
      </c>
      <c r="M117" s="133">
        <f>A117*Table!$AD$9/$AC$16</f>
        <v>703.88265472887201</v>
      </c>
      <c r="N117" s="133">
        <f>ABS(A117*Table!$AE$9/$AC$16)</f>
        <v>888.97121290604969</v>
      </c>
      <c r="O117" s="133">
        <f>($L117*(Table!$AC$10/Table!$AC$9)/(Table!$AC$12-Table!$AC$14))</f>
        <v>4403.6702623177689</v>
      </c>
      <c r="P117" s="133">
        <f>$N117*(Table!$AE$10/Table!$AE$9)/(Table!$AC$12-Table!$AC$13)</f>
        <v>7298.6142274716703</v>
      </c>
      <c r="Q117" s="133">
        <f>'Raw Data'!C117</f>
        <v>1.764372385198949</v>
      </c>
      <c r="R117" s="133">
        <f>'Raw Data'!C117/'Raw Data'!I$23*100</f>
        <v>25.55639206336847</v>
      </c>
      <c r="S117" s="157">
        <f t="shared" si="7"/>
        <v>2.2254217522524093E-2</v>
      </c>
      <c r="T117" s="157">
        <f t="shared" si="8"/>
        <v>5.737829478213996E-8</v>
      </c>
      <c r="U117" s="26">
        <f t="shared" si="9"/>
        <v>2.345388629198814E-3</v>
      </c>
      <c r="V117" s="26">
        <f t="shared" si="10"/>
        <v>1.4256277762161413E-2</v>
      </c>
      <c r="W117" s="26">
        <f t="shared" si="11"/>
        <v>2.7953678071802929E-7</v>
      </c>
      <c r="X117" s="138">
        <f t="shared" si="12"/>
        <v>14.770543828206591</v>
      </c>
      <c r="Z117" s="84"/>
      <c r="AS117" s="18"/>
      <c r="AT117" s="18"/>
    </row>
    <row r="118" spans="1:46" x14ac:dyDescent="0.2">
      <c r="A118" s="133">
        <f>'Raw Data'!A118</f>
        <v>11895.58984375</v>
      </c>
      <c r="B118" s="84">
        <f>'Raw Data'!E118</f>
        <v>0.98765840605677191</v>
      </c>
      <c r="C118" s="84">
        <f t="shared" si="1"/>
        <v>1.2341593943228091E-2</v>
      </c>
      <c r="D118" s="97">
        <f t="shared" si="2"/>
        <v>2.356873775016477E-3</v>
      </c>
      <c r="E118" s="87">
        <f>(2*Table!$AC$16*0.147)/A118</f>
        <v>9.1824179026923289E-3</v>
      </c>
      <c r="F118" s="87">
        <f t="shared" si="3"/>
        <v>1.8364835805384658E-2</v>
      </c>
      <c r="G118" s="133">
        <f>IF((('Raw Data'!C118)/('Raw Data'!C$136)*100)&lt;0,0,('Raw Data'!C118)/('Raw Data'!C$136)*100)</f>
        <v>98.765840605677198</v>
      </c>
      <c r="H118" s="133">
        <f t="shared" si="4"/>
        <v>0.23568737750164814</v>
      </c>
      <c r="I118" s="49">
        <f t="shared" si="5"/>
        <v>3.8101254658448491E-2</v>
      </c>
      <c r="J118" s="87">
        <f>'Raw Data'!F118/I118</f>
        <v>6.185816703791587E-2</v>
      </c>
      <c r="K118" s="127">
        <f t="shared" si="6"/>
        <v>114.15863154112186</v>
      </c>
      <c r="L118" s="133">
        <f>A118*Table!$AC$9/$AC$16</f>
        <v>2241.2397494962456</v>
      </c>
      <c r="M118" s="133">
        <f>A118*Table!$AD$9/$AC$16</f>
        <v>768.42505697014144</v>
      </c>
      <c r="N118" s="133">
        <f>ABS(A118*Table!$AE$9/$AC$16)</f>
        <v>970.48527951761025</v>
      </c>
      <c r="O118" s="133">
        <f>($L118*(Table!$AC$10/Table!$AC$9)/(Table!$AC$12-Table!$AC$14))</f>
        <v>4807.4640701335175</v>
      </c>
      <c r="P118" s="133">
        <f>$N118*(Table!$AE$10/Table!$AE$9)/(Table!$AC$12-Table!$AC$13)</f>
        <v>7967.8594377472091</v>
      </c>
      <c r="Q118" s="133">
        <f>'Raw Data'!C118</f>
        <v>1.7685928221594078</v>
      </c>
      <c r="R118" s="133">
        <f>'Raw Data'!C118/'Raw Data'!I$23*100</f>
        <v>25.617523796411351</v>
      </c>
      <c r="S118" s="157">
        <f t="shared" si="7"/>
        <v>2.3009962464714727E-2</v>
      </c>
      <c r="T118" s="157">
        <f t="shared" si="8"/>
        <v>4.0959415081864847E-8</v>
      </c>
      <c r="U118" s="26">
        <f t="shared" si="9"/>
        <v>2.153531193736553E-3</v>
      </c>
      <c r="V118" s="26">
        <f t="shared" si="10"/>
        <v>1.2340464836334154E-2</v>
      </c>
      <c r="W118" s="26">
        <f t="shared" si="11"/>
        <v>2.4251579619288198E-7</v>
      </c>
      <c r="X118" s="138">
        <f t="shared" si="12"/>
        <v>14.770544070722387</v>
      </c>
      <c r="Z118" s="84"/>
      <c r="AS118" s="18"/>
      <c r="AT118" s="18"/>
    </row>
    <row r="119" spans="1:46" x14ac:dyDescent="0.2">
      <c r="A119" s="133">
        <f>'Raw Data'!A119</f>
        <v>12996.1123046875</v>
      </c>
      <c r="B119" s="84">
        <f>'Raw Data'!E119</f>
        <v>0.98926558261598418</v>
      </c>
      <c r="C119" s="84">
        <f t="shared" si="1"/>
        <v>1.0734417384015815E-2</v>
      </c>
      <c r="D119" s="97">
        <f t="shared" si="2"/>
        <v>1.6071765592122755E-3</v>
      </c>
      <c r="E119" s="87">
        <f>(2*Table!$AC$16*0.147)/A119</f>
        <v>8.4048425085506036E-3</v>
      </c>
      <c r="F119" s="87">
        <f t="shared" si="3"/>
        <v>1.6809685017101207E-2</v>
      </c>
      <c r="G119" s="133">
        <f>IF((('Raw Data'!C119)/('Raw Data'!C$136)*100)&lt;0,0,('Raw Data'!C119)/('Raw Data'!C$136)*100)</f>
        <v>98.926558261598416</v>
      </c>
      <c r="H119" s="133">
        <f t="shared" si="4"/>
        <v>0.16071765592121778</v>
      </c>
      <c r="I119" s="49">
        <f t="shared" si="5"/>
        <v>3.8427474171308873E-2</v>
      </c>
      <c r="J119" s="87">
        <f>'Raw Data'!F119/I119</f>
        <v>4.1823632540809633E-2</v>
      </c>
      <c r="K119" s="127">
        <f t="shared" si="6"/>
        <v>124.72003621050878</v>
      </c>
      <c r="L119" s="133">
        <f>A119*Table!$AC$9/$AC$16</f>
        <v>2448.5884154358741</v>
      </c>
      <c r="M119" s="133">
        <f>A119*Table!$AD$9/$AC$16</f>
        <v>839.51602814944249</v>
      </c>
      <c r="N119" s="133">
        <f>ABS(A119*Table!$AE$9/$AC$16)</f>
        <v>1060.2698855898759</v>
      </c>
      <c r="O119" s="133">
        <f>($L119*(Table!$AC$10/Table!$AC$9)/(Table!$AC$12-Table!$AC$14))</f>
        <v>5252.2274033373542</v>
      </c>
      <c r="P119" s="133">
        <f>$N119*(Table!$AE$10/Table!$AE$9)/(Table!$AC$12-Table!$AC$13)</f>
        <v>8705.0072708528387</v>
      </c>
      <c r="Q119" s="133">
        <f>'Raw Data'!C119</f>
        <v>1.7714707816939337</v>
      </c>
      <c r="R119" s="133">
        <f>'Raw Data'!C119/'Raw Data'!I$23*100</f>
        <v>25.659210156288587</v>
      </c>
      <c r="S119" s="157">
        <f t="shared" si="7"/>
        <v>1.5690730956258059E-2</v>
      </c>
      <c r="T119" s="157">
        <f t="shared" si="8"/>
        <v>3.1579134307513357E-8</v>
      </c>
      <c r="U119" s="26">
        <f t="shared" si="9"/>
        <v>1.9743758406145584E-3</v>
      </c>
      <c r="V119" s="26">
        <f t="shared" si="10"/>
        <v>1.0654786090977994E-2</v>
      </c>
      <c r="W119" s="26">
        <f t="shared" si="11"/>
        <v>1.385518562749575E-7</v>
      </c>
      <c r="X119" s="138">
        <f t="shared" si="12"/>
        <v>14.770544209274243</v>
      </c>
      <c r="Z119" s="84"/>
      <c r="AS119" s="18"/>
      <c r="AT119" s="18"/>
    </row>
    <row r="120" spans="1:46" x14ac:dyDescent="0.2">
      <c r="A120" s="133">
        <f>'Raw Data'!A120</f>
        <v>14296.1533203125</v>
      </c>
      <c r="B120" s="84">
        <f>'Raw Data'!E120</f>
        <v>0.99125241389907881</v>
      </c>
      <c r="C120" s="84">
        <f t="shared" si="1"/>
        <v>8.7475861009211897E-3</v>
      </c>
      <c r="D120" s="97">
        <f t="shared" si="2"/>
        <v>1.9868312830946255E-3</v>
      </c>
      <c r="E120" s="87">
        <f>(2*Table!$AC$16*0.147)/A120</f>
        <v>7.640536212572417E-3</v>
      </c>
      <c r="F120" s="87">
        <f t="shared" si="3"/>
        <v>1.5281072425144834E-2</v>
      </c>
      <c r="G120" s="133">
        <f>IF((('Raw Data'!C120)/('Raw Data'!C$136)*100)&lt;0,0,('Raw Data'!C120)/('Raw Data'!C$136)*100)</f>
        <v>99.125241389907885</v>
      </c>
      <c r="H120" s="133">
        <f t="shared" si="4"/>
        <v>0.19868312830946877</v>
      </c>
      <c r="I120" s="49">
        <f t="shared" si="5"/>
        <v>4.1405741546423958E-2</v>
      </c>
      <c r="J120" s="87">
        <f>'Raw Data'!F120/I120</f>
        <v>4.7984439087197558E-2</v>
      </c>
      <c r="K120" s="127">
        <f t="shared" si="6"/>
        <v>137.19616435887934</v>
      </c>
      <c r="L120" s="133">
        <f>A120*Table!$AC$9/$AC$16</f>
        <v>2693.5282324996824</v>
      </c>
      <c r="M120" s="133">
        <f>A120*Table!$AD$9/$AC$16</f>
        <v>923.49539399989101</v>
      </c>
      <c r="N120" s="133">
        <f>ABS(A120*Table!$AE$9/$AC$16)</f>
        <v>1166.3319375776614</v>
      </c>
      <c r="O120" s="133">
        <f>($L120*(Table!$AC$10/Table!$AC$9)/(Table!$AC$12-Table!$AC$14))</f>
        <v>5777.6238363356561</v>
      </c>
      <c r="P120" s="133">
        <f>$N120*(Table!$AE$10/Table!$AE$9)/(Table!$AC$12-Table!$AC$13)</f>
        <v>9575.7958750218477</v>
      </c>
      <c r="Q120" s="133">
        <f>'Raw Data'!C120</f>
        <v>1.7750285862188322</v>
      </c>
      <c r="R120" s="133">
        <f>'Raw Data'!C120/'Raw Data'!I$23*100</f>
        <v>25.710743862033407</v>
      </c>
      <c r="S120" s="157">
        <f t="shared" si="7"/>
        <v>1.9397268420710705E-2</v>
      </c>
      <c r="T120" s="157">
        <f t="shared" si="8"/>
        <v>2.1996128363177547E-8</v>
      </c>
      <c r="U120" s="26">
        <f t="shared" si="9"/>
        <v>1.7984378934648552E-3</v>
      </c>
      <c r="V120" s="26">
        <f t="shared" si="10"/>
        <v>9.0991556181856531E-3</v>
      </c>
      <c r="W120" s="26">
        <f t="shared" si="11"/>
        <v>1.4154621657140446E-7</v>
      </c>
      <c r="X120" s="138">
        <f t="shared" si="12"/>
        <v>14.77054435082046</v>
      </c>
      <c r="Z120" s="84"/>
      <c r="AS120" s="18"/>
      <c r="AT120" s="18"/>
    </row>
    <row r="121" spans="1:46" x14ac:dyDescent="0.2">
      <c r="A121" s="133">
        <f>'Raw Data'!A121</f>
        <v>15595.4013671875</v>
      </c>
      <c r="B121" s="84">
        <f>'Raw Data'!E121</f>
        <v>0.99284440426933573</v>
      </c>
      <c r="C121" s="84">
        <f t="shared" si="1"/>
        <v>7.1555957306642659E-3</v>
      </c>
      <c r="D121" s="97">
        <f t="shared" si="2"/>
        <v>1.5919903702569238E-3</v>
      </c>
      <c r="E121" s="87">
        <f>(2*Table!$AC$16*0.147)/A121</f>
        <v>7.0040055124297078E-3</v>
      </c>
      <c r="F121" s="87">
        <f t="shared" si="3"/>
        <v>1.4008011024859416E-2</v>
      </c>
      <c r="G121" s="133">
        <f>IF((('Raw Data'!C121)/('Raw Data'!C$136)*100)&lt;0,0,('Raw Data'!C121)/('Raw Data'!C$136)*100)</f>
        <v>99.284440426933571</v>
      </c>
      <c r="H121" s="133">
        <f t="shared" si="4"/>
        <v>0.15919903702568661</v>
      </c>
      <c r="I121" s="49">
        <f t="shared" si="5"/>
        <v>3.7777359198759797E-2</v>
      </c>
      <c r="J121" s="87">
        <f>'Raw Data'!F121/I121</f>
        <v>4.2141388493592419E-2</v>
      </c>
      <c r="K121" s="127">
        <f t="shared" si="6"/>
        <v>149.66468260908223</v>
      </c>
      <c r="L121" s="133">
        <f>A121*Table!$AC$9/$AC$16</f>
        <v>2938.3186468767844</v>
      </c>
      <c r="M121" s="133">
        <f>A121*Table!$AD$9/$AC$16</f>
        <v>1007.4235360720404</v>
      </c>
      <c r="N121" s="133">
        <f>ABS(A121*Table!$AE$9/$AC$16)</f>
        <v>1272.3292963044064</v>
      </c>
      <c r="O121" s="133">
        <f>($L121*(Table!$AC$10/Table!$AC$9)/(Table!$AC$12-Table!$AC$14))</f>
        <v>6302.6998002505043</v>
      </c>
      <c r="P121" s="133">
        <f>$N121*(Table!$AE$10/Table!$AE$9)/(Table!$AC$12-Table!$AC$13)</f>
        <v>10446.053335832563</v>
      </c>
      <c r="Q121" s="133">
        <f>'Raw Data'!C121</f>
        <v>1.777879351953743</v>
      </c>
      <c r="R121" s="133">
        <f>'Raw Data'!C121/'Raw Data'!I$23*100</f>
        <v>25.752036328075935</v>
      </c>
      <c r="S121" s="157">
        <f t="shared" si="7"/>
        <v>1.5542469457679389E-2</v>
      </c>
      <c r="T121" s="157">
        <f t="shared" si="8"/>
        <v>1.5543651143978821E-8</v>
      </c>
      <c r="U121" s="26">
        <f t="shared" si="9"/>
        <v>1.6512583242812749E-3</v>
      </c>
      <c r="V121" s="26">
        <f t="shared" si="10"/>
        <v>7.8758619384317191E-3</v>
      </c>
      <c r="W121" s="26">
        <f t="shared" si="11"/>
        <v>9.5306603819512883E-8</v>
      </c>
      <c r="X121" s="138">
        <f t="shared" si="12"/>
        <v>14.770544446127063</v>
      </c>
      <c r="Z121" s="84"/>
      <c r="AS121" s="18"/>
      <c r="AT121" s="18"/>
    </row>
    <row r="122" spans="1:46" x14ac:dyDescent="0.2">
      <c r="A122" s="133">
        <f>'Raw Data'!A122</f>
        <v>17096.5859375</v>
      </c>
      <c r="B122" s="84">
        <f>'Raw Data'!E122</f>
        <v>0.99464416673043043</v>
      </c>
      <c r="C122" s="84">
        <f t="shared" si="1"/>
        <v>5.3558332695695654E-3</v>
      </c>
      <c r="D122" s="97">
        <f t="shared" si="2"/>
        <v>1.7997624610947005E-3</v>
      </c>
      <c r="E122" s="87">
        <f>(2*Table!$AC$16*0.147)/A122</f>
        <v>6.389011089327907E-3</v>
      </c>
      <c r="F122" s="87">
        <f t="shared" si="3"/>
        <v>1.2778022178655814E-2</v>
      </c>
      <c r="G122" s="133">
        <f>IF((('Raw Data'!C122)/('Raw Data'!C$136)*100)&lt;0,0,('Raw Data'!C122)/('Raw Data'!C$136)*100)</f>
        <v>99.464416673043047</v>
      </c>
      <c r="H122" s="133">
        <f t="shared" si="4"/>
        <v>0.17997624610947582</v>
      </c>
      <c r="I122" s="49">
        <f t="shared" si="5"/>
        <v>3.9912837286117941E-2</v>
      </c>
      <c r="J122" s="87">
        <f>'Raw Data'!F122/I122</f>
        <v>4.509232075367077E-2</v>
      </c>
      <c r="K122" s="127">
        <f t="shared" si="6"/>
        <v>164.07112890460263</v>
      </c>
      <c r="L122" s="133">
        <f>A122*Table!$AC$9/$AC$16</f>
        <v>3221.1557801764457</v>
      </c>
      <c r="M122" s="133">
        <f>A122*Table!$AD$9/$AC$16</f>
        <v>1104.3962674890672</v>
      </c>
      <c r="N122" s="133">
        <f>ABS(A122*Table!$AE$9/$AC$16)</f>
        <v>1394.8013675899426</v>
      </c>
      <c r="O122" s="133">
        <f>($L122*(Table!$AC$10/Table!$AC$9)/(Table!$AC$12-Table!$AC$14))</f>
        <v>6909.3860578645354</v>
      </c>
      <c r="P122" s="133">
        <f>$N122*(Table!$AE$10/Table!$AE$9)/(Table!$AC$12-Table!$AC$13)</f>
        <v>11451.571162479</v>
      </c>
      <c r="Q122" s="133">
        <f>'Raw Data'!C122</f>
        <v>1.7811021736811381</v>
      </c>
      <c r="R122" s="133">
        <f>'Raw Data'!C122/'Raw Data'!I$23*100</f>
        <v>25.798717910890641</v>
      </c>
      <c r="S122" s="157">
        <f t="shared" si="7"/>
        <v>1.7570931084292855E-2</v>
      </c>
      <c r="T122" s="157">
        <f t="shared" si="8"/>
        <v>9.4738347167222514E-9</v>
      </c>
      <c r="U122" s="26">
        <f t="shared" si="9"/>
        <v>1.5089982295414435E-3</v>
      </c>
      <c r="V122" s="26">
        <f t="shared" si="10"/>
        <v>6.7629400634749296E-3</v>
      </c>
      <c r="W122" s="26">
        <f t="shared" si="11"/>
        <v>8.9654495748967892E-8</v>
      </c>
      <c r="X122" s="138">
        <f t="shared" si="12"/>
        <v>14.770544535781559</v>
      </c>
      <c r="Z122" s="84"/>
      <c r="AS122" s="18"/>
      <c r="AT122" s="18"/>
    </row>
    <row r="123" spans="1:46" x14ac:dyDescent="0.2">
      <c r="A123" s="133">
        <f>'Raw Data'!A123</f>
        <v>18695.119140625</v>
      </c>
      <c r="B123" s="84">
        <f>'Raw Data'!E123</f>
        <v>0.99556460903703536</v>
      </c>
      <c r="C123" s="84">
        <f t="shared" si="1"/>
        <v>4.435390962964636E-3</v>
      </c>
      <c r="D123" s="97">
        <f t="shared" si="2"/>
        <v>9.2044230660492943E-4</v>
      </c>
      <c r="E123" s="87">
        <f>(2*Table!$AC$16*0.147)/A123</f>
        <v>5.8427162898884496E-3</v>
      </c>
      <c r="F123" s="87">
        <f t="shared" si="3"/>
        <v>1.1685432579776899E-2</v>
      </c>
      <c r="G123" s="133">
        <f>IF((('Raw Data'!C123)/('Raw Data'!C$136)*100)&lt;0,0,('Raw Data'!C123)/('Raw Data'!C$136)*100)</f>
        <v>99.556460903703538</v>
      </c>
      <c r="H123" s="133">
        <f t="shared" si="4"/>
        <v>9.2044230660491166E-2</v>
      </c>
      <c r="I123" s="49">
        <f t="shared" si="5"/>
        <v>3.8818843543961368E-2</v>
      </c>
      <c r="J123" s="87">
        <f>'Raw Data'!F123/I123</f>
        <v>2.3711224306889812E-2</v>
      </c>
      <c r="K123" s="127">
        <f t="shared" si="6"/>
        <v>179.41180266174931</v>
      </c>
      <c r="L123" s="133">
        <f>A123*Table!$AC$9/$AC$16</f>
        <v>3522.3343011907418</v>
      </c>
      <c r="M123" s="133">
        <f>A123*Table!$AD$9/$AC$16</f>
        <v>1207.6574746939687</v>
      </c>
      <c r="N123" s="133">
        <f>ABS(A123*Table!$AE$9/$AC$16)</f>
        <v>1525.2154927262457</v>
      </c>
      <c r="O123" s="133">
        <f>($L123*(Table!$AC$10/Table!$AC$9)/(Table!$AC$12-Table!$AC$14))</f>
        <v>7555.4146314687741</v>
      </c>
      <c r="P123" s="133">
        <f>$N123*(Table!$AE$10/Table!$AE$9)/(Table!$AC$12-Table!$AC$13)</f>
        <v>12522.294685765562</v>
      </c>
      <c r="Q123" s="133">
        <f>'Raw Data'!C123</f>
        <v>1.7827504031162245</v>
      </c>
      <c r="R123" s="133">
        <f>'Raw Data'!C123/'Raw Data'!I$23*100</f>
        <v>25.822592007995549</v>
      </c>
      <c r="S123" s="157">
        <f t="shared" si="7"/>
        <v>8.9862016160652484E-3</v>
      </c>
      <c r="T123" s="157">
        <f t="shared" si="8"/>
        <v>6.8777475936698806E-9</v>
      </c>
      <c r="U123" s="26">
        <f t="shared" si="9"/>
        <v>1.381247790600187E-3</v>
      </c>
      <c r="V123" s="26">
        <f t="shared" si="10"/>
        <v>5.8233402367481998E-3</v>
      </c>
      <c r="W123" s="26">
        <f t="shared" si="11"/>
        <v>3.8345620345127534E-8</v>
      </c>
      <c r="X123" s="138">
        <f t="shared" si="12"/>
        <v>14.770544574127179</v>
      </c>
      <c r="Z123" s="84"/>
      <c r="AS123" s="18"/>
      <c r="AT123" s="18"/>
    </row>
    <row r="124" spans="1:46" x14ac:dyDescent="0.2">
      <c r="A124" s="133">
        <f>'Raw Data'!A124</f>
        <v>20395.5078125</v>
      </c>
      <c r="B124" s="84">
        <f>'Raw Data'!E124</f>
        <v>0.99630816352472273</v>
      </c>
      <c r="C124" s="84">
        <f t="shared" si="1"/>
        <v>3.6918364752772659E-3</v>
      </c>
      <c r="D124" s="97">
        <f t="shared" si="2"/>
        <v>7.4355448768737009E-4</v>
      </c>
      <c r="E124" s="87">
        <f>(2*Table!$AC$16*0.147)/A124</f>
        <v>5.3556046825855444E-3</v>
      </c>
      <c r="F124" s="87">
        <f t="shared" si="3"/>
        <v>1.0711209365171089E-2</v>
      </c>
      <c r="G124" s="133">
        <f>IF((('Raw Data'!C124)/('Raw Data'!C$136)*100)&lt;0,0,('Raw Data'!C124)/('Raw Data'!C$136)*100)</f>
        <v>99.63081635247228</v>
      </c>
      <c r="H124" s="133">
        <f t="shared" si="4"/>
        <v>7.4355448768741894E-2</v>
      </c>
      <c r="I124" s="49">
        <f t="shared" si="5"/>
        <v>3.7806285781807336E-2</v>
      </c>
      <c r="J124" s="87">
        <f>'Raw Data'!F124/I124</f>
        <v>1.9667483126448088E-2</v>
      </c>
      <c r="K124" s="127">
        <f t="shared" si="6"/>
        <v>195.72995471801445</v>
      </c>
      <c r="L124" s="133">
        <f>A124*Table!$AC$9/$AC$16</f>
        <v>3842.7033397215791</v>
      </c>
      <c r="M124" s="133">
        <f>A124*Table!$AD$9/$AC$16</f>
        <v>1317.4982879045415</v>
      </c>
      <c r="N124" s="133">
        <f>ABS(A124*Table!$AE$9/$AC$16)</f>
        <v>1663.939355703096</v>
      </c>
      <c r="O124" s="133">
        <f>($L124*(Table!$AC$10/Table!$AC$9)/(Table!$AC$12-Table!$AC$14))</f>
        <v>8242.6069063096948</v>
      </c>
      <c r="P124" s="133">
        <f>$N124*(Table!$AE$10/Table!$AE$9)/(Table!$AC$12-Table!$AC$13)</f>
        <v>13661.242657660883</v>
      </c>
      <c r="Q124" s="133">
        <f>'Raw Data'!C124</f>
        <v>1.7840818808029872</v>
      </c>
      <c r="R124" s="133">
        <f>'Raw Data'!C124/'Raw Data'!I$23*100</f>
        <v>25.841878053317945</v>
      </c>
      <c r="S124" s="157">
        <f t="shared" si="7"/>
        <v>7.2592605652107792E-3</v>
      </c>
      <c r="T124" s="157">
        <f t="shared" si="8"/>
        <v>5.1156786584627412E-9</v>
      </c>
      <c r="U124" s="26">
        <f t="shared" si="9"/>
        <v>1.267037736490188E-3</v>
      </c>
      <c r="V124" s="26">
        <f t="shared" si="10"/>
        <v>5.0325723173236196E-3</v>
      </c>
      <c r="W124" s="26">
        <f t="shared" si="11"/>
        <v>2.6026719020957116E-8</v>
      </c>
      <c r="X124" s="138">
        <f t="shared" si="12"/>
        <v>14.770544600153897</v>
      </c>
      <c r="Z124" s="84"/>
      <c r="AS124" s="18"/>
      <c r="AT124" s="18"/>
    </row>
    <row r="125" spans="1:46" x14ac:dyDescent="0.2">
      <c r="A125" s="133">
        <f>'Raw Data'!A125</f>
        <v>22296.91015625</v>
      </c>
      <c r="B125" s="84">
        <f>'Raw Data'!E125</f>
        <v>0.99725249421844819</v>
      </c>
      <c r="C125" s="84">
        <f t="shared" si="1"/>
        <v>2.7475057815518067E-3</v>
      </c>
      <c r="D125" s="97">
        <f t="shared" si="2"/>
        <v>9.4433069372545919E-4</v>
      </c>
      <c r="E125" s="87">
        <f>(2*Table!$AC$16*0.147)/A125</f>
        <v>4.8988974875389599E-3</v>
      </c>
      <c r="F125" s="87">
        <f t="shared" si="3"/>
        <v>9.7977949750779197E-3</v>
      </c>
      <c r="G125" s="133">
        <f>IF((('Raw Data'!C125)/('Raw Data'!C$136)*100)&lt;0,0,('Raw Data'!C125)/('Raw Data'!C$136)*100)</f>
        <v>99.725249421844822</v>
      </c>
      <c r="H125" s="133">
        <f t="shared" si="4"/>
        <v>9.4433069372541922E-2</v>
      </c>
      <c r="I125" s="49">
        <f t="shared" si="5"/>
        <v>3.8710160935944593E-2</v>
      </c>
      <c r="J125" s="87">
        <f>'Raw Data'!F125/I125</f>
        <v>2.4394904874926373E-2</v>
      </c>
      <c r="K125" s="127">
        <f t="shared" si="6"/>
        <v>213.97717847259159</v>
      </c>
      <c r="L125" s="133">
        <f>A125*Table!$AC$9/$AC$16</f>
        <v>4200.9452233585507</v>
      </c>
      <c r="M125" s="133">
        <f>A125*Table!$AD$9/$AC$16</f>
        <v>1440.3240765800745</v>
      </c>
      <c r="N125" s="133">
        <f>ABS(A125*Table!$AE$9/$AC$16)</f>
        <v>1819.0626416676989</v>
      </c>
      <c r="O125" s="133">
        <f>($L125*(Table!$AC$10/Table!$AC$9)/(Table!$AC$12-Table!$AC$14))</f>
        <v>9011.0365151406077</v>
      </c>
      <c r="P125" s="133">
        <f>$N125*(Table!$AE$10/Table!$AE$9)/(Table!$AC$12-Table!$AC$13)</f>
        <v>14934.832854414602</v>
      </c>
      <c r="Q125" s="133">
        <f>'Raw Data'!C125</f>
        <v>1.7857728870015126</v>
      </c>
      <c r="R125" s="133">
        <f>'Raw Data'!C125/'Raw Data'!I$23*100</f>
        <v>25.866371758702154</v>
      </c>
      <c r="S125" s="157">
        <f t="shared" si="7"/>
        <v>9.2194219509056773E-3</v>
      </c>
      <c r="T125" s="157">
        <f t="shared" si="8"/>
        <v>3.2432128094228574E-9</v>
      </c>
      <c r="U125" s="26">
        <f t="shared" si="9"/>
        <v>1.1600877241482541E-3</v>
      </c>
      <c r="V125" s="26">
        <f t="shared" si="10"/>
        <v>4.3353772192136226E-3</v>
      </c>
      <c r="W125" s="26">
        <f t="shared" si="11"/>
        <v>2.765733998467949E-8</v>
      </c>
      <c r="X125" s="138">
        <f t="shared" si="12"/>
        <v>14.770544627811237</v>
      </c>
      <c r="Z125" s="84"/>
      <c r="AS125" s="18"/>
      <c r="AT125" s="18"/>
    </row>
    <row r="126" spans="1:46" x14ac:dyDescent="0.2">
      <c r="A126" s="133">
        <f>'Raw Data'!A126</f>
        <v>24397.017578125</v>
      </c>
      <c r="B126" s="84">
        <f>'Raw Data'!E126</f>
        <v>0.99786437819141094</v>
      </c>
      <c r="C126" s="84">
        <f t="shared" si="1"/>
        <v>2.135621808589061E-3</v>
      </c>
      <c r="D126" s="97">
        <f t="shared" si="2"/>
        <v>6.1188397296274566E-4</v>
      </c>
      <c r="E126" s="87">
        <f>(2*Table!$AC$16*0.147)/A126</f>
        <v>4.477197952354379E-3</v>
      </c>
      <c r="F126" s="87">
        <f t="shared" si="3"/>
        <v>8.954395904708758E-3</v>
      </c>
      <c r="G126" s="133">
        <f>IF((('Raw Data'!C126)/('Raw Data'!C$136)*100)&lt;0,0,('Raw Data'!C126)/('Raw Data'!C$136)*100)</f>
        <v>99.786437819141099</v>
      </c>
      <c r="H126" s="133">
        <f t="shared" si="4"/>
        <v>6.118839729627723E-2</v>
      </c>
      <c r="I126" s="49">
        <f t="shared" si="5"/>
        <v>3.9092055206666032E-2</v>
      </c>
      <c r="J126" s="87">
        <f>'Raw Data'!F126/I126</f>
        <v>1.5652386903884409E-2</v>
      </c>
      <c r="K126" s="127">
        <f t="shared" si="6"/>
        <v>234.13131900027352</v>
      </c>
      <c r="L126" s="133">
        <f>A126*Table!$AC$9/$AC$16</f>
        <v>4596.6249915704084</v>
      </c>
      <c r="M126" s="133">
        <f>A126*Table!$AD$9/$AC$16</f>
        <v>1575.9857113955686</v>
      </c>
      <c r="N126" s="133">
        <f>ABS(A126*Table!$AE$9/$AC$16)</f>
        <v>1990.3970071852027</v>
      </c>
      <c r="O126" s="133">
        <f>($L126*(Table!$AC$10/Table!$AC$9)/(Table!$AC$12-Table!$AC$14))</f>
        <v>9859.7704666889949</v>
      </c>
      <c r="P126" s="133">
        <f>$N126*(Table!$AE$10/Table!$AE$9)/(Table!$AC$12-Table!$AC$13)</f>
        <v>16341.518942407245</v>
      </c>
      <c r="Q126" s="133">
        <f>'Raw Data'!C126</f>
        <v>1.7868685832421762</v>
      </c>
      <c r="R126" s="133">
        <f>'Raw Data'!C126/'Raw Data'!I$23*100</f>
        <v>25.882242582199318</v>
      </c>
      <c r="S126" s="157">
        <f t="shared" si="7"/>
        <v>5.9737722910234636E-3</v>
      </c>
      <c r="T126" s="157">
        <f t="shared" si="8"/>
        <v>2.2298272117637907E-9</v>
      </c>
      <c r="U126" s="26">
        <f t="shared" si="9"/>
        <v>1.0608773182754112E-3</v>
      </c>
      <c r="V126" s="26">
        <f t="shared" si="10"/>
        <v>3.727114101378483E-3</v>
      </c>
      <c r="W126" s="26">
        <f t="shared" si="11"/>
        <v>1.4968258336648594E-8</v>
      </c>
      <c r="X126" s="138">
        <f t="shared" si="12"/>
        <v>14.770544642779495</v>
      </c>
      <c r="Z126" s="84"/>
      <c r="AS126" s="18"/>
      <c r="AT126" s="18"/>
    </row>
    <row r="127" spans="1:46" x14ac:dyDescent="0.2">
      <c r="A127" s="133">
        <f>'Raw Data'!A127</f>
        <v>26699.923828125</v>
      </c>
      <c r="B127" s="84">
        <f>'Raw Data'!E127</f>
        <v>0.99845140686634559</v>
      </c>
      <c r="C127" s="84">
        <f t="shared" si="1"/>
        <v>1.5485931336544079E-3</v>
      </c>
      <c r="D127" s="97">
        <f t="shared" si="2"/>
        <v>5.8702867493465316E-4</v>
      </c>
      <c r="E127" s="87">
        <f>(2*Table!$AC$16*0.147)/A127</f>
        <v>4.091033287116525E-3</v>
      </c>
      <c r="F127" s="87">
        <f t="shared" si="3"/>
        <v>8.18206657423305E-3</v>
      </c>
      <c r="G127" s="133">
        <f>IF((('Raw Data'!C127)/('Raw Data'!C$136)*100)&lt;0,0,('Raw Data'!C127)/('Raw Data'!C$136)*100)</f>
        <v>99.845140686634565</v>
      </c>
      <c r="H127" s="133">
        <f t="shared" si="4"/>
        <v>5.870286749346576E-2</v>
      </c>
      <c r="I127" s="49">
        <f t="shared" si="5"/>
        <v>3.9173283269169357E-2</v>
      </c>
      <c r="J127" s="87">
        <f>'Raw Data'!F127/I127</f>
        <v>1.4985434611161729E-2</v>
      </c>
      <c r="K127" s="127">
        <f t="shared" si="6"/>
        <v>256.23166286894042</v>
      </c>
      <c r="L127" s="133">
        <f>A127*Table!$AC$9/$AC$16</f>
        <v>5030.5139449269454</v>
      </c>
      <c r="M127" s="133">
        <f>A127*Table!$AD$9/$AC$16</f>
        <v>1724.7476382606669</v>
      </c>
      <c r="N127" s="133">
        <f>ABS(A127*Table!$AE$9/$AC$16)</f>
        <v>2178.2764351993037</v>
      </c>
      <c r="O127" s="133">
        <f>($L127*(Table!$AC$10/Table!$AC$9)/(Table!$AC$12-Table!$AC$14))</f>
        <v>10790.463202331501</v>
      </c>
      <c r="P127" s="133">
        <f>$N127*(Table!$AE$10/Table!$AE$9)/(Table!$AC$12-Table!$AC$13)</f>
        <v>17884.042981931882</v>
      </c>
      <c r="Q127" s="133">
        <f>'Raw Data'!C127</f>
        <v>1.7879197712789756</v>
      </c>
      <c r="R127" s="133">
        <f>'Raw Data'!C127/'Raw Data'!I$23*100</f>
        <v>25.897468718034432</v>
      </c>
      <c r="S127" s="157">
        <f t="shared" si="7"/>
        <v>5.7311120854841536E-3</v>
      </c>
      <c r="T127" s="157">
        <f t="shared" si="8"/>
        <v>1.4180844276623361E-9</v>
      </c>
      <c r="U127" s="26">
        <f t="shared" si="9"/>
        <v>9.6994541575263658E-4</v>
      </c>
      <c r="V127" s="26">
        <f t="shared" si="10"/>
        <v>3.2030415409050501E-3</v>
      </c>
      <c r="W127" s="26">
        <f t="shared" si="11"/>
        <v>1.1989882901201896E-8</v>
      </c>
      <c r="X127" s="138">
        <f t="shared" si="12"/>
        <v>14.770544654769378</v>
      </c>
      <c r="Z127" s="84"/>
      <c r="AS127" s="18"/>
      <c r="AT127" s="18"/>
    </row>
    <row r="128" spans="1:46" x14ac:dyDescent="0.2">
      <c r="A128" s="133">
        <f>'Raw Data'!A128</f>
        <v>29296.9375</v>
      </c>
      <c r="B128" s="84">
        <f>'Raw Data'!E128</f>
        <v>0.99861578172058074</v>
      </c>
      <c r="C128" s="84">
        <f t="shared" si="1"/>
        <v>1.3842182794192581E-3</v>
      </c>
      <c r="D128" s="97">
        <f t="shared" si="2"/>
        <v>1.6437485423514975E-4</v>
      </c>
      <c r="E128" s="87">
        <f>(2*Table!$AC$16*0.147)/A128</f>
        <v>3.72838550597089E-3</v>
      </c>
      <c r="F128" s="87">
        <f t="shared" si="3"/>
        <v>7.4567710119417801E-3</v>
      </c>
      <c r="G128" s="133">
        <f>IF((('Raw Data'!C128)/('Raw Data'!C$136)*100)&lt;0,0,('Raw Data'!C128)/('Raw Data'!C$136)*100)</f>
        <v>99.861578172058074</v>
      </c>
      <c r="H128" s="133">
        <f t="shared" si="4"/>
        <v>1.6437485423509202E-2</v>
      </c>
      <c r="I128" s="49">
        <f t="shared" si="5"/>
        <v>4.0312202200648795E-2</v>
      </c>
      <c r="J128" s="87">
        <f>'Raw Data'!F128/I128</f>
        <v>4.0775458859080701E-3</v>
      </c>
      <c r="K128" s="127">
        <f t="shared" si="6"/>
        <v>281.15447298336295</v>
      </c>
      <c r="L128" s="133">
        <f>A128*Table!$AC$9/$AC$16</f>
        <v>5519.8154716141307</v>
      </c>
      <c r="M128" s="133">
        <f>A128*Table!$AD$9/$AC$16</f>
        <v>1892.5081616962734</v>
      </c>
      <c r="N128" s="133">
        <f>ABS(A128*Table!$AE$9/$AC$16)</f>
        <v>2390.1502113101096</v>
      </c>
      <c r="O128" s="133">
        <f>($L128*(Table!$AC$10/Table!$AC$9)/(Table!$AC$12-Table!$AC$14))</f>
        <v>11840.016026628338</v>
      </c>
      <c r="P128" s="133">
        <f>$N128*(Table!$AE$10/Table!$AE$9)/(Table!$AC$12-Table!$AC$13)</f>
        <v>19623.564953284967</v>
      </c>
      <c r="Q128" s="133">
        <f>'Raw Data'!C128</f>
        <v>1.788214116151212</v>
      </c>
      <c r="R128" s="133">
        <f>'Raw Data'!C128/'Raw Data'!I$23*100</f>
        <v>25.901732213099205</v>
      </c>
      <c r="S128" s="157">
        <f t="shared" si="7"/>
        <v>1.6047780183167885E-3</v>
      </c>
      <c r="T128" s="157">
        <f t="shared" si="8"/>
        <v>1.2292983297967908E-9</v>
      </c>
      <c r="U128" s="26">
        <f t="shared" si="9"/>
        <v>8.8411057343789614E-4</v>
      </c>
      <c r="V128" s="26">
        <f t="shared" si="10"/>
        <v>2.7385175600978967E-3</v>
      </c>
      <c r="W128" s="26">
        <f t="shared" si="11"/>
        <v>2.7884740157820043E-9</v>
      </c>
      <c r="X128" s="138">
        <f t="shared" si="12"/>
        <v>14.770544657557851</v>
      </c>
      <c r="Z128" s="84"/>
      <c r="AS128" s="18"/>
      <c r="AT128" s="18"/>
    </row>
    <row r="129" spans="1:46" x14ac:dyDescent="0.2">
      <c r="A129" s="133">
        <f>'Raw Data'!A129</f>
        <v>31994.310546875</v>
      </c>
      <c r="B129" s="84">
        <f>'Raw Data'!E129</f>
        <v>0.99954640503026793</v>
      </c>
      <c r="C129" s="84">
        <f t="shared" si="1"/>
        <v>4.5359496973207403E-4</v>
      </c>
      <c r="D129" s="97">
        <f t="shared" si="2"/>
        <v>9.306233096871841E-4</v>
      </c>
      <c r="E129" s="87">
        <f>(2*Table!$AC$16*0.147)/A129</f>
        <v>3.4140531637430133E-3</v>
      </c>
      <c r="F129" s="87">
        <f t="shared" si="3"/>
        <v>6.8281063274860266E-3</v>
      </c>
      <c r="G129" s="133">
        <f>IF((('Raw Data'!C129)/('Raw Data'!C$136)*100)&lt;0,0,('Raw Data'!C129)/('Raw Data'!C$136)*100)</f>
        <v>99.954640503026795</v>
      </c>
      <c r="H129" s="133">
        <f t="shared" si="4"/>
        <v>9.306233096872063E-2</v>
      </c>
      <c r="I129" s="49">
        <f t="shared" si="5"/>
        <v>3.8250531315510372E-2</v>
      </c>
      <c r="J129" s="87">
        <f>'Raw Data'!F129/I129</f>
        <v>2.4329683214356336E-2</v>
      </c>
      <c r="K129" s="127">
        <f t="shared" si="6"/>
        <v>307.04040380577976</v>
      </c>
      <c r="L129" s="133">
        <f>A129*Table!$AC$9/$AC$16</f>
        <v>6028.0256378424465</v>
      </c>
      <c r="M129" s="133">
        <f>A129*Table!$AD$9/$AC$16</f>
        <v>2066.7516472602674</v>
      </c>
      <c r="N129" s="133">
        <f>ABS(A129*Table!$AE$9/$AC$16)</f>
        <v>2610.2116685177266</v>
      </c>
      <c r="O129" s="133">
        <f>($L129*(Table!$AC$10/Table!$AC$9)/(Table!$AC$12-Table!$AC$14))</f>
        <v>12930.127923299973</v>
      </c>
      <c r="P129" s="133">
        <f>$N129*(Table!$AE$10/Table!$AE$9)/(Table!$AC$12-Table!$AC$13)</f>
        <v>21430.309265334367</v>
      </c>
      <c r="Q129" s="133">
        <f>'Raw Data'!C129</f>
        <v>1.7898805766354782</v>
      </c>
      <c r="R129" s="133">
        <f>'Raw Data'!C129/'Raw Data'!I$23*100</f>
        <v>25.925870381351718</v>
      </c>
      <c r="S129" s="157">
        <f t="shared" si="7"/>
        <v>9.085597901627546E-3</v>
      </c>
      <c r="T129" s="157">
        <f t="shared" si="8"/>
        <v>3.3309288660632319E-10</v>
      </c>
      <c r="U129" s="26">
        <f t="shared" si="9"/>
        <v>8.1032752193136391E-4</v>
      </c>
      <c r="V129" s="26">
        <f t="shared" si="10"/>
        <v>2.3632950893744632E-3</v>
      </c>
      <c r="W129" s="26">
        <f t="shared" si="11"/>
        <v>1.3237442444558228E-8</v>
      </c>
      <c r="X129" s="138">
        <f t="shared" si="12"/>
        <v>14.770544670795294</v>
      </c>
      <c r="Z129" s="84"/>
      <c r="AS129" s="18"/>
      <c r="AT129" s="18"/>
    </row>
    <row r="130" spans="1:46" x14ac:dyDescent="0.2">
      <c r="A130" s="133">
        <f>'Raw Data'!A130</f>
        <v>34990.04296875</v>
      </c>
      <c r="B130" s="84">
        <f>'Raw Data'!E130</f>
        <v>0.99982368095220453</v>
      </c>
      <c r="C130" s="84">
        <f t="shared" si="1"/>
        <v>1.7631904779547014E-4</v>
      </c>
      <c r="D130" s="97">
        <f t="shared" si="2"/>
        <v>2.7727592193660389E-4</v>
      </c>
      <c r="E130" s="87">
        <f>(2*Table!$AC$16*0.147)/A130</f>
        <v>3.1217531582310382E-3</v>
      </c>
      <c r="F130" s="87">
        <f t="shared" si="3"/>
        <v>6.2435063164620764E-3</v>
      </c>
      <c r="G130" s="133">
        <f>IF((('Raw Data'!C130)/('Raw Data'!C$136)*100)&lt;0,0,('Raw Data'!C130)/('Raw Data'!C$136)*100)</f>
        <v>99.982368095220451</v>
      </c>
      <c r="H130" s="133">
        <f t="shared" si="4"/>
        <v>2.7727592193656392E-2</v>
      </c>
      <c r="I130" s="49">
        <f t="shared" si="5"/>
        <v>3.8871719919719716E-2</v>
      </c>
      <c r="J130" s="87">
        <f>'Raw Data'!F130/I130</f>
        <v>7.1331014554861811E-3</v>
      </c>
      <c r="K130" s="127">
        <f t="shared" si="6"/>
        <v>335.78960567274754</v>
      </c>
      <c r="L130" s="133">
        <f>A130*Table!$AC$9/$AC$16</f>
        <v>6592.4494849111607</v>
      </c>
      <c r="M130" s="133">
        <f>A130*Table!$AD$9/$AC$16</f>
        <v>2260.2683948266836</v>
      </c>
      <c r="N130" s="133">
        <f>ABS(A130*Table!$AE$9/$AC$16)</f>
        <v>2854.6143635493513</v>
      </c>
      <c r="O130" s="133">
        <f>($L130*(Table!$AC$10/Table!$AC$9)/(Table!$AC$12-Table!$AC$14))</f>
        <v>14140.818285952728</v>
      </c>
      <c r="P130" s="133">
        <f>$N130*(Table!$AE$10/Table!$AE$9)/(Table!$AC$12-Table!$AC$13)</f>
        <v>23436.899536529971</v>
      </c>
      <c r="Q130" s="133">
        <f>'Raw Data'!C130</f>
        <v>1.7903770926396829</v>
      </c>
      <c r="R130" s="133">
        <f>'Raw Data'!C130/'Raw Data'!I$23*100</f>
        <v>25.933062263165123</v>
      </c>
      <c r="S130" s="157">
        <f t="shared" si="7"/>
        <v>2.7070217437019182E-3</v>
      </c>
      <c r="T130" s="157">
        <f t="shared" si="8"/>
        <v>1.0983725040603076E-10</v>
      </c>
      <c r="U130" s="26">
        <f t="shared" si="9"/>
        <v>7.4115548489969653E-4</v>
      </c>
      <c r="V130" s="26">
        <f t="shared" si="10"/>
        <v>2.0323081910172216E-3</v>
      </c>
      <c r="W130" s="26">
        <f t="shared" si="11"/>
        <v>3.2976068509742177E-9</v>
      </c>
      <c r="X130" s="138">
        <f t="shared" si="12"/>
        <v>14.770544674092902</v>
      </c>
      <c r="Z130" s="84"/>
      <c r="AS130" s="18"/>
      <c r="AT130" s="18"/>
    </row>
    <row r="131" spans="1:46" x14ac:dyDescent="0.2">
      <c r="A131" s="133">
        <f>'Raw Data'!A131</f>
        <v>38289.6875</v>
      </c>
      <c r="B131" s="84">
        <f>'Raw Data'!E131</f>
        <v>0.99992116832250177</v>
      </c>
      <c r="C131" s="84">
        <f t="shared" si="1"/>
        <v>7.8831677498225616E-5</v>
      </c>
      <c r="D131" s="97">
        <f t="shared" si="2"/>
        <v>9.7487370297244524E-5</v>
      </c>
      <c r="E131" s="87">
        <f>(2*Table!$AC$16*0.147)/A131</f>
        <v>2.8527335759618057E-3</v>
      </c>
      <c r="F131" s="87">
        <f t="shared" si="3"/>
        <v>5.7054671519236114E-3</v>
      </c>
      <c r="G131" s="133">
        <f>IF((('Raw Data'!C131)/('Raw Data'!C$136)*100)&lt;0,0,('Raw Data'!C131)/('Raw Data'!C$136)*100)</f>
        <v>99.992116832250176</v>
      </c>
      <c r="H131" s="133">
        <f t="shared" si="4"/>
        <v>9.7487370297244524E-3</v>
      </c>
      <c r="I131" s="49">
        <f t="shared" si="5"/>
        <v>3.9137346073319979E-2</v>
      </c>
      <c r="J131" s="87">
        <f>'Raw Data'!F131/I131</f>
        <v>2.4909039594716385E-3</v>
      </c>
      <c r="K131" s="127">
        <f t="shared" si="6"/>
        <v>367.45536661503138</v>
      </c>
      <c r="L131" s="133">
        <f>A131*Table!$AC$9/$AC$16</f>
        <v>7214.1331996141298</v>
      </c>
      <c r="M131" s="133">
        <f>A131*Table!$AD$9/$AC$16</f>
        <v>2473.4170970105588</v>
      </c>
      <c r="N131" s="133">
        <f>ABS(A131*Table!$AE$9/$AC$16)</f>
        <v>3123.8113085752757</v>
      </c>
      <c r="O131" s="133">
        <f>($L131*(Table!$AC$10/Table!$AC$9)/(Table!$AC$12-Table!$AC$14))</f>
        <v>15474.331187503498</v>
      </c>
      <c r="P131" s="133">
        <f>$N131*(Table!$AE$10/Table!$AE$9)/(Table!$AC$12-Table!$AC$13)</f>
        <v>25647.05507861474</v>
      </c>
      <c r="Q131" s="133">
        <f>'Raw Data'!C131</f>
        <v>1.7905516625742894</v>
      </c>
      <c r="R131" s="133">
        <f>'Raw Data'!C131/'Raw Data'!I$23*100</f>
        <v>25.935590855047831</v>
      </c>
      <c r="S131" s="157">
        <f t="shared" si="7"/>
        <v>9.517610807594733E-4</v>
      </c>
      <c r="T131" s="157">
        <f t="shared" si="8"/>
        <v>4.4288572809136895E-11</v>
      </c>
      <c r="U131" s="26">
        <f t="shared" si="9"/>
        <v>6.773518549883133E-4</v>
      </c>
      <c r="V131" s="26">
        <f t="shared" si="10"/>
        <v>1.7453395031785041E-3</v>
      </c>
      <c r="W131" s="26">
        <f t="shared" si="11"/>
        <v>9.6818953054387551E-10</v>
      </c>
      <c r="X131" s="138">
        <f t="shared" si="12"/>
        <v>14.770544675061091</v>
      </c>
      <c r="Z131" s="84"/>
      <c r="AS131" s="18"/>
      <c r="AT131" s="18"/>
    </row>
    <row r="132" spans="1:46" x14ac:dyDescent="0.2">
      <c r="A132" s="133">
        <f>'Raw Data'!A132</f>
        <v>41888.40234375</v>
      </c>
      <c r="B132" s="84">
        <f>'Raw Data'!E132</f>
        <v>1</v>
      </c>
      <c r="C132" s="84">
        <f t="shared" si="1"/>
        <v>0</v>
      </c>
      <c r="D132" s="97">
        <f t="shared" si="2"/>
        <v>7.8831677498225616E-5</v>
      </c>
      <c r="E132" s="87">
        <f>(2*Table!$AC$16*0.147)/A132</f>
        <v>2.6076496364782664E-3</v>
      </c>
      <c r="F132" s="87">
        <f t="shared" si="3"/>
        <v>5.2152992729565329E-3</v>
      </c>
      <c r="G132" s="133">
        <f>IF((('Raw Data'!C132)/('Raw Data'!C$136)*100)&lt;0,0,('Raw Data'!C132)/('Raw Data'!C$136)*100)</f>
        <v>100</v>
      </c>
      <c r="H132" s="133">
        <f t="shared" si="4"/>
        <v>7.883167749824338E-3</v>
      </c>
      <c r="I132" s="49">
        <f t="shared" si="5"/>
        <v>3.9011974465419375E-2</v>
      </c>
      <c r="J132" s="87">
        <f>'Raw Data'!F132/I132</f>
        <v>2.0207046318074171E-3</v>
      </c>
      <c r="K132" s="127">
        <f t="shared" si="6"/>
        <v>401.99122126918883</v>
      </c>
      <c r="L132" s="133">
        <f>A132*Table!$AC$9/$AC$16</f>
        <v>7892.1645423938544</v>
      </c>
      <c r="M132" s="133">
        <f>A132*Table!$AD$9/$AC$16</f>
        <v>2705.8849859636071</v>
      </c>
      <c r="N132" s="133">
        <f>ABS(A132*Table!$AE$9/$AC$16)</f>
        <v>3417.4074922799341</v>
      </c>
      <c r="O132" s="133">
        <f>($L132*(Table!$AC$10/Table!$AC$9)/(Table!$AC$12-Table!$AC$14))</f>
        <v>16928.709872144693</v>
      </c>
      <c r="P132" s="133">
        <f>$N132*(Table!$AE$10/Table!$AE$9)/(Table!$AC$12-Table!$AC$13)</f>
        <v>28057.532777339351</v>
      </c>
      <c r="Q132" s="133">
        <f>'Raw Data'!C132</f>
        <v>1.7906928258936388</v>
      </c>
      <c r="R132" s="133">
        <f>'Raw Data'!C132/'Raw Data'!I$23*100</f>
        <v>25.93763556236955</v>
      </c>
      <c r="S132" s="157">
        <f t="shared" si="7"/>
        <v>7.6962710497807077E-4</v>
      </c>
      <c r="T132" s="157">
        <f t="shared" si="8"/>
        <v>0</v>
      </c>
      <c r="U132" s="26">
        <f t="shared" si="9"/>
        <v>6.1920804115460847E-4</v>
      </c>
      <c r="V132" s="26">
        <f t="shared" si="10"/>
        <v>1.4995762903660698E-3</v>
      </c>
      <c r="W132" s="26">
        <f t="shared" si="11"/>
        <v>6.5416732215917878E-10</v>
      </c>
      <c r="X132" s="138">
        <f t="shared" si="12"/>
        <v>14.770544675715257</v>
      </c>
      <c r="Z132" s="84"/>
      <c r="AS132" s="18"/>
      <c r="AT132" s="18"/>
    </row>
    <row r="133" spans="1:46" x14ac:dyDescent="0.2">
      <c r="A133" s="133">
        <f>'Raw Data'!A133</f>
        <v>45782.06640625</v>
      </c>
      <c r="B133" s="84">
        <f>'Raw Data'!E133</f>
        <v>1</v>
      </c>
      <c r="C133" s="84">
        <f t="shared" si="1"/>
        <v>0</v>
      </c>
      <c r="D133" s="97">
        <f t="shared" si="2"/>
        <v>0</v>
      </c>
      <c r="E133" s="87">
        <f>(2*Table!$AC$16*0.147)/A133</f>
        <v>2.3858747697203839E-3</v>
      </c>
      <c r="F133" s="87">
        <f t="shared" si="3"/>
        <v>4.7717495394407677E-3</v>
      </c>
      <c r="G133" s="133">
        <f>IF((('Raw Data'!C133)/('Raw Data'!C$136)*100)&lt;0,0,('Raw Data'!C133)/('Raw Data'!C$136)*100)</f>
        <v>100</v>
      </c>
      <c r="H133" s="133">
        <f t="shared" si="4"/>
        <v>0</v>
      </c>
      <c r="I133" s="49">
        <f t="shared" si="5"/>
        <v>3.860159462466406E-2</v>
      </c>
      <c r="J133" s="87">
        <f>'Raw Data'!F133/I133</f>
        <v>0</v>
      </c>
      <c r="K133" s="127">
        <f t="shared" si="6"/>
        <v>439.35762065705819</v>
      </c>
      <c r="L133" s="133">
        <f>A133*Table!$AC$9/$AC$16</f>
        <v>8625.76706086376</v>
      </c>
      <c r="M133" s="133">
        <f>A133*Table!$AD$9/$AC$16</f>
        <v>2957.4058494390038</v>
      </c>
      <c r="N133" s="133">
        <f>ABS(A133*Table!$AE$9/$AC$16)</f>
        <v>3735.0667009175245</v>
      </c>
      <c r="O133" s="133">
        <f>($L133*(Table!$AC$10/Table!$AC$9)/(Table!$AC$12-Table!$AC$14))</f>
        <v>18502.288847841613</v>
      </c>
      <c r="P133" s="133">
        <f>$N133*(Table!$AE$10/Table!$AE$9)/(Table!$AC$12-Table!$AC$13)</f>
        <v>30665.572257122527</v>
      </c>
      <c r="Q133" s="133">
        <f>'Raw Data'!C133</f>
        <v>1.7906928258936388</v>
      </c>
      <c r="R133" s="133">
        <f>'Raw Data'!C133/'Raw Data'!I$23*100</f>
        <v>25.93763556236955</v>
      </c>
      <c r="S133" s="157">
        <f t="shared" si="7"/>
        <v>0</v>
      </c>
      <c r="T133" s="157">
        <f t="shared" si="8"/>
        <v>0</v>
      </c>
      <c r="U133" s="26">
        <f t="shared" si="9"/>
        <v>5.665457590360893E-4</v>
      </c>
      <c r="V133" s="26">
        <f t="shared" si="10"/>
        <v>1.2903076398305671E-3</v>
      </c>
      <c r="W133" s="26">
        <f t="shared" si="11"/>
        <v>0</v>
      </c>
      <c r="X133" s="138">
        <f t="shared" si="12"/>
        <v>14.770544675715257</v>
      </c>
      <c r="Z133" s="84"/>
      <c r="AS133" s="18"/>
      <c r="AT133" s="18"/>
    </row>
    <row r="134" spans="1:46" x14ac:dyDescent="0.2">
      <c r="A134" s="133">
        <f>'Raw Data'!A134</f>
        <v>50080.21875</v>
      </c>
      <c r="B134" s="84">
        <f>'Raw Data'!E134</f>
        <v>1</v>
      </c>
      <c r="C134" s="84">
        <f t="shared" si="1"/>
        <v>0</v>
      </c>
      <c r="D134" s="97">
        <f t="shared" si="2"/>
        <v>0</v>
      </c>
      <c r="E134" s="87">
        <f>(2*Table!$AC$16*0.147)/A134</f>
        <v>2.1811062305780175E-3</v>
      </c>
      <c r="F134" s="87">
        <f t="shared" si="3"/>
        <v>4.3622124611560351E-3</v>
      </c>
      <c r="G134" s="133">
        <f>IF((('Raw Data'!C134)/('Raw Data'!C$136)*100)&lt;0,0,('Raw Data'!C134)/('Raw Data'!C$136)*100)</f>
        <v>100</v>
      </c>
      <c r="H134" s="133">
        <f t="shared" si="4"/>
        <v>0</v>
      </c>
      <c r="I134" s="49">
        <f t="shared" si="5"/>
        <v>3.8970826228993172E-2</v>
      </c>
      <c r="J134" s="87">
        <f>'Raw Data'!F134/I134</f>
        <v>0</v>
      </c>
      <c r="K134" s="127">
        <f t="shared" si="6"/>
        <v>480.60578036689947</v>
      </c>
      <c r="L134" s="133">
        <f>A134*Table!$AC$9/$AC$16</f>
        <v>9435.5789330564021</v>
      </c>
      <c r="M134" s="133">
        <f>A134*Table!$AD$9/$AC$16</f>
        <v>3235.0556341907663</v>
      </c>
      <c r="N134" s="133">
        <f>ABS(A134*Table!$AE$9/$AC$16)</f>
        <v>4085.7255277200566</v>
      </c>
      <c r="O134" s="133">
        <f>($L134*(Table!$AC$10/Table!$AC$9)/(Table!$AC$12-Table!$AC$14))</f>
        <v>20239.337050743037</v>
      </c>
      <c r="P134" s="133">
        <f>$N134*(Table!$AE$10/Table!$AE$9)/(Table!$AC$12-Table!$AC$13)</f>
        <v>33544.544562562034</v>
      </c>
      <c r="Q134" s="133">
        <f>'Raw Data'!C134</f>
        <v>1.7906928258936388</v>
      </c>
      <c r="R134" s="133">
        <f>'Raw Data'!C134/'Raw Data'!I$23*100</f>
        <v>25.93763556236955</v>
      </c>
      <c r="S134" s="157">
        <f t="shared" si="7"/>
        <v>0</v>
      </c>
      <c r="T134" s="157">
        <f t="shared" si="8"/>
        <v>0</v>
      </c>
      <c r="U134" s="26">
        <f t="shared" si="9"/>
        <v>5.1792177050683408E-4</v>
      </c>
      <c r="V134" s="26">
        <f t="shared" si="10"/>
        <v>1.1086478052003187E-3</v>
      </c>
      <c r="W134" s="26">
        <f t="shared" si="11"/>
        <v>0</v>
      </c>
      <c r="X134" s="138">
        <f t="shared" si="12"/>
        <v>14.770544675715257</v>
      </c>
      <c r="Z134" s="84"/>
      <c r="AS134" s="18"/>
      <c r="AT134" s="18"/>
    </row>
    <row r="135" spans="1:46" x14ac:dyDescent="0.2">
      <c r="A135" s="133">
        <f>'Raw Data'!A135</f>
        <v>54776.875</v>
      </c>
      <c r="B135" s="84">
        <f>'Raw Data'!E135</f>
        <v>1</v>
      </c>
      <c r="C135" s="84">
        <f t="shared" si="1"/>
        <v>0</v>
      </c>
      <c r="D135" s="97">
        <f t="shared" si="2"/>
        <v>0</v>
      </c>
      <c r="E135" s="87">
        <f>(2*Table!$AC$16*0.147)/A135</f>
        <v>1.9940947186989958E-3</v>
      </c>
      <c r="F135" s="87">
        <f t="shared" si="3"/>
        <v>3.9881894373979916E-3</v>
      </c>
      <c r="G135" s="133">
        <f>IF((('Raw Data'!C135)/('Raw Data'!C$136)*100)&lt;0,0,('Raw Data'!C135)/('Raw Data'!C$136)*100)</f>
        <v>100</v>
      </c>
      <c r="H135" s="133">
        <f t="shared" si="4"/>
        <v>0</v>
      </c>
      <c r="I135" s="49">
        <f t="shared" si="5"/>
        <v>3.8931035087347077E-2</v>
      </c>
      <c r="J135" s="87">
        <f>'Raw Data'!F135/I135</f>
        <v>0</v>
      </c>
      <c r="K135" s="127">
        <f t="shared" si="6"/>
        <v>525.67827003421598</v>
      </c>
      <c r="L135" s="133">
        <f>A135*Table!$AC$9/$AC$16</f>
        <v>10320.472647070133</v>
      </c>
      <c r="M135" s="133">
        <f>A135*Table!$AD$9/$AC$16</f>
        <v>3538.4477647097601</v>
      </c>
      <c r="N135" s="133">
        <f>ABS(A135*Table!$AE$9/$AC$16)</f>
        <v>4468.8957457125844</v>
      </c>
      <c r="O135" s="133">
        <f>($L135*(Table!$AC$10/Table!$AC$9)/(Table!$AC$12-Table!$AC$14))</f>
        <v>22137.435965401404</v>
      </c>
      <c r="P135" s="133">
        <f>$N135*(Table!$AE$10/Table!$AE$9)/(Table!$AC$12-Table!$AC$13)</f>
        <v>36690.441262008077</v>
      </c>
      <c r="Q135" s="133">
        <f>'Raw Data'!C135</f>
        <v>1.7906928258936388</v>
      </c>
      <c r="R135" s="133">
        <f>'Raw Data'!C135/'Raw Data'!I$23*100</f>
        <v>25.93763556236955</v>
      </c>
      <c r="S135" s="157">
        <f t="shared" si="7"/>
        <v>0</v>
      </c>
      <c r="T135" s="157">
        <f t="shared" si="8"/>
        <v>0</v>
      </c>
      <c r="U135" s="26">
        <f t="shared" si="9"/>
        <v>4.7351433542657461E-4</v>
      </c>
      <c r="V135" s="26">
        <f t="shared" si="10"/>
        <v>9.5271109129235971E-4</v>
      </c>
      <c r="W135" s="26">
        <f t="shared" si="11"/>
        <v>0</v>
      </c>
      <c r="X135" s="138">
        <f t="shared" si="12"/>
        <v>14.770544675715257</v>
      </c>
      <c r="AS135" s="18"/>
      <c r="AT135" s="18"/>
    </row>
    <row r="136" spans="1:46" x14ac:dyDescent="0.2">
      <c r="A136" s="133">
        <f>'Raw Data'!A136</f>
        <v>59462.98828125</v>
      </c>
      <c r="B136" s="84">
        <f>'Raw Data'!E136</f>
        <v>1</v>
      </c>
      <c r="C136" s="84">
        <f t="shared" si="1"/>
        <v>0</v>
      </c>
      <c r="D136" s="97">
        <f t="shared" si="2"/>
        <v>0</v>
      </c>
      <c r="E136" s="87">
        <f>(2*Table!$AC$16*0.147)/A136</f>
        <v>1.8369456413406956E-3</v>
      </c>
      <c r="F136" s="87">
        <f t="shared" si="3"/>
        <v>3.6738912826813912E-3</v>
      </c>
      <c r="G136" s="133">
        <f>IF((('Raw Data'!C136)/('Raw Data'!C$136)*100)&lt;0,0,('Raw Data'!C136)/('Raw Data'!C$136)*100)</f>
        <v>100</v>
      </c>
      <c r="H136" s="133">
        <f t="shared" si="4"/>
        <v>0</v>
      </c>
      <c r="I136" s="49">
        <f t="shared" si="5"/>
        <v>3.564947836973964E-2</v>
      </c>
      <c r="J136" s="87">
        <f>'Raw Data'!F136/I136</f>
        <v>0</v>
      </c>
      <c r="K136" s="127">
        <f t="shared" si="6"/>
        <v>570.64958179436769</v>
      </c>
      <c r="L136" s="133">
        <f>A136*Table!$AC$9/$AC$16</f>
        <v>11203.379967727122</v>
      </c>
      <c r="M136" s="133">
        <f>A136*Table!$AD$9/$AC$16</f>
        <v>3841.1588460778703</v>
      </c>
      <c r="N136" s="133">
        <f>ABS(A136*Table!$AE$9/$AC$16)</f>
        <v>4851.2058301506859</v>
      </c>
      <c r="O136" s="133">
        <f>($L136*(Table!$AC$10/Table!$AC$9)/(Table!$AC$12-Table!$AC$14))</f>
        <v>24031.274062048742</v>
      </c>
      <c r="P136" s="133">
        <f>$N136*(Table!$AE$10/Table!$AE$9)/(Table!$AC$12-Table!$AC$13)</f>
        <v>39829.276109611536</v>
      </c>
      <c r="Q136" s="133">
        <f>'Raw Data'!C136</f>
        <v>1.7906928258936388</v>
      </c>
      <c r="R136" s="133">
        <f>'Raw Data'!C136/'Raw Data'!I$23*100</f>
        <v>25.93763556236955</v>
      </c>
      <c r="S136" s="157">
        <f t="shared" si="7"/>
        <v>0</v>
      </c>
      <c r="T136" s="157">
        <f t="shared" si="8"/>
        <v>0</v>
      </c>
      <c r="U136" s="26">
        <f t="shared" si="9"/>
        <v>4.3619798318390705E-4</v>
      </c>
      <c r="V136" s="26">
        <f t="shared" si="10"/>
        <v>8.2923562814213433E-4</v>
      </c>
      <c r="W136" s="26">
        <f t="shared" si="11"/>
        <v>0</v>
      </c>
      <c r="X136" s="138">
        <f t="shared" si="12"/>
        <v>14.770544675715257</v>
      </c>
      <c r="AS136" s="18"/>
      <c r="AT136" s="18"/>
    </row>
    <row r="137" spans="1:46" x14ac:dyDescent="0.2">
      <c r="A137" s="133"/>
      <c r="B137" s="84"/>
      <c r="C137" s="84"/>
      <c r="D137" s="131"/>
      <c r="E137" s="131"/>
      <c r="F137" s="131"/>
      <c r="G137" s="131"/>
      <c r="H137" s="131"/>
      <c r="I137" s="131"/>
      <c r="J137" s="87"/>
      <c r="K137" s="83"/>
      <c r="L137" s="133"/>
      <c r="M137" s="133"/>
      <c r="N137" s="133"/>
      <c r="O137" s="133"/>
      <c r="P137" s="133"/>
      <c r="Q137" s="133"/>
      <c r="AS137" s="18"/>
      <c r="AT137" s="18"/>
    </row>
    <row r="138" spans="1:46" x14ac:dyDescent="0.2">
      <c r="A138" s="133"/>
      <c r="B138" s="84"/>
      <c r="C138" s="84"/>
      <c r="D138" s="131"/>
      <c r="E138" s="131"/>
      <c r="F138" s="131"/>
      <c r="G138" s="131"/>
      <c r="H138" s="131"/>
      <c r="I138" s="131"/>
      <c r="J138" s="87"/>
      <c r="K138" s="83"/>
      <c r="L138" s="133"/>
      <c r="M138" s="133"/>
      <c r="N138" s="133"/>
      <c r="O138" s="133"/>
      <c r="P138" s="133"/>
      <c r="Q138" s="133"/>
      <c r="AS138" s="18"/>
      <c r="AT138" s="18"/>
    </row>
    <row r="139" spans="1:46" x14ac:dyDescent="0.2">
      <c r="A139" s="133"/>
      <c r="B139" s="84"/>
      <c r="C139" s="84"/>
      <c r="D139" s="131"/>
      <c r="E139" s="131"/>
      <c r="F139" s="131"/>
      <c r="G139" s="131"/>
      <c r="H139" s="131"/>
      <c r="I139" s="131"/>
      <c r="J139" s="87"/>
      <c r="K139" s="83"/>
      <c r="L139" s="133"/>
      <c r="M139" s="133"/>
      <c r="N139" s="133"/>
      <c r="O139" s="133"/>
      <c r="P139" s="133"/>
      <c r="Q139" s="133"/>
      <c r="AS139" s="18"/>
      <c r="AT139" s="18"/>
    </row>
    <row r="140" spans="1:46" x14ac:dyDescent="0.2">
      <c r="A140" s="133"/>
      <c r="B140" s="84"/>
      <c r="C140" s="84"/>
      <c r="D140" s="131"/>
      <c r="E140" s="131"/>
      <c r="F140" s="131"/>
      <c r="G140" s="131"/>
      <c r="H140" s="131"/>
      <c r="I140" s="131"/>
      <c r="J140" s="87"/>
      <c r="K140" s="83"/>
      <c r="L140" s="133"/>
      <c r="M140" s="133"/>
      <c r="N140" s="133"/>
      <c r="O140" s="133"/>
      <c r="P140" s="133"/>
      <c r="Q140" s="133"/>
      <c r="AS140" s="18"/>
      <c r="AT140" s="18"/>
    </row>
    <row r="141" spans="1:46" x14ac:dyDescent="0.2">
      <c r="A141" s="133"/>
      <c r="B141" s="84"/>
      <c r="C141" s="84"/>
      <c r="D141" s="131"/>
      <c r="E141" s="131"/>
      <c r="F141" s="131"/>
      <c r="G141" s="131"/>
      <c r="H141" s="131"/>
      <c r="I141" s="131"/>
      <c r="J141" s="87"/>
      <c r="K141" s="83"/>
      <c r="L141" s="133"/>
      <c r="M141" s="133"/>
      <c r="N141" s="133"/>
      <c r="O141" s="133"/>
      <c r="P141" s="133"/>
      <c r="Q141" s="133"/>
      <c r="AS141" s="18"/>
      <c r="AT141" s="18"/>
    </row>
    <row r="142" spans="1:46" x14ac:dyDescent="0.2">
      <c r="A142" s="133"/>
      <c r="B142" s="84"/>
      <c r="C142" s="84"/>
      <c r="D142" s="131"/>
      <c r="E142" s="131"/>
      <c r="F142" s="131"/>
      <c r="G142" s="131"/>
      <c r="H142" s="131"/>
      <c r="I142" s="131"/>
      <c r="J142" s="87"/>
      <c r="K142" s="83"/>
      <c r="L142" s="133"/>
      <c r="M142" s="133"/>
      <c r="N142" s="133"/>
      <c r="O142" s="133"/>
      <c r="P142" s="133"/>
      <c r="Q142" s="133"/>
      <c r="AS142" s="18"/>
      <c r="AT142" s="18"/>
    </row>
    <row r="143" spans="1:46" x14ac:dyDescent="0.2">
      <c r="J143" s="87"/>
      <c r="AS143" s="18"/>
      <c r="AT143" s="18"/>
    </row>
    <row r="144" spans="1:46" x14ac:dyDescent="0.2">
      <c r="J144" s="87"/>
      <c r="AS144" s="18"/>
      <c r="AT144" s="18"/>
    </row>
    <row r="145" spans="10:46" x14ac:dyDescent="0.2">
      <c r="J145" s="87"/>
      <c r="AS145" s="18"/>
      <c r="AT145" s="18"/>
    </row>
    <row r="146" spans="10:46" x14ac:dyDescent="0.2">
      <c r="J146" s="87"/>
      <c r="AS146" s="18"/>
      <c r="AT146" s="18"/>
    </row>
    <row r="147" spans="10:46" x14ac:dyDescent="0.2">
      <c r="J147" s="87"/>
      <c r="AS147" s="18"/>
      <c r="AT147" s="18"/>
    </row>
    <row r="148" spans="10:46" x14ac:dyDescent="0.2">
      <c r="J148" s="87"/>
      <c r="AS148" s="18"/>
      <c r="AT148" s="18"/>
    </row>
    <row r="149" spans="10:46" x14ac:dyDescent="0.2">
      <c r="J149" s="87"/>
      <c r="AS149" s="18"/>
      <c r="AT149" s="18"/>
    </row>
    <row r="150" spans="10:46" x14ac:dyDescent="0.2">
      <c r="J150" s="87"/>
      <c r="AS150" s="18"/>
      <c r="AT150" s="18"/>
    </row>
    <row r="151" spans="10:46" x14ac:dyDescent="0.2">
      <c r="J151" s="87"/>
      <c r="AS151" s="18"/>
      <c r="AT151" s="18"/>
    </row>
    <row r="152" spans="10:46" x14ac:dyDescent="0.2">
      <c r="J152" s="87"/>
      <c r="AS152" s="18"/>
      <c r="AT152" s="18"/>
    </row>
    <row r="153" spans="10:46" x14ac:dyDescent="0.2">
      <c r="J153" s="87"/>
      <c r="AS153" s="18"/>
      <c r="AT153" s="18"/>
    </row>
    <row r="154" spans="10:46" x14ac:dyDescent="0.2">
      <c r="J154" s="87"/>
      <c r="AS154" s="18"/>
      <c r="AT154" s="18"/>
    </row>
    <row r="155" spans="10:46" x14ac:dyDescent="0.2">
      <c r="J155" s="87"/>
      <c r="AS155" s="18"/>
      <c r="AT155" s="18"/>
    </row>
    <row r="156" spans="10:46" x14ac:dyDescent="0.2">
      <c r="J156" s="87"/>
      <c r="AS156" s="18"/>
      <c r="AT156" s="18"/>
    </row>
    <row r="157" spans="10:46" x14ac:dyDescent="0.2">
      <c r="J157" s="87"/>
      <c r="AS157" s="18"/>
      <c r="AT157" s="18"/>
    </row>
    <row r="158" spans="10:46" x14ac:dyDescent="0.2">
      <c r="J158" s="87"/>
      <c r="AS158" s="18"/>
      <c r="AT158" s="18"/>
    </row>
    <row r="159" spans="10:46" x14ac:dyDescent="0.2">
      <c r="J159" s="87"/>
      <c r="AS159" s="18"/>
      <c r="AT159" s="18"/>
    </row>
    <row r="160" spans="10:46" x14ac:dyDescent="0.2">
      <c r="J160" s="87"/>
      <c r="AS160" s="18"/>
      <c r="AT160" s="18"/>
    </row>
    <row r="161" spans="10:46" x14ac:dyDescent="0.2">
      <c r="J161" s="87"/>
      <c r="AS161" s="18"/>
      <c r="AT161" s="18"/>
    </row>
    <row r="162" spans="10:46" x14ac:dyDescent="0.2">
      <c r="J162" s="87"/>
    </row>
    <row r="163" spans="10:46" x14ac:dyDescent="0.2">
      <c r="J163" s="87"/>
    </row>
    <row r="164" spans="10:46" x14ac:dyDescent="0.2">
      <c r="J164" s="87"/>
    </row>
    <row r="165" spans="10:46" x14ac:dyDescent="0.2">
      <c r="J165" s="87"/>
    </row>
    <row r="166" spans="10:46" x14ac:dyDescent="0.2">
      <c r="J166" s="87"/>
    </row>
    <row r="167" spans="10:46" x14ac:dyDescent="0.2">
      <c r="J167" s="87"/>
    </row>
    <row r="168" spans="10:46" x14ac:dyDescent="0.2">
      <c r="J168" s="87"/>
    </row>
    <row r="169" spans="10:46" x14ac:dyDescent="0.2">
      <c r="J169" s="87"/>
    </row>
    <row r="170" spans="10:46" x14ac:dyDescent="0.2">
      <c r="J170" s="87"/>
    </row>
    <row r="171" spans="10:46" x14ac:dyDescent="0.2">
      <c r="J171" s="87"/>
    </row>
    <row r="172" spans="10:46" x14ac:dyDescent="0.2">
      <c r="J172" s="87"/>
    </row>
    <row r="173" spans="10:46" x14ac:dyDescent="0.2">
      <c r="J173" s="87"/>
    </row>
    <row r="174" spans="10:46" x14ac:dyDescent="0.2">
      <c r="J174" s="87"/>
    </row>
    <row r="175" spans="10:46" x14ac:dyDescent="0.2">
      <c r="J175" s="87"/>
    </row>
    <row r="176" spans="10:46" x14ac:dyDescent="0.2">
      <c r="J176" s="87"/>
    </row>
    <row r="177" spans="10:10" x14ac:dyDescent="0.2">
      <c r="J177" s="87"/>
    </row>
    <row r="178" spans="10:10" x14ac:dyDescent="0.2">
      <c r="J178" s="87"/>
    </row>
    <row r="179" spans="10:10" x14ac:dyDescent="0.2">
      <c r="J179" s="87"/>
    </row>
    <row r="180" spans="10:10" x14ac:dyDescent="0.2">
      <c r="J180" s="87"/>
    </row>
    <row r="181" spans="10:10" x14ac:dyDescent="0.2">
      <c r="J181" s="87"/>
    </row>
    <row r="182" spans="10:10" x14ac:dyDescent="0.2">
      <c r="J182" s="87"/>
    </row>
    <row r="183" spans="10:10" x14ac:dyDescent="0.2">
      <c r="J183" s="87"/>
    </row>
    <row r="184" spans="10:10" x14ac:dyDescent="0.2">
      <c r="J184" s="87"/>
    </row>
    <row r="185" spans="10:10" x14ac:dyDescent="0.2">
      <c r="J185" s="87"/>
    </row>
    <row r="186" spans="10:10" x14ac:dyDescent="0.2">
      <c r="J186" s="87"/>
    </row>
    <row r="187" spans="10:10" x14ac:dyDescent="0.2">
      <c r="J187" s="87"/>
    </row>
    <row r="188" spans="10:10" x14ac:dyDescent="0.2">
      <c r="J188" s="87"/>
    </row>
    <row r="189" spans="10:10" x14ac:dyDescent="0.2">
      <c r="J189" s="87"/>
    </row>
    <row r="190" spans="10:10" x14ac:dyDescent="0.2">
      <c r="J190" s="87"/>
    </row>
  </sheetData>
  <mergeCells count="3">
    <mergeCell ref="AR4:AT4"/>
    <mergeCell ref="AN4:AP4"/>
    <mergeCell ref="A5:P5"/>
  </mergeCells>
  <printOptions horizontalCentered="1"/>
  <pageMargins left="0.5" right="0.5" top="0.1" bottom="0.25" header="0" footer="0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Data</vt:lpstr>
      <vt:lpstr>Compilation</vt:lpstr>
      <vt:lpstr>Compilation 2</vt:lpstr>
      <vt:lpstr>Table</vt:lpstr>
      <vt:lpstr>Compilation!Print_Area</vt:lpstr>
      <vt:lpstr>'Compilation 2'!Print_Area</vt:lpstr>
      <vt:lpstr>'Raw Data'!Print_Area</vt:lpstr>
      <vt:lpstr>Table!Print_Area</vt:lpstr>
      <vt:lpstr>'Raw Data'!Print_Titles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Kristi D</dc:creator>
  <cp:lastModifiedBy>Morris, Kristi D</cp:lastModifiedBy>
  <dcterms:created xsi:type="dcterms:W3CDTF">2016-03-31T19:39:22Z</dcterms:created>
  <dcterms:modified xsi:type="dcterms:W3CDTF">2016-04-04T20:23:12Z</dcterms:modified>
</cp:coreProperties>
</file>