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600" yWindow="120" windowWidth="11400" windowHeight="10005" tabRatio="835"/>
  </bookViews>
  <sheets>
    <sheet name="Raw Data" sheetId="3" r:id="rId1"/>
    <sheet name="Compilation" sheetId="4" r:id="rId2"/>
    <sheet name="Compilation 2" sheetId="5" r:id="rId3"/>
    <sheet name="Table" sheetId="6" r:id="rId4"/>
  </sheets>
  <definedNames>
    <definedName name="_xlnm.Print_Area" localSheetId="1">Compilation!$A$1:$O$44</definedName>
    <definedName name="_xlnm.Print_Area" localSheetId="2">'Compilation 2'!$A$1:$O$54</definedName>
    <definedName name="_xlnm.Print_Area" localSheetId="0">'Raw Data'!$A$1:$M$162</definedName>
    <definedName name="_xlnm.Print_Area" localSheetId="3">Table!$A$1:$X$138</definedName>
    <definedName name="_xlnm.Print_Titles" localSheetId="0">'Raw Data'!$1:$17</definedName>
    <definedName name="_xlnm.Print_Titles" localSheetId="3">Table!$1:$16</definedName>
  </definedNames>
  <calcPr calcId="145621"/>
</workbook>
</file>

<file path=xl/calcChain.xml><?xml version="1.0" encoding="utf-8"?>
<calcChain xmlns="http://schemas.openxmlformats.org/spreadsheetml/2006/main">
  <c r="A64" i="6" l="1"/>
  <c r="A51" i="6"/>
  <c r="AC16" i="6"/>
  <c r="AE10" i="6"/>
  <c r="AC10" i="6"/>
  <c r="AE9" i="6"/>
  <c r="AD9" i="6"/>
  <c r="AC9" i="6"/>
  <c r="C4" i="4"/>
  <c r="K3" i="4"/>
  <c r="C2" i="4"/>
  <c r="K6" i="5"/>
  <c r="K5" i="5"/>
  <c r="K4" i="5"/>
  <c r="K2" i="5"/>
  <c r="K6" i="4"/>
  <c r="K5" i="4"/>
  <c r="K4" i="4"/>
  <c r="K2" i="4"/>
  <c r="I11" i="3"/>
  <c r="I10" i="3"/>
  <c r="I9" i="3"/>
  <c r="I7" i="3"/>
  <c r="C2" i="5" l="1"/>
  <c r="K3" i="5"/>
  <c r="A7" i="3"/>
  <c r="C4" i="5"/>
  <c r="A9" i="3"/>
  <c r="A8" i="3"/>
  <c r="C3" i="4"/>
  <c r="C3" i="5"/>
  <c r="I8" i="3"/>
  <c r="A33" i="6"/>
  <c r="E33" i="6" s="1"/>
  <c r="A69" i="6"/>
  <c r="E69" i="6" s="1"/>
  <c r="A26" i="6"/>
  <c r="A52" i="6"/>
  <c r="A68" i="6"/>
  <c r="E68" i="6" s="1"/>
  <c r="A84" i="6"/>
  <c r="A100" i="6"/>
  <c r="A116" i="6"/>
  <c r="A132" i="6"/>
  <c r="A92" i="6"/>
  <c r="E92" i="6" s="1"/>
  <c r="A104" i="6"/>
  <c r="A53" i="6"/>
  <c r="L51" i="6"/>
  <c r="O51" i="6" s="1"/>
  <c r="N51" i="6"/>
  <c r="P51" i="6" s="1"/>
  <c r="M51" i="6"/>
  <c r="A75" i="6"/>
  <c r="E75" i="6" s="1"/>
  <c r="A107" i="6"/>
  <c r="A49" i="6"/>
  <c r="E49" i="6" s="1"/>
  <c r="A65" i="6"/>
  <c r="E65" i="6" s="1"/>
  <c r="A81" i="6"/>
  <c r="E81" i="6" s="1"/>
  <c r="A97" i="6"/>
  <c r="A113" i="6"/>
  <c r="A129" i="6"/>
  <c r="E129" i="6" s="1"/>
  <c r="A67" i="6"/>
  <c r="A95" i="6"/>
  <c r="O3" i="5"/>
  <c r="O3" i="4"/>
  <c r="M8" i="3"/>
  <c r="A24" i="6"/>
  <c r="E24" i="6" s="1"/>
  <c r="A44" i="6"/>
  <c r="A60" i="6"/>
  <c r="A76" i="6"/>
  <c r="E76" i="6" s="1"/>
  <c r="A108" i="6"/>
  <c r="E108" i="6" s="1"/>
  <c r="A124" i="6"/>
  <c r="E124" i="6" s="1"/>
  <c r="A59" i="6"/>
  <c r="A28" i="6"/>
  <c r="A20" i="6"/>
  <c r="E20" i="6" s="1"/>
  <c r="A45" i="6"/>
  <c r="A61" i="6"/>
  <c r="A77" i="6"/>
  <c r="E77" i="6" s="1"/>
  <c r="A98" i="6"/>
  <c r="E98" i="6" s="1"/>
  <c r="A37" i="6"/>
  <c r="E37" i="6" s="1"/>
  <c r="A83" i="6"/>
  <c r="A25" i="6"/>
  <c r="E25" i="6" s="1"/>
  <c r="A88" i="6"/>
  <c r="A43" i="6"/>
  <c r="A18" i="6"/>
  <c r="A36" i="6"/>
  <c r="E36" i="6" s="1"/>
  <c r="A41" i="6"/>
  <c r="A57" i="6"/>
  <c r="E57" i="6" s="1"/>
  <c r="A73" i="6"/>
  <c r="E73" i="6" s="1"/>
  <c r="A89" i="6"/>
  <c r="A105" i="6"/>
  <c r="E105" i="6" s="1"/>
  <c r="A121" i="6"/>
  <c r="L64" i="6"/>
  <c r="O64" i="6" s="1"/>
  <c r="N64" i="6"/>
  <c r="P64" i="6" s="1"/>
  <c r="M64" i="6"/>
  <c r="A87" i="6"/>
  <c r="A103" i="6"/>
  <c r="A111" i="6"/>
  <c r="A119" i="6"/>
  <c r="A27" i="6"/>
  <c r="A29" i="6"/>
  <c r="E29" i="6" s="1"/>
  <c r="A34" i="6"/>
  <c r="E34" i="6" s="1"/>
  <c r="A42" i="6"/>
  <c r="A50" i="6"/>
  <c r="E50" i="6" s="1"/>
  <c r="A58" i="6"/>
  <c r="A66" i="6"/>
  <c r="A74" i="6"/>
  <c r="A82" i="6"/>
  <c r="A90" i="6"/>
  <c r="A106" i="6"/>
  <c r="E106" i="6" s="1"/>
  <c r="A114" i="6"/>
  <c r="A122" i="6"/>
  <c r="A130" i="6"/>
  <c r="A31" i="6"/>
  <c r="A56" i="6"/>
  <c r="E56" i="6" s="1"/>
  <c r="A85" i="6"/>
  <c r="A93" i="6"/>
  <c r="E93" i="6" s="1"/>
  <c r="A101" i="6"/>
  <c r="E101" i="6" s="1"/>
  <c r="A109" i="6"/>
  <c r="A117" i="6"/>
  <c r="E117" i="6" s="1"/>
  <c r="A125" i="6"/>
  <c r="A133" i="6"/>
  <c r="E133" i="6" s="1"/>
  <c r="A19" i="6"/>
  <c r="A32" i="6"/>
  <c r="A40" i="6"/>
  <c r="E40" i="6" s="1"/>
  <c r="A72" i="6"/>
  <c r="E72" i="6" s="1"/>
  <c r="A80" i="6"/>
  <c r="A96" i="6"/>
  <c r="A112" i="6"/>
  <c r="E112" i="6" s="1"/>
  <c r="A120" i="6"/>
  <c r="A136" i="6"/>
  <c r="E136" i="6" s="1"/>
  <c r="A30" i="6"/>
  <c r="A39" i="6"/>
  <c r="E39" i="6" s="1"/>
  <c r="A47" i="6"/>
  <c r="E47" i="6" s="1"/>
  <c r="A55" i="6"/>
  <c r="E55" i="6" s="1"/>
  <c r="A63" i="6"/>
  <c r="E63" i="6" s="1"/>
  <c r="A71" i="6"/>
  <c r="A79" i="6"/>
  <c r="C5" i="4"/>
  <c r="C5" i="5"/>
  <c r="A10" i="3"/>
  <c r="A48" i="6"/>
  <c r="A23" i="6"/>
  <c r="A35" i="6"/>
  <c r="E35" i="6" s="1"/>
  <c r="A99" i="6"/>
  <c r="A115" i="6"/>
  <c r="A123" i="6"/>
  <c r="E123" i="6" s="1"/>
  <c r="A91" i="6"/>
  <c r="E91" i="6" s="1"/>
  <c r="A94" i="6"/>
  <c r="E94" i="6" s="1"/>
  <c r="A128" i="6"/>
  <c r="E128" i="6" s="1"/>
  <c r="A21" i="6"/>
  <c r="A38" i="6"/>
  <c r="E38" i="6" s="1"/>
  <c r="A46" i="6"/>
  <c r="A54" i="6"/>
  <c r="A62" i="6"/>
  <c r="E62" i="6" s="1"/>
  <c r="A70" i="6"/>
  <c r="E70" i="6" s="1"/>
  <c r="A78" i="6"/>
  <c r="A86" i="6"/>
  <c r="E86" i="6" s="1"/>
  <c r="A102" i="6"/>
  <c r="A110" i="6"/>
  <c r="E110" i="6" s="1"/>
  <c r="A118" i="6"/>
  <c r="E118" i="6" s="1"/>
  <c r="A22" i="6"/>
  <c r="A126" i="6"/>
  <c r="A127" i="6"/>
  <c r="A135" i="6"/>
  <c r="E135" i="6" s="1"/>
  <c r="A134" i="6"/>
  <c r="A131" i="6"/>
  <c r="E131" i="6" s="1"/>
  <c r="E67" i="6"/>
  <c r="E43" i="6"/>
  <c r="E54" i="6"/>
  <c r="E58" i="6"/>
  <c r="E60" i="6"/>
  <c r="E64" i="6"/>
  <c r="E30" i="6"/>
  <c r="E41" i="6"/>
  <c r="E51" i="6"/>
  <c r="E59" i="6"/>
  <c r="E61" i="6"/>
  <c r="E134" i="6"/>
  <c r="E132" i="6"/>
  <c r="E130" i="6"/>
  <c r="E120" i="6"/>
  <c r="E114" i="6"/>
  <c r="E104" i="6"/>
  <c r="E103" i="6"/>
  <c r="E102" i="6"/>
  <c r="E100" i="6"/>
  <c r="E99" i="6"/>
  <c r="E88" i="6"/>
  <c r="E84" i="6"/>
  <c r="E83" i="6"/>
  <c r="E82" i="6"/>
  <c r="E80" i="6"/>
  <c r="E79" i="6"/>
  <c r="E71" i="6"/>
  <c r="E125" i="6"/>
  <c r="E119" i="6"/>
  <c r="E113" i="6"/>
  <c r="E109" i="6"/>
  <c r="O2" i="4" l="1"/>
  <c r="M7" i="3"/>
  <c r="O2" i="5"/>
  <c r="I109" i="6"/>
  <c r="F108" i="6"/>
  <c r="F70" i="6"/>
  <c r="I71" i="6"/>
  <c r="F73" i="6"/>
  <c r="AN18" i="6"/>
  <c r="F131" i="6"/>
  <c r="I132" i="6"/>
  <c r="F128" i="6"/>
  <c r="I129" i="6"/>
  <c r="F57" i="6"/>
  <c r="I58" i="6"/>
  <c r="F86" i="6"/>
  <c r="F94" i="6"/>
  <c r="F63" i="6"/>
  <c r="I64" i="6"/>
  <c r="F117" i="6"/>
  <c r="I118" i="6"/>
  <c r="AN12" i="6"/>
  <c r="F47" i="6"/>
  <c r="AN22" i="6"/>
  <c r="I38" i="6"/>
  <c r="F37" i="6"/>
  <c r="I34" i="6"/>
  <c r="F33" i="6"/>
  <c r="I37" i="6"/>
  <c r="F36" i="6"/>
  <c r="F84" i="6"/>
  <c r="F129" i="6"/>
  <c r="I130" i="6"/>
  <c r="F30" i="6"/>
  <c r="L48" i="6"/>
  <c r="O48" i="6" s="1"/>
  <c r="N48" i="6"/>
  <c r="P48" i="6" s="1"/>
  <c r="M48" i="6"/>
  <c r="N96" i="6"/>
  <c r="P96" i="6" s="1"/>
  <c r="M96" i="6"/>
  <c r="L96" i="6"/>
  <c r="O96" i="6" s="1"/>
  <c r="N85" i="6"/>
  <c r="P85" i="6" s="1"/>
  <c r="M85" i="6"/>
  <c r="L85" i="6"/>
  <c r="O85" i="6" s="1"/>
  <c r="L121" i="6"/>
  <c r="O121" i="6" s="1"/>
  <c r="N121" i="6"/>
  <c r="P121" i="6" s="1"/>
  <c r="M121" i="6"/>
  <c r="L43" i="6"/>
  <c r="O43" i="6" s="1"/>
  <c r="N43" i="6"/>
  <c r="P43" i="6" s="1"/>
  <c r="M43" i="6"/>
  <c r="M28" i="6"/>
  <c r="L28" i="6"/>
  <c r="O28" i="6" s="1"/>
  <c r="N28" i="6"/>
  <c r="P28" i="6" s="1"/>
  <c r="N76" i="6"/>
  <c r="P76" i="6" s="1"/>
  <c r="M76" i="6"/>
  <c r="L76" i="6"/>
  <c r="O76" i="6" s="1"/>
  <c r="N95" i="6"/>
  <c r="P95" i="6" s="1"/>
  <c r="M95" i="6"/>
  <c r="L95" i="6"/>
  <c r="O95" i="6" s="1"/>
  <c r="N97" i="6"/>
  <c r="P97" i="6" s="1"/>
  <c r="M97" i="6"/>
  <c r="L97" i="6"/>
  <c r="O97" i="6" s="1"/>
  <c r="L107" i="6"/>
  <c r="O107" i="6" s="1"/>
  <c r="M107" i="6"/>
  <c r="N107" i="6"/>
  <c r="P107" i="6" s="1"/>
  <c r="L53" i="6"/>
  <c r="O53" i="6" s="1"/>
  <c r="N53" i="6"/>
  <c r="P53" i="6" s="1"/>
  <c r="M53" i="6"/>
  <c r="L116" i="6"/>
  <c r="O116" i="6" s="1"/>
  <c r="N116" i="6"/>
  <c r="P116" i="6" s="1"/>
  <c r="M116" i="6"/>
  <c r="L52" i="6"/>
  <c r="O52" i="6" s="1"/>
  <c r="N52" i="6"/>
  <c r="P52" i="6" s="1"/>
  <c r="M52" i="6"/>
  <c r="F113" i="6"/>
  <c r="I114" i="6"/>
  <c r="F69" i="6"/>
  <c r="I70" i="6"/>
  <c r="F77" i="6"/>
  <c r="E85" i="6"/>
  <c r="I85" i="6" s="1"/>
  <c r="F93" i="6"/>
  <c r="I94" i="6"/>
  <c r="F101" i="6"/>
  <c r="I102" i="6"/>
  <c r="F120" i="6"/>
  <c r="AN11" i="6"/>
  <c r="F132" i="6"/>
  <c r="I133" i="6"/>
  <c r="F65" i="6"/>
  <c r="F49" i="6"/>
  <c r="I50" i="6"/>
  <c r="I30" i="6"/>
  <c r="AN25" i="6"/>
  <c r="F29" i="6"/>
  <c r="F58" i="6"/>
  <c r="I59" i="6"/>
  <c r="F25" i="6"/>
  <c r="N127" i="6"/>
  <c r="P127" i="6" s="1"/>
  <c r="M127" i="6"/>
  <c r="L127" i="6"/>
  <c r="O127" i="6" s="1"/>
  <c r="N78" i="6"/>
  <c r="P78" i="6" s="1"/>
  <c r="M78" i="6"/>
  <c r="L78" i="6"/>
  <c r="O78" i="6" s="1"/>
  <c r="L115" i="6"/>
  <c r="O115" i="6" s="1"/>
  <c r="N115" i="6"/>
  <c r="P115" i="6" s="1"/>
  <c r="M115" i="6"/>
  <c r="L122" i="6"/>
  <c r="O122" i="6" s="1"/>
  <c r="N122" i="6"/>
  <c r="P122" i="6" s="1"/>
  <c r="M122" i="6"/>
  <c r="N74" i="6"/>
  <c r="P74" i="6" s="1"/>
  <c r="M74" i="6"/>
  <c r="L74" i="6"/>
  <c r="O74" i="6" s="1"/>
  <c r="M29" i="6"/>
  <c r="L29" i="6"/>
  <c r="O29" i="6" s="1"/>
  <c r="N29" i="6"/>
  <c r="P29" i="6" s="1"/>
  <c r="L111" i="6"/>
  <c r="O111" i="6" s="1"/>
  <c r="M111" i="6"/>
  <c r="N111" i="6"/>
  <c r="P111" i="6" s="1"/>
  <c r="L45" i="6"/>
  <c r="O45" i="6" s="1"/>
  <c r="M45" i="6"/>
  <c r="N45" i="6"/>
  <c r="P45" i="6" s="1"/>
  <c r="E115" i="6"/>
  <c r="E78" i="6"/>
  <c r="I78" i="6" s="1"/>
  <c r="F102" i="6"/>
  <c r="I103" i="6"/>
  <c r="E122" i="6"/>
  <c r="F134" i="6"/>
  <c r="I135" i="6"/>
  <c r="E28" i="6"/>
  <c r="F56" i="6"/>
  <c r="I57" i="6"/>
  <c r="I68" i="6"/>
  <c r="F67" i="6"/>
  <c r="N102" i="6"/>
  <c r="P102" i="6" s="1"/>
  <c r="M102" i="6"/>
  <c r="L102" i="6"/>
  <c r="O102" i="6" s="1"/>
  <c r="L54" i="6"/>
  <c r="O54" i="6" s="1"/>
  <c r="N54" i="6"/>
  <c r="P54" i="6" s="1"/>
  <c r="M54" i="6"/>
  <c r="N91" i="6"/>
  <c r="P91" i="6" s="1"/>
  <c r="M91" i="6"/>
  <c r="L91" i="6"/>
  <c r="O91" i="6" s="1"/>
  <c r="L23" i="6"/>
  <c r="O23" i="6" s="1"/>
  <c r="N23" i="6"/>
  <c r="P23" i="6" s="1"/>
  <c r="E23" i="6"/>
  <c r="M23" i="6"/>
  <c r="L55" i="6"/>
  <c r="O55" i="6" s="1"/>
  <c r="N55" i="6"/>
  <c r="P55" i="6" s="1"/>
  <c r="M55" i="6"/>
  <c r="N136" i="6"/>
  <c r="P136" i="6" s="1"/>
  <c r="M136" i="6"/>
  <c r="L136" i="6"/>
  <c r="O136" i="6" s="1"/>
  <c r="N80" i="6"/>
  <c r="P80" i="6" s="1"/>
  <c r="M80" i="6"/>
  <c r="L80" i="6"/>
  <c r="O80" i="6" s="1"/>
  <c r="L19" i="6"/>
  <c r="O19" i="6" s="1"/>
  <c r="M19" i="6"/>
  <c r="N19" i="6"/>
  <c r="P19" i="6" s="1"/>
  <c r="E19" i="6"/>
  <c r="L109" i="6"/>
  <c r="O109" i="6" s="1"/>
  <c r="N109" i="6"/>
  <c r="P109" i="6" s="1"/>
  <c r="M109" i="6"/>
  <c r="L56" i="6"/>
  <c r="O56" i="6" s="1"/>
  <c r="N56" i="6"/>
  <c r="P56" i="6" s="1"/>
  <c r="M56" i="6"/>
  <c r="L50" i="6"/>
  <c r="O50" i="6" s="1"/>
  <c r="N50" i="6"/>
  <c r="P50" i="6" s="1"/>
  <c r="M50" i="6"/>
  <c r="L105" i="6"/>
  <c r="O105" i="6" s="1"/>
  <c r="M105" i="6"/>
  <c r="N105" i="6"/>
  <c r="P105" i="6" s="1"/>
  <c r="L41" i="6"/>
  <c r="O41" i="6" s="1"/>
  <c r="N41" i="6"/>
  <c r="P41" i="6" s="1"/>
  <c r="M41" i="6"/>
  <c r="N88" i="6"/>
  <c r="P88" i="6" s="1"/>
  <c r="M88" i="6"/>
  <c r="L88" i="6"/>
  <c r="O88" i="6" s="1"/>
  <c r="N98" i="6"/>
  <c r="P98" i="6" s="1"/>
  <c r="M98" i="6"/>
  <c r="L98" i="6"/>
  <c r="O98" i="6" s="1"/>
  <c r="L59" i="6"/>
  <c r="O59" i="6" s="1"/>
  <c r="N59" i="6"/>
  <c r="P59" i="6" s="1"/>
  <c r="M59" i="6"/>
  <c r="L60" i="6"/>
  <c r="O60" i="6" s="1"/>
  <c r="N60" i="6"/>
  <c r="P60" i="6" s="1"/>
  <c r="M60" i="6"/>
  <c r="L67" i="6"/>
  <c r="O67" i="6" s="1"/>
  <c r="N67" i="6"/>
  <c r="P67" i="6" s="1"/>
  <c r="M67" i="6"/>
  <c r="N81" i="6"/>
  <c r="P81" i="6" s="1"/>
  <c r="M81" i="6"/>
  <c r="L81" i="6"/>
  <c r="O81" i="6" s="1"/>
  <c r="N75" i="6"/>
  <c r="P75" i="6" s="1"/>
  <c r="M75" i="6"/>
  <c r="L75" i="6"/>
  <c r="O75" i="6" s="1"/>
  <c r="L104" i="6"/>
  <c r="O104" i="6" s="1"/>
  <c r="N104" i="6"/>
  <c r="P104" i="6" s="1"/>
  <c r="M104" i="6"/>
  <c r="N100" i="6"/>
  <c r="P100" i="6" s="1"/>
  <c r="M100" i="6"/>
  <c r="L100" i="6"/>
  <c r="O100" i="6" s="1"/>
  <c r="N26" i="6"/>
  <c r="P26" i="6" s="1"/>
  <c r="M26" i="6"/>
  <c r="E26" i="6"/>
  <c r="I26" i="6" s="1"/>
  <c r="L26" i="6"/>
  <c r="O26" i="6" s="1"/>
  <c r="F100" i="6"/>
  <c r="I101" i="6"/>
  <c r="F43" i="6"/>
  <c r="M30" i="6"/>
  <c r="L30" i="6"/>
  <c r="O30" i="6" s="1"/>
  <c r="N30" i="6"/>
  <c r="P30" i="6" s="1"/>
  <c r="F103" i="6"/>
  <c r="I104" i="6"/>
  <c r="I36" i="6"/>
  <c r="F35" i="6"/>
  <c r="M31" i="6"/>
  <c r="L31" i="6"/>
  <c r="O31" i="6" s="1"/>
  <c r="N31" i="6"/>
  <c r="P31" i="6" s="1"/>
  <c r="L27" i="6"/>
  <c r="O27" i="6" s="1"/>
  <c r="N27" i="6"/>
  <c r="P27" i="6" s="1"/>
  <c r="E27" i="6"/>
  <c r="M27" i="6"/>
  <c r="F119" i="6"/>
  <c r="I120" i="6"/>
  <c r="F80" i="6"/>
  <c r="I81" i="6"/>
  <c r="F104" i="6"/>
  <c r="I105" i="6"/>
  <c r="F59" i="6"/>
  <c r="I60" i="6"/>
  <c r="F68" i="6"/>
  <c r="I69" i="6"/>
  <c r="AN19" i="6"/>
  <c r="N79" i="6"/>
  <c r="P79" i="6" s="1"/>
  <c r="M79" i="6"/>
  <c r="L79" i="6"/>
  <c r="O79" i="6" s="1"/>
  <c r="L47" i="6"/>
  <c r="O47" i="6" s="1"/>
  <c r="N47" i="6"/>
  <c r="P47" i="6" s="1"/>
  <c r="M47" i="6"/>
  <c r="L120" i="6"/>
  <c r="O120" i="6" s="1"/>
  <c r="N120" i="6"/>
  <c r="P120" i="6" s="1"/>
  <c r="M120" i="6"/>
  <c r="N72" i="6"/>
  <c r="P72" i="6" s="1"/>
  <c r="M72" i="6"/>
  <c r="L72" i="6"/>
  <c r="O72" i="6" s="1"/>
  <c r="N133" i="6"/>
  <c r="P133" i="6" s="1"/>
  <c r="M133" i="6"/>
  <c r="L133" i="6"/>
  <c r="O133" i="6" s="1"/>
  <c r="N101" i="6"/>
  <c r="P101" i="6" s="1"/>
  <c r="M101" i="6"/>
  <c r="L101" i="6"/>
  <c r="O101" i="6" s="1"/>
  <c r="L114" i="6"/>
  <c r="O114" i="6" s="1"/>
  <c r="N114" i="6"/>
  <c r="P114" i="6" s="1"/>
  <c r="M114" i="6"/>
  <c r="L66" i="6"/>
  <c r="O66" i="6" s="1"/>
  <c r="N66" i="6"/>
  <c r="P66" i="6" s="1"/>
  <c r="M66" i="6"/>
  <c r="N89" i="6"/>
  <c r="P89" i="6" s="1"/>
  <c r="M89" i="6"/>
  <c r="L89" i="6"/>
  <c r="O89" i="6" s="1"/>
  <c r="M36" i="6"/>
  <c r="L36" i="6"/>
  <c r="O36" i="6" s="1"/>
  <c r="N36" i="6"/>
  <c r="P36" i="6" s="1"/>
  <c r="N25" i="6"/>
  <c r="P25" i="6" s="1"/>
  <c r="M25" i="6"/>
  <c r="L25" i="6"/>
  <c r="O25" i="6" s="1"/>
  <c r="L124" i="6"/>
  <c r="O124" i="6" s="1"/>
  <c r="N124" i="6"/>
  <c r="P124" i="6" s="1"/>
  <c r="M124" i="6"/>
  <c r="L44" i="6"/>
  <c r="O44" i="6" s="1"/>
  <c r="N44" i="6"/>
  <c r="P44" i="6" s="1"/>
  <c r="M44" i="6"/>
  <c r="N129" i="6"/>
  <c r="P129" i="6" s="1"/>
  <c r="M129" i="6"/>
  <c r="L129" i="6"/>
  <c r="O129" i="6" s="1"/>
  <c r="L65" i="6"/>
  <c r="O65" i="6" s="1"/>
  <c r="N65" i="6"/>
  <c r="P65" i="6" s="1"/>
  <c r="M65" i="6"/>
  <c r="N92" i="6"/>
  <c r="P92" i="6" s="1"/>
  <c r="M92" i="6"/>
  <c r="L92" i="6"/>
  <c r="O92" i="6" s="1"/>
  <c r="N84" i="6"/>
  <c r="P84" i="6" s="1"/>
  <c r="M84" i="6"/>
  <c r="L84" i="6"/>
  <c r="O84" i="6" s="1"/>
  <c r="N69" i="6"/>
  <c r="P69" i="6" s="1"/>
  <c r="M69" i="6"/>
  <c r="L69" i="6"/>
  <c r="O69" i="6" s="1"/>
  <c r="F76" i="6"/>
  <c r="I77" i="6"/>
  <c r="F118" i="6"/>
  <c r="I119" i="6"/>
  <c r="I39" i="6"/>
  <c r="F38" i="6"/>
  <c r="M38" i="6"/>
  <c r="L38" i="6"/>
  <c r="O38" i="6" s="1"/>
  <c r="N38" i="6"/>
  <c r="P38" i="6" s="1"/>
  <c r="N94" i="6"/>
  <c r="P94" i="6" s="1"/>
  <c r="M94" i="6"/>
  <c r="L94" i="6"/>
  <c r="O94" i="6" s="1"/>
  <c r="M32" i="6"/>
  <c r="L32" i="6"/>
  <c r="O32" i="6" s="1"/>
  <c r="N32" i="6"/>
  <c r="P32" i="6" s="1"/>
  <c r="N87" i="6"/>
  <c r="P87" i="6" s="1"/>
  <c r="M87" i="6"/>
  <c r="L87" i="6"/>
  <c r="O87" i="6" s="1"/>
  <c r="F79" i="6"/>
  <c r="I80" i="6"/>
  <c r="F136" i="6"/>
  <c r="F20" i="6"/>
  <c r="N126" i="6"/>
  <c r="P126" i="6" s="1"/>
  <c r="M126" i="6"/>
  <c r="L126" i="6"/>
  <c r="O126" i="6" s="1"/>
  <c r="N21" i="6"/>
  <c r="P21" i="6" s="1"/>
  <c r="M21" i="6"/>
  <c r="L21" i="6"/>
  <c r="O21" i="6" s="1"/>
  <c r="N90" i="6"/>
  <c r="P90" i="6" s="1"/>
  <c r="M90" i="6"/>
  <c r="L90" i="6"/>
  <c r="O90" i="6" s="1"/>
  <c r="F112" i="6"/>
  <c r="I113" i="6"/>
  <c r="F72" i="6"/>
  <c r="I73" i="6"/>
  <c r="F88" i="6"/>
  <c r="E96" i="6"/>
  <c r="E126" i="6"/>
  <c r="I126" i="6" s="1"/>
  <c r="E127" i="6"/>
  <c r="E21" i="6"/>
  <c r="I21" i="6" s="1"/>
  <c r="I35" i="6"/>
  <c r="F34" i="6"/>
  <c r="E52" i="6"/>
  <c r="L118" i="6"/>
  <c r="O118" i="6" s="1"/>
  <c r="N118" i="6"/>
  <c r="P118" i="6" s="1"/>
  <c r="M118" i="6"/>
  <c r="N70" i="6"/>
  <c r="P70" i="6" s="1"/>
  <c r="M70" i="6"/>
  <c r="L70" i="6"/>
  <c r="O70" i="6" s="1"/>
  <c r="N103" i="6"/>
  <c r="P103" i="6" s="1"/>
  <c r="M103" i="6"/>
  <c r="L103" i="6"/>
  <c r="O103" i="6" s="1"/>
  <c r="E107" i="6"/>
  <c r="E121" i="6"/>
  <c r="I121" i="6" s="1"/>
  <c r="F81" i="6"/>
  <c r="I82" i="6"/>
  <c r="AN17" i="6"/>
  <c r="E89" i="6"/>
  <c r="I89" i="6" s="1"/>
  <c r="E97" i="6"/>
  <c r="E111" i="6"/>
  <c r="E44" i="6"/>
  <c r="I44" i="6" s="1"/>
  <c r="E66" i="6"/>
  <c r="F50" i="6"/>
  <c r="I51" i="6"/>
  <c r="N134" i="6"/>
  <c r="P134" i="6" s="1"/>
  <c r="M134" i="6"/>
  <c r="L134" i="6"/>
  <c r="O134" i="6" s="1"/>
  <c r="L46" i="6"/>
  <c r="O46" i="6" s="1"/>
  <c r="N46" i="6"/>
  <c r="P46" i="6" s="1"/>
  <c r="M46" i="6"/>
  <c r="E46" i="6"/>
  <c r="N99" i="6"/>
  <c r="P99" i="6" s="1"/>
  <c r="M99" i="6"/>
  <c r="L99" i="6"/>
  <c r="O99" i="6" s="1"/>
  <c r="L42" i="6"/>
  <c r="O42" i="6" s="1"/>
  <c r="N42" i="6"/>
  <c r="P42" i="6" s="1"/>
  <c r="M42" i="6"/>
  <c r="E42" i="6"/>
  <c r="I42" i="6" s="1"/>
  <c r="N77" i="6"/>
  <c r="P77" i="6" s="1"/>
  <c r="M77" i="6"/>
  <c r="L77" i="6"/>
  <c r="I106" i="6"/>
  <c r="F105" i="6"/>
  <c r="F135" i="6"/>
  <c r="I136" i="6"/>
  <c r="AN8" i="6"/>
  <c r="L63" i="6"/>
  <c r="O63" i="6" s="1"/>
  <c r="N63" i="6"/>
  <c r="P63" i="6" s="1"/>
  <c r="M63" i="6"/>
  <c r="M37" i="6"/>
  <c r="L37" i="6"/>
  <c r="O37" i="6" s="1"/>
  <c r="N37" i="6"/>
  <c r="P37" i="6" s="1"/>
  <c r="E87" i="6"/>
  <c r="I87" i="6" s="1"/>
  <c r="F41" i="6"/>
  <c r="I25" i="6"/>
  <c r="F24" i="6"/>
  <c r="F123" i="6"/>
  <c r="I124" i="6"/>
  <c r="E74" i="6"/>
  <c r="I74" i="6" s="1"/>
  <c r="F82" i="6"/>
  <c r="I83" i="6"/>
  <c r="E90" i="6"/>
  <c r="F98" i="6"/>
  <c r="I99" i="6"/>
  <c r="F114" i="6"/>
  <c r="I115" i="6"/>
  <c r="I111" i="6"/>
  <c r="F110" i="6"/>
  <c r="F55" i="6"/>
  <c r="AN21" i="6"/>
  <c r="I56" i="6"/>
  <c r="I41" i="6"/>
  <c r="F40" i="6"/>
  <c r="E32" i="6"/>
  <c r="AN20" i="6"/>
  <c r="F64" i="6"/>
  <c r="I65" i="6"/>
  <c r="E48" i="6"/>
  <c r="N128" i="6"/>
  <c r="P128" i="6" s="1"/>
  <c r="L128" i="6"/>
  <c r="O128" i="6" s="1"/>
  <c r="M128" i="6"/>
  <c r="L123" i="6"/>
  <c r="O123" i="6" s="1"/>
  <c r="N123" i="6"/>
  <c r="P123" i="6" s="1"/>
  <c r="M123" i="6"/>
  <c r="N71" i="6"/>
  <c r="P71" i="6" s="1"/>
  <c r="M71" i="6"/>
  <c r="L71" i="6"/>
  <c r="O71" i="6" s="1"/>
  <c r="M39" i="6"/>
  <c r="L39" i="6"/>
  <c r="O39" i="6" s="1"/>
  <c r="N39" i="6"/>
  <c r="P39" i="6" s="1"/>
  <c r="L112" i="6"/>
  <c r="O112" i="6" s="1"/>
  <c r="N112" i="6"/>
  <c r="P112" i="6" s="1"/>
  <c r="M112" i="6"/>
  <c r="L40" i="6"/>
  <c r="O40" i="6" s="1"/>
  <c r="N40" i="6"/>
  <c r="P40" i="6" s="1"/>
  <c r="M40" i="6"/>
  <c r="L125" i="6"/>
  <c r="O125" i="6" s="1"/>
  <c r="N125" i="6"/>
  <c r="P125" i="6" s="1"/>
  <c r="M125" i="6"/>
  <c r="N93" i="6"/>
  <c r="P93" i="6" s="1"/>
  <c r="M93" i="6"/>
  <c r="L93" i="6"/>
  <c r="O93" i="6" s="1"/>
  <c r="N130" i="6"/>
  <c r="P130" i="6" s="1"/>
  <c r="M130" i="6"/>
  <c r="L130" i="6"/>
  <c r="O130" i="6" s="1"/>
  <c r="N82" i="6"/>
  <c r="P82" i="6" s="1"/>
  <c r="M82" i="6"/>
  <c r="L82" i="6"/>
  <c r="O82" i="6" s="1"/>
  <c r="L119" i="6"/>
  <c r="O119" i="6" s="1"/>
  <c r="N119" i="6"/>
  <c r="P119" i="6" s="1"/>
  <c r="M119" i="6"/>
  <c r="N73" i="6"/>
  <c r="P73" i="6" s="1"/>
  <c r="M73" i="6"/>
  <c r="L73" i="6"/>
  <c r="O73" i="6" s="1"/>
  <c r="N18" i="6"/>
  <c r="P18" i="6" s="1"/>
  <c r="E18" i="6"/>
  <c r="M18" i="6"/>
  <c r="L18" i="6"/>
  <c r="O18" i="6" s="1"/>
  <c r="N83" i="6"/>
  <c r="P83" i="6" s="1"/>
  <c r="M83" i="6"/>
  <c r="L83" i="6"/>
  <c r="O83" i="6" s="1"/>
  <c r="M20" i="6"/>
  <c r="L20" i="6"/>
  <c r="O20" i="6" s="1"/>
  <c r="N20" i="6"/>
  <c r="P20" i="6" s="1"/>
  <c r="L108" i="6"/>
  <c r="O108" i="6" s="1"/>
  <c r="N108" i="6"/>
  <c r="P108" i="6" s="1"/>
  <c r="M108" i="6"/>
  <c r="M24" i="6"/>
  <c r="L24" i="6"/>
  <c r="O24" i="6" s="1"/>
  <c r="N24" i="6"/>
  <c r="P24" i="6" s="1"/>
  <c r="L113" i="6"/>
  <c r="O113" i="6" s="1"/>
  <c r="N113" i="6"/>
  <c r="P113" i="6" s="1"/>
  <c r="M113" i="6"/>
  <c r="L49" i="6"/>
  <c r="O49" i="6" s="1"/>
  <c r="N49" i="6"/>
  <c r="P49" i="6" s="1"/>
  <c r="M49" i="6"/>
  <c r="N132" i="6"/>
  <c r="P132" i="6" s="1"/>
  <c r="M132" i="6"/>
  <c r="L132" i="6"/>
  <c r="O132" i="6" s="1"/>
  <c r="N68" i="6"/>
  <c r="P68" i="6" s="1"/>
  <c r="M68" i="6"/>
  <c r="L68" i="6"/>
  <c r="O68" i="6" s="1"/>
  <c r="M33" i="6"/>
  <c r="L33" i="6"/>
  <c r="O33" i="6" s="1"/>
  <c r="N33" i="6"/>
  <c r="P33" i="6" s="1"/>
  <c r="I107" i="6"/>
  <c r="F106" i="6"/>
  <c r="F92" i="6"/>
  <c r="I93" i="6"/>
  <c r="F51" i="6"/>
  <c r="I52" i="6"/>
  <c r="F60" i="6"/>
  <c r="I61" i="6"/>
  <c r="L117" i="6"/>
  <c r="O117" i="6" s="1"/>
  <c r="N117" i="6"/>
  <c r="P117" i="6" s="1"/>
  <c r="M117" i="6"/>
  <c r="L57" i="6"/>
  <c r="O57" i="6" s="1"/>
  <c r="N57" i="6"/>
  <c r="P57" i="6" s="1"/>
  <c r="M57" i="6"/>
  <c r="F71" i="6"/>
  <c r="I72" i="6"/>
  <c r="E95" i="6"/>
  <c r="I95" i="6" s="1"/>
  <c r="F124" i="6"/>
  <c r="I125" i="6"/>
  <c r="F61" i="6"/>
  <c r="I62" i="6"/>
  <c r="F54" i="6"/>
  <c r="I55" i="6"/>
  <c r="N131" i="6"/>
  <c r="P131" i="6" s="1"/>
  <c r="M131" i="6"/>
  <c r="L131" i="6"/>
  <c r="O131" i="6" s="1"/>
  <c r="I110" i="6"/>
  <c r="F109" i="6"/>
  <c r="F125" i="6"/>
  <c r="AN10" i="6"/>
  <c r="F75" i="6"/>
  <c r="I76" i="6"/>
  <c r="F83" i="6"/>
  <c r="I84" i="6"/>
  <c r="F91" i="6"/>
  <c r="I92" i="6"/>
  <c r="AN16" i="6"/>
  <c r="F99" i="6"/>
  <c r="I100" i="6"/>
  <c r="AN14" i="6"/>
  <c r="E116" i="6"/>
  <c r="F130" i="6"/>
  <c r="I131" i="6"/>
  <c r="F133" i="6"/>
  <c r="I134" i="6"/>
  <c r="AN9" i="6"/>
  <c r="E53" i="6"/>
  <c r="I40" i="6"/>
  <c r="AN24" i="6"/>
  <c r="F39" i="6"/>
  <c r="E31" i="6"/>
  <c r="I31" i="6" s="1"/>
  <c r="F62" i="6"/>
  <c r="I63" i="6"/>
  <c r="E45" i="6"/>
  <c r="N135" i="6"/>
  <c r="P135" i="6" s="1"/>
  <c r="M135" i="6"/>
  <c r="L135" i="6"/>
  <c r="O135" i="6" s="1"/>
  <c r="N22" i="6"/>
  <c r="P22" i="6" s="1"/>
  <c r="E22" i="6"/>
  <c r="L22" i="6"/>
  <c r="O22" i="6" s="1"/>
  <c r="M22" i="6"/>
  <c r="L110" i="6"/>
  <c r="O110" i="6" s="1"/>
  <c r="N110" i="6"/>
  <c r="P110" i="6" s="1"/>
  <c r="M110" i="6"/>
  <c r="N86" i="6"/>
  <c r="P86" i="6" s="1"/>
  <c r="M86" i="6"/>
  <c r="L86" i="6"/>
  <c r="O86" i="6" s="1"/>
  <c r="L62" i="6"/>
  <c r="O62" i="6" s="1"/>
  <c r="N62" i="6"/>
  <c r="P62" i="6" s="1"/>
  <c r="M62" i="6"/>
  <c r="M35" i="6"/>
  <c r="L35" i="6"/>
  <c r="O35" i="6" s="1"/>
  <c r="N35" i="6"/>
  <c r="P35" i="6" s="1"/>
  <c r="L106" i="6"/>
  <c r="O106" i="6" s="1"/>
  <c r="N106" i="6"/>
  <c r="P106" i="6" s="1"/>
  <c r="M106" i="6"/>
  <c r="L58" i="6"/>
  <c r="O58" i="6" s="1"/>
  <c r="N58" i="6"/>
  <c r="P58" i="6" s="1"/>
  <c r="M58" i="6"/>
  <c r="M34" i="6"/>
  <c r="L34" i="6"/>
  <c r="O34" i="6" s="1"/>
  <c r="N34" i="6"/>
  <c r="P34" i="6" s="1"/>
  <c r="L61" i="6"/>
  <c r="O61" i="6" s="1"/>
  <c r="N61" i="6"/>
  <c r="P61" i="6" s="1"/>
  <c r="M61" i="6"/>
  <c r="I33" i="6" l="1"/>
  <c r="F32" i="6"/>
  <c r="F52" i="6"/>
  <c r="I53" i="6"/>
  <c r="F90" i="6"/>
  <c r="I91" i="6"/>
  <c r="F66" i="6"/>
  <c r="I67" i="6"/>
  <c r="I66" i="6"/>
  <c r="F85" i="6"/>
  <c r="I86" i="6"/>
  <c r="F96" i="6"/>
  <c r="I97" i="6"/>
  <c r="F121" i="6"/>
  <c r="I122" i="6"/>
  <c r="F48" i="6"/>
  <c r="I49" i="6"/>
  <c r="I43" i="6"/>
  <c r="AN23" i="6"/>
  <c r="F42" i="6"/>
  <c r="F111" i="6"/>
  <c r="I112" i="6"/>
  <c r="F107" i="6"/>
  <c r="I108" i="6"/>
  <c r="AN13" i="6"/>
  <c r="F115" i="6"/>
  <c r="I116" i="6"/>
  <c r="I48" i="6"/>
  <c r="I20" i="6"/>
  <c r="F19" i="6"/>
  <c r="F78" i="6"/>
  <c r="I79" i="6"/>
  <c r="F45" i="6"/>
  <c r="I46" i="6"/>
  <c r="F97" i="6"/>
  <c r="I98" i="6"/>
  <c r="F21" i="6"/>
  <c r="I22" i="6"/>
  <c r="AN26" i="6"/>
  <c r="I24" i="6"/>
  <c r="F23" i="6"/>
  <c r="O77" i="6"/>
  <c r="I32" i="6"/>
  <c r="F31" i="6"/>
  <c r="F95" i="6"/>
  <c r="I96" i="6"/>
  <c r="AN15" i="6"/>
  <c r="I29" i="6"/>
  <c r="F28" i="6"/>
  <c r="F22" i="6"/>
  <c r="I23" i="6"/>
  <c r="F53" i="6"/>
  <c r="I54" i="6"/>
  <c r="F116" i="6"/>
  <c r="I117" i="6"/>
  <c r="F74" i="6"/>
  <c r="I75" i="6"/>
  <c r="F46" i="6"/>
  <c r="I47" i="6"/>
  <c r="F89" i="6"/>
  <c r="I90" i="6"/>
  <c r="F127" i="6"/>
  <c r="I128" i="6"/>
  <c r="I28" i="6"/>
  <c r="F27" i="6"/>
  <c r="F87" i="6"/>
  <c r="I88" i="6"/>
  <c r="I45" i="6"/>
  <c r="F44" i="6"/>
  <c r="F18" i="6"/>
  <c r="AN27" i="6"/>
  <c r="I18" i="6"/>
  <c r="I19" i="6"/>
  <c r="F126" i="6"/>
  <c r="I127" i="6"/>
  <c r="F26" i="6"/>
  <c r="I27" i="6"/>
  <c r="F122" i="6"/>
  <c r="I123" i="6"/>
  <c r="C39" i="3" l="1"/>
  <c r="I23" i="3" l="1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40" i="3"/>
  <c r="Q39" i="6"/>
  <c r="R39" i="6" l="1"/>
  <c r="U39" i="6" s="1"/>
  <c r="V39" i="6" s="1"/>
  <c r="R37" i="6"/>
  <c r="U37" i="6" s="1"/>
  <c r="V37" i="6" s="1"/>
  <c r="Q37" i="6"/>
  <c r="R29" i="6"/>
  <c r="U29" i="6" s="1"/>
  <c r="V29" i="6" s="1"/>
  <c r="Q29" i="6"/>
  <c r="R21" i="6"/>
  <c r="U21" i="6" s="1"/>
  <c r="V21" i="6" s="1"/>
  <c r="Q21" i="6"/>
  <c r="Q36" i="6"/>
  <c r="R36" i="6"/>
  <c r="U36" i="6" s="1"/>
  <c r="V36" i="6" s="1"/>
  <c r="R28" i="6"/>
  <c r="U28" i="6" s="1"/>
  <c r="V28" i="6" s="1"/>
  <c r="Q28" i="6"/>
  <c r="Q20" i="6"/>
  <c r="R20" i="6"/>
  <c r="U20" i="6" s="1"/>
  <c r="V20" i="6" s="1"/>
  <c r="R19" i="6"/>
  <c r="U19" i="6" s="1"/>
  <c r="V19" i="6" s="1"/>
  <c r="Q19" i="6"/>
  <c r="R18" i="6"/>
  <c r="U18" i="6" s="1"/>
  <c r="V18" i="6" s="1"/>
  <c r="Q18" i="6"/>
  <c r="Q32" i="6"/>
  <c r="R32" i="6"/>
  <c r="U32" i="6" s="1"/>
  <c r="V32" i="6" s="1"/>
  <c r="Q35" i="6"/>
  <c r="R35" i="6"/>
  <c r="U35" i="6" s="1"/>
  <c r="V35" i="6" s="1"/>
  <c r="Q34" i="6"/>
  <c r="R34" i="6"/>
  <c r="U34" i="6" s="1"/>
  <c r="V34" i="6" s="1"/>
  <c r="Q33" i="6"/>
  <c r="R33" i="6"/>
  <c r="U33" i="6" s="1"/>
  <c r="V33" i="6" s="1"/>
  <c r="R31" i="6"/>
  <c r="U31" i="6" s="1"/>
  <c r="V31" i="6" s="1"/>
  <c r="Q31" i="6"/>
  <c r="Q23" i="6"/>
  <c r="R23" i="6"/>
  <c r="U23" i="6" s="1"/>
  <c r="V23" i="6" s="1"/>
  <c r="Q27" i="6"/>
  <c r="R27" i="6"/>
  <c r="U27" i="6" s="1"/>
  <c r="V27" i="6" s="1"/>
  <c r="R26" i="6"/>
  <c r="U26" i="6" s="1"/>
  <c r="V26" i="6" s="1"/>
  <c r="Q26" i="6"/>
  <c r="R25" i="6"/>
  <c r="U25" i="6" s="1"/>
  <c r="V25" i="6" s="1"/>
  <c r="Q25" i="6"/>
  <c r="Q24" i="6"/>
  <c r="R24" i="6"/>
  <c r="U24" i="6" s="1"/>
  <c r="V24" i="6" s="1"/>
  <c r="Q38" i="6"/>
  <c r="R38" i="6"/>
  <c r="U38" i="6" s="1"/>
  <c r="V38" i="6" s="1"/>
  <c r="Q30" i="6"/>
  <c r="R30" i="6"/>
  <c r="U30" i="6" s="1"/>
  <c r="V30" i="6" s="1"/>
  <c r="Q22" i="6"/>
  <c r="R22" i="6"/>
  <c r="U22" i="6" s="1"/>
  <c r="V22" i="6" s="1"/>
  <c r="R40" i="6"/>
  <c r="U40" i="6" s="1"/>
  <c r="V40" i="6" s="1"/>
  <c r="Q40" i="6"/>
  <c r="C41" i="3"/>
  <c r="R41" i="6" l="1"/>
  <c r="U41" i="6" s="1"/>
  <c r="V41" i="6" s="1"/>
  <c r="Q41" i="6"/>
  <c r="C42" i="3"/>
  <c r="C43" i="3" l="1"/>
  <c r="R42" i="6"/>
  <c r="U42" i="6" s="1"/>
  <c r="V42" i="6" s="1"/>
  <c r="Q42" i="6"/>
  <c r="C44" i="3" l="1"/>
  <c r="R43" i="6"/>
  <c r="U43" i="6" s="1"/>
  <c r="V43" i="6" s="1"/>
  <c r="Q43" i="6"/>
  <c r="Q44" i="6" l="1"/>
  <c r="R44" i="6"/>
  <c r="U44" i="6" s="1"/>
  <c r="V44" i="6" s="1"/>
  <c r="C45" i="3"/>
  <c r="R45" i="6" l="1"/>
  <c r="U45" i="6" s="1"/>
  <c r="V45" i="6" s="1"/>
  <c r="Q45" i="6"/>
  <c r="C46" i="3"/>
  <c r="R46" i="6" l="1"/>
  <c r="U46" i="6" s="1"/>
  <c r="V46" i="6" s="1"/>
  <c r="Q46" i="6"/>
  <c r="C47" i="3"/>
  <c r="R47" i="6" l="1"/>
  <c r="U47" i="6" s="1"/>
  <c r="V47" i="6" s="1"/>
  <c r="Q47" i="6"/>
  <c r="C48" i="3"/>
  <c r="C49" i="3" l="1"/>
  <c r="Q48" i="6"/>
  <c r="R48" i="6"/>
  <c r="U48" i="6" s="1"/>
  <c r="V48" i="6" s="1"/>
  <c r="R49" i="6" l="1"/>
  <c r="U49" i="6" s="1"/>
  <c r="V49" i="6" s="1"/>
  <c r="Q49" i="6"/>
  <c r="C50" i="3"/>
  <c r="C51" i="3" l="1"/>
  <c r="R50" i="6"/>
  <c r="U50" i="6" s="1"/>
  <c r="V50" i="6" s="1"/>
  <c r="Q50" i="6"/>
  <c r="C52" i="3" l="1"/>
  <c r="R51" i="6"/>
  <c r="U51" i="6" s="1"/>
  <c r="V51" i="6" s="1"/>
  <c r="Q51" i="6"/>
  <c r="Q52" i="6" l="1"/>
  <c r="R52" i="6"/>
  <c r="U52" i="6" s="1"/>
  <c r="V52" i="6" s="1"/>
  <c r="C53" i="3"/>
  <c r="C54" i="3" l="1"/>
  <c r="R53" i="6"/>
  <c r="U53" i="6" s="1"/>
  <c r="V53" i="6" s="1"/>
  <c r="Q53" i="6"/>
  <c r="R54" i="6" l="1"/>
  <c r="U54" i="6" s="1"/>
  <c r="V54" i="6" s="1"/>
  <c r="Q54" i="6"/>
  <c r="C55" i="3"/>
  <c r="C56" i="3" l="1"/>
  <c r="R55" i="6"/>
  <c r="U55" i="6" s="1"/>
  <c r="V55" i="6" s="1"/>
  <c r="Q55" i="6"/>
  <c r="Q56" i="6" l="1"/>
  <c r="R56" i="6"/>
  <c r="U56" i="6" s="1"/>
  <c r="V56" i="6" s="1"/>
  <c r="C57" i="3"/>
  <c r="C58" i="3" l="1"/>
  <c r="R57" i="6"/>
  <c r="U57" i="6" s="1"/>
  <c r="V57" i="6" s="1"/>
  <c r="Q57" i="6"/>
  <c r="C59" i="3" l="1"/>
  <c r="R58" i="6"/>
  <c r="U58" i="6" s="1"/>
  <c r="V58" i="6" s="1"/>
  <c r="Q58" i="6"/>
  <c r="R59" i="6" l="1"/>
  <c r="U59" i="6" s="1"/>
  <c r="V59" i="6" s="1"/>
  <c r="Q59" i="6"/>
  <c r="C60" i="3"/>
  <c r="Q60" i="6" l="1"/>
  <c r="R60" i="6"/>
  <c r="U60" i="6" s="1"/>
  <c r="V60" i="6" s="1"/>
  <c r="C61" i="3"/>
  <c r="R61" i="6" l="1"/>
  <c r="U61" i="6" s="1"/>
  <c r="V61" i="6" s="1"/>
  <c r="Q61" i="6"/>
  <c r="C62" i="3"/>
  <c r="C63" i="3" l="1"/>
  <c r="R62" i="6"/>
  <c r="U62" i="6" s="1"/>
  <c r="V62" i="6" s="1"/>
  <c r="Q62" i="6"/>
  <c r="C64" i="3" l="1"/>
  <c r="R63" i="6"/>
  <c r="U63" i="6" s="1"/>
  <c r="V63" i="6" s="1"/>
  <c r="Q63" i="6"/>
  <c r="C65" i="3" l="1"/>
  <c r="Q64" i="6"/>
  <c r="R64" i="6"/>
  <c r="U64" i="6" s="1"/>
  <c r="V64" i="6" s="1"/>
  <c r="C66" i="3" l="1"/>
  <c r="R65" i="6"/>
  <c r="U65" i="6" s="1"/>
  <c r="V65" i="6" s="1"/>
  <c r="Q65" i="6"/>
  <c r="Q66" i="6" l="1"/>
  <c r="R66" i="6"/>
  <c r="U66" i="6" s="1"/>
  <c r="V66" i="6" s="1"/>
  <c r="C67" i="3"/>
  <c r="R67" i="6" l="1"/>
  <c r="U67" i="6" s="1"/>
  <c r="V67" i="6" s="1"/>
  <c r="Q67" i="6"/>
  <c r="C68" i="3"/>
  <c r="R68" i="6" l="1"/>
  <c r="U68" i="6" s="1"/>
  <c r="V68" i="6" s="1"/>
  <c r="Q68" i="6"/>
  <c r="C69" i="3"/>
  <c r="C70" i="3" l="1"/>
  <c r="Q69" i="6"/>
  <c r="R69" i="6"/>
  <c r="U69" i="6" s="1"/>
  <c r="V69" i="6" s="1"/>
  <c r="C71" i="3" l="1"/>
  <c r="R70" i="6"/>
  <c r="U70" i="6" s="1"/>
  <c r="V70" i="6" s="1"/>
  <c r="Q70" i="6"/>
  <c r="Q71" i="6" l="1"/>
  <c r="R71" i="6"/>
  <c r="U71" i="6" s="1"/>
  <c r="V71" i="6" s="1"/>
  <c r="C72" i="3"/>
  <c r="R72" i="6" l="1"/>
  <c r="U72" i="6" s="1"/>
  <c r="V72" i="6" s="1"/>
  <c r="Q72" i="6"/>
  <c r="C73" i="3"/>
  <c r="Q73" i="6" l="1"/>
  <c r="R73" i="6"/>
  <c r="U73" i="6" s="1"/>
  <c r="V73" i="6" s="1"/>
  <c r="C74" i="3"/>
  <c r="C75" i="3" l="1"/>
  <c r="R74" i="6"/>
  <c r="U74" i="6" s="1"/>
  <c r="V74" i="6" s="1"/>
  <c r="Q74" i="6"/>
  <c r="C76" i="3" l="1"/>
  <c r="Q75" i="6"/>
  <c r="R75" i="6"/>
  <c r="U75" i="6" s="1"/>
  <c r="V75" i="6" s="1"/>
  <c r="C77" i="3" l="1"/>
  <c r="K27" i="3"/>
  <c r="R76" i="6"/>
  <c r="U76" i="6" s="1"/>
  <c r="V76" i="6" s="1"/>
  <c r="Q76" i="6"/>
  <c r="AE17" i="6" l="1"/>
  <c r="C78" i="3"/>
  <c r="R77" i="6"/>
  <c r="U77" i="6" s="1"/>
  <c r="V77" i="6" s="1"/>
  <c r="Q77" i="6"/>
  <c r="R78" i="6" l="1"/>
  <c r="U78" i="6" s="1"/>
  <c r="V78" i="6" s="1"/>
  <c r="Q78" i="6"/>
  <c r="C79" i="3"/>
  <c r="R79" i="6" l="1"/>
  <c r="U79" i="6" s="1"/>
  <c r="V79" i="6" s="1"/>
  <c r="Q79" i="6"/>
  <c r="C80" i="3"/>
  <c r="R80" i="6" l="1"/>
  <c r="U80" i="6" s="1"/>
  <c r="V80" i="6" s="1"/>
  <c r="Q80" i="6"/>
  <c r="C81" i="3"/>
  <c r="R81" i="6" l="1"/>
  <c r="U81" i="6" s="1"/>
  <c r="V81" i="6" s="1"/>
  <c r="Q81" i="6"/>
  <c r="C82" i="3"/>
  <c r="R82" i="6" l="1"/>
  <c r="U82" i="6" s="1"/>
  <c r="V82" i="6" s="1"/>
  <c r="Q82" i="6"/>
  <c r="C83" i="3"/>
  <c r="R83" i="6" l="1"/>
  <c r="U83" i="6" s="1"/>
  <c r="V83" i="6" s="1"/>
  <c r="Q83" i="6"/>
  <c r="C84" i="3"/>
  <c r="R84" i="6" l="1"/>
  <c r="U84" i="6" s="1"/>
  <c r="V84" i="6" s="1"/>
  <c r="Q84" i="6"/>
  <c r="C85" i="3"/>
  <c r="R85" i="6" l="1"/>
  <c r="U85" i="6" s="1"/>
  <c r="V85" i="6" s="1"/>
  <c r="Q85" i="6"/>
  <c r="C86" i="3"/>
  <c r="C87" i="3" l="1"/>
  <c r="R86" i="6"/>
  <c r="U86" i="6" s="1"/>
  <c r="V86" i="6" s="1"/>
  <c r="Q86" i="6"/>
  <c r="R87" i="6" l="1"/>
  <c r="U87" i="6" s="1"/>
  <c r="V87" i="6" s="1"/>
  <c r="Q87" i="6"/>
  <c r="C88" i="3"/>
  <c r="C89" i="3" l="1"/>
  <c r="R88" i="6"/>
  <c r="U88" i="6" s="1"/>
  <c r="V88" i="6" s="1"/>
  <c r="Q88" i="6"/>
  <c r="R89" i="6" l="1"/>
  <c r="U89" i="6" s="1"/>
  <c r="V89" i="6" s="1"/>
  <c r="Q89" i="6"/>
  <c r="C90" i="3"/>
  <c r="C91" i="3" l="1"/>
  <c r="R90" i="6"/>
  <c r="U90" i="6" s="1"/>
  <c r="V90" i="6" s="1"/>
  <c r="Q90" i="6"/>
  <c r="C92" i="3" l="1"/>
  <c r="R91" i="6"/>
  <c r="U91" i="6" s="1"/>
  <c r="V91" i="6" s="1"/>
  <c r="Q91" i="6"/>
  <c r="C93" i="3" l="1"/>
  <c r="R92" i="6"/>
  <c r="U92" i="6" s="1"/>
  <c r="V92" i="6" s="1"/>
  <c r="Q92" i="6"/>
  <c r="R93" i="6" l="1"/>
  <c r="U93" i="6" s="1"/>
  <c r="V93" i="6" s="1"/>
  <c r="Q93" i="6"/>
  <c r="C94" i="3"/>
  <c r="C95" i="3" l="1"/>
  <c r="R94" i="6"/>
  <c r="U94" i="6" s="1"/>
  <c r="V94" i="6" s="1"/>
  <c r="Q94" i="6"/>
  <c r="C96" i="3" l="1"/>
  <c r="R95" i="6"/>
  <c r="U95" i="6" s="1"/>
  <c r="V95" i="6" s="1"/>
  <c r="Q95" i="6"/>
  <c r="R96" i="6" l="1"/>
  <c r="U96" i="6" s="1"/>
  <c r="V96" i="6" s="1"/>
  <c r="Q96" i="6"/>
  <c r="C97" i="3"/>
  <c r="C98" i="3" l="1"/>
  <c r="R97" i="6"/>
  <c r="U97" i="6" s="1"/>
  <c r="V97" i="6" s="1"/>
  <c r="Q97" i="6"/>
  <c r="R98" i="6" l="1"/>
  <c r="U98" i="6" s="1"/>
  <c r="V98" i="6" s="1"/>
  <c r="Q98" i="6"/>
  <c r="C99" i="3"/>
  <c r="C100" i="3" l="1"/>
  <c r="R99" i="6"/>
  <c r="U99" i="6" s="1"/>
  <c r="V99" i="6" s="1"/>
  <c r="Q99" i="6"/>
  <c r="C101" i="3" l="1"/>
  <c r="R100" i="6"/>
  <c r="U100" i="6" s="1"/>
  <c r="V100" i="6" s="1"/>
  <c r="Q100" i="6"/>
  <c r="R101" i="6" l="1"/>
  <c r="U101" i="6" s="1"/>
  <c r="V101" i="6" s="1"/>
  <c r="Q101" i="6"/>
  <c r="C102" i="3"/>
  <c r="R102" i="6" l="1"/>
  <c r="U102" i="6" s="1"/>
  <c r="V102" i="6" s="1"/>
  <c r="Q102" i="6"/>
  <c r="C103" i="3"/>
  <c r="C104" i="3" l="1"/>
  <c r="R103" i="6"/>
  <c r="U103" i="6" s="1"/>
  <c r="V103" i="6" s="1"/>
  <c r="Q103" i="6"/>
  <c r="C105" i="3" l="1"/>
  <c r="R104" i="6"/>
  <c r="U104" i="6" s="1"/>
  <c r="V104" i="6" s="1"/>
  <c r="Q104" i="6"/>
  <c r="C106" i="3" l="1"/>
  <c r="Q105" i="6"/>
  <c r="R105" i="6"/>
  <c r="U105" i="6" s="1"/>
  <c r="V105" i="6" s="1"/>
  <c r="R106" i="6" l="1"/>
  <c r="U106" i="6" s="1"/>
  <c r="V106" i="6" s="1"/>
  <c r="Q106" i="6"/>
  <c r="C107" i="3"/>
  <c r="C108" i="3" l="1"/>
  <c r="Q107" i="6"/>
  <c r="R107" i="6"/>
  <c r="U107" i="6" s="1"/>
  <c r="V107" i="6" s="1"/>
  <c r="C109" i="3" l="1"/>
  <c r="R108" i="6"/>
  <c r="U108" i="6" s="1"/>
  <c r="V108" i="6" s="1"/>
  <c r="Q108" i="6"/>
  <c r="R109" i="6" l="1"/>
  <c r="U109" i="6" s="1"/>
  <c r="V109" i="6" s="1"/>
  <c r="Q109" i="6"/>
  <c r="C110" i="3"/>
  <c r="Q110" i="6" l="1"/>
  <c r="R110" i="6"/>
  <c r="U110" i="6" s="1"/>
  <c r="V110" i="6" s="1"/>
  <c r="C111" i="3"/>
  <c r="C112" i="3" l="1"/>
  <c r="R111" i="6"/>
  <c r="U111" i="6" s="1"/>
  <c r="V111" i="6" s="1"/>
  <c r="Q111" i="6"/>
  <c r="C113" i="3" l="1"/>
  <c r="R112" i="6"/>
  <c r="U112" i="6" s="1"/>
  <c r="V112" i="6" s="1"/>
  <c r="Q112" i="6"/>
  <c r="C114" i="3" l="1"/>
  <c r="R113" i="6"/>
  <c r="U113" i="6" s="1"/>
  <c r="V113" i="6" s="1"/>
  <c r="Q113" i="6"/>
  <c r="C115" i="3" l="1"/>
  <c r="R114" i="6"/>
  <c r="U114" i="6" s="1"/>
  <c r="V114" i="6" s="1"/>
  <c r="Q114" i="6"/>
  <c r="R115" i="6" l="1"/>
  <c r="U115" i="6" s="1"/>
  <c r="V115" i="6" s="1"/>
  <c r="Q115" i="6"/>
  <c r="C116" i="3"/>
  <c r="R116" i="6" l="1"/>
  <c r="U116" i="6" s="1"/>
  <c r="V116" i="6" s="1"/>
  <c r="Q116" i="6"/>
  <c r="C117" i="3"/>
  <c r="C118" i="3" l="1"/>
  <c r="R117" i="6"/>
  <c r="U117" i="6" s="1"/>
  <c r="V117" i="6" s="1"/>
  <c r="Q117" i="6"/>
  <c r="Q118" i="6" l="1"/>
  <c r="R118" i="6"/>
  <c r="U118" i="6" s="1"/>
  <c r="V118" i="6" s="1"/>
  <c r="C119" i="3"/>
  <c r="C120" i="3" l="1"/>
  <c r="R119" i="6"/>
  <c r="U119" i="6" s="1"/>
  <c r="V119" i="6" s="1"/>
  <c r="Q119" i="6"/>
  <c r="C121" i="3" l="1"/>
  <c r="R120" i="6"/>
  <c r="U120" i="6" s="1"/>
  <c r="V120" i="6" s="1"/>
  <c r="Q120" i="6"/>
  <c r="C122" i="3" l="1"/>
  <c r="R121" i="6"/>
  <c r="U121" i="6" s="1"/>
  <c r="V121" i="6" s="1"/>
  <c r="Q121" i="6"/>
  <c r="C123" i="3" l="1"/>
  <c r="R122" i="6"/>
  <c r="U122" i="6" s="1"/>
  <c r="V122" i="6" s="1"/>
  <c r="Q122" i="6"/>
  <c r="R123" i="6" l="1"/>
  <c r="U123" i="6" s="1"/>
  <c r="V123" i="6" s="1"/>
  <c r="Q123" i="6"/>
  <c r="C124" i="3"/>
  <c r="C125" i="3" l="1"/>
  <c r="R124" i="6"/>
  <c r="U124" i="6" s="1"/>
  <c r="V124" i="6" s="1"/>
  <c r="Q124" i="6"/>
  <c r="C126" i="3" l="1"/>
  <c r="R125" i="6"/>
  <c r="U125" i="6" s="1"/>
  <c r="V125" i="6" s="1"/>
  <c r="Q125" i="6"/>
  <c r="C127" i="3" l="1"/>
  <c r="R126" i="6"/>
  <c r="U126" i="6" s="1"/>
  <c r="V126" i="6" s="1"/>
  <c r="Q126" i="6"/>
  <c r="C128" i="3" l="1"/>
  <c r="Q127" i="6"/>
  <c r="R127" i="6"/>
  <c r="U127" i="6" s="1"/>
  <c r="V127" i="6" s="1"/>
  <c r="C129" i="3" l="1"/>
  <c r="R128" i="6"/>
  <c r="U128" i="6" s="1"/>
  <c r="V128" i="6" s="1"/>
  <c r="Q128" i="6"/>
  <c r="R129" i="6" l="1"/>
  <c r="U129" i="6" s="1"/>
  <c r="V129" i="6" s="1"/>
  <c r="Q129" i="6"/>
  <c r="C130" i="3"/>
  <c r="C131" i="3" l="1"/>
  <c r="R130" i="6"/>
  <c r="U130" i="6" s="1"/>
  <c r="V130" i="6" s="1"/>
  <c r="Q130" i="6"/>
  <c r="R131" i="6" l="1"/>
  <c r="U131" i="6" s="1"/>
  <c r="V131" i="6" s="1"/>
  <c r="Q131" i="6"/>
  <c r="C132" i="3"/>
  <c r="C133" i="3" l="1"/>
  <c r="R132" i="6"/>
  <c r="U132" i="6" s="1"/>
  <c r="V132" i="6" s="1"/>
  <c r="Q132" i="6"/>
  <c r="R133" i="6" l="1"/>
  <c r="U133" i="6" s="1"/>
  <c r="V133" i="6" s="1"/>
  <c r="Q133" i="6"/>
  <c r="C134" i="3"/>
  <c r="C135" i="3" l="1"/>
  <c r="R134" i="6"/>
  <c r="U134" i="6" s="1"/>
  <c r="V134" i="6" s="1"/>
  <c r="Q134" i="6"/>
  <c r="C136" i="3" l="1"/>
  <c r="G135" i="6" s="1"/>
  <c r="D136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R135" i="6"/>
  <c r="U135" i="6" s="1"/>
  <c r="V135" i="6" s="1"/>
  <c r="Q135" i="6"/>
  <c r="R136" i="6" l="1"/>
  <c r="U136" i="6" s="1"/>
  <c r="V136" i="6" s="1"/>
  <c r="P9" i="6" s="1"/>
  <c r="G136" i="6"/>
  <c r="H136" i="6" s="1"/>
  <c r="Q136" i="6"/>
  <c r="H23" i="3"/>
  <c r="E136" i="3" s="1"/>
  <c r="B136" i="6" s="1"/>
  <c r="G18" i="6"/>
  <c r="H18" i="6" s="1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H132" i="6" l="1"/>
  <c r="H124" i="6"/>
  <c r="H116" i="6"/>
  <c r="H108" i="6"/>
  <c r="H100" i="6"/>
  <c r="H92" i="6"/>
  <c r="H84" i="6"/>
  <c r="H133" i="6"/>
  <c r="H125" i="6"/>
  <c r="H117" i="6"/>
  <c r="H109" i="6"/>
  <c r="H101" i="6"/>
  <c r="H93" i="6"/>
  <c r="H85" i="6"/>
  <c r="H77" i="6"/>
  <c r="H69" i="6"/>
  <c r="H61" i="6"/>
  <c r="H53" i="6"/>
  <c r="H45" i="6"/>
  <c r="H37" i="6"/>
  <c r="H29" i="6"/>
  <c r="H21" i="6"/>
  <c r="H76" i="6"/>
  <c r="H68" i="6"/>
  <c r="H60" i="6"/>
  <c r="H52" i="6"/>
  <c r="H44" i="6"/>
  <c r="H36" i="6"/>
  <c r="H28" i="6"/>
  <c r="H20" i="6"/>
  <c r="H134" i="6"/>
  <c r="H126" i="6"/>
  <c r="H118" i="6"/>
  <c r="H110" i="6"/>
  <c r="H102" i="6"/>
  <c r="H94" i="6"/>
  <c r="H86" i="6"/>
  <c r="H78" i="6"/>
  <c r="H70" i="6"/>
  <c r="H62" i="6"/>
  <c r="H54" i="6"/>
  <c r="H46" i="6"/>
  <c r="H38" i="6"/>
  <c r="H30" i="6"/>
  <c r="H22" i="6"/>
  <c r="H129" i="6"/>
  <c r="H121" i="6"/>
  <c r="H113" i="6"/>
  <c r="H105" i="6"/>
  <c r="H97" i="6"/>
  <c r="H89" i="6"/>
  <c r="H81" i="6"/>
  <c r="H73" i="6"/>
  <c r="H65" i="6"/>
  <c r="H57" i="6"/>
  <c r="H49" i="6"/>
  <c r="H41" i="6"/>
  <c r="H33" i="6"/>
  <c r="H25" i="6"/>
  <c r="H130" i="6"/>
  <c r="H122" i="6"/>
  <c r="H114" i="6"/>
  <c r="H106" i="6"/>
  <c r="H98" i="6"/>
  <c r="H90" i="6"/>
  <c r="H82" i="6"/>
  <c r="H74" i="6"/>
  <c r="H66" i="6"/>
  <c r="H58" i="6"/>
  <c r="H50" i="6"/>
  <c r="H42" i="6"/>
  <c r="H34" i="6"/>
  <c r="H26" i="6"/>
  <c r="H127" i="6"/>
  <c r="H119" i="6"/>
  <c r="H111" i="6"/>
  <c r="H103" i="6"/>
  <c r="H95" i="6"/>
  <c r="H87" i="6"/>
  <c r="H79" i="6"/>
  <c r="H71" i="6"/>
  <c r="H63" i="6"/>
  <c r="H55" i="6"/>
  <c r="H47" i="6"/>
  <c r="H39" i="6"/>
  <c r="H31" i="6"/>
  <c r="H23" i="6"/>
  <c r="H131" i="6"/>
  <c r="H123" i="6"/>
  <c r="H115" i="6"/>
  <c r="H107" i="6"/>
  <c r="H99" i="6"/>
  <c r="H91" i="6"/>
  <c r="H83" i="6"/>
  <c r="H75" i="6"/>
  <c r="H67" i="6"/>
  <c r="H59" i="6"/>
  <c r="H51" i="6"/>
  <c r="H43" i="6"/>
  <c r="H35" i="6"/>
  <c r="H27" i="6"/>
  <c r="H19" i="6"/>
  <c r="O4" i="4"/>
  <c r="O4" i="5"/>
  <c r="M9" i="3"/>
  <c r="H135" i="6"/>
  <c r="H128" i="6"/>
  <c r="H120" i="6"/>
  <c r="H112" i="6"/>
  <c r="H104" i="6"/>
  <c r="H96" i="6"/>
  <c r="H88" i="6"/>
  <c r="H80" i="6"/>
  <c r="H72" i="6"/>
  <c r="H64" i="6"/>
  <c r="H56" i="6"/>
  <c r="H48" i="6"/>
  <c r="H40" i="6"/>
  <c r="H32" i="6"/>
  <c r="H24" i="6"/>
  <c r="K23" i="3"/>
  <c r="M10" i="3" s="1"/>
  <c r="P10" i="6" s="1"/>
  <c r="J23" i="3"/>
  <c r="L23" i="3" s="1"/>
  <c r="M11" i="3" s="1"/>
  <c r="P11" i="6" s="1"/>
  <c r="E18" i="3"/>
  <c r="B18" i="6" s="1"/>
  <c r="E19" i="3"/>
  <c r="B19" i="6" s="1"/>
  <c r="E20" i="3"/>
  <c r="B20" i="6" s="1"/>
  <c r="E21" i="3"/>
  <c r="B21" i="6" s="1"/>
  <c r="E22" i="3"/>
  <c r="B22" i="6" s="1"/>
  <c r="E23" i="3"/>
  <c r="B23" i="6" s="1"/>
  <c r="E24" i="3"/>
  <c r="B24" i="6" s="1"/>
  <c r="E25" i="3"/>
  <c r="B25" i="6" s="1"/>
  <c r="E26" i="3"/>
  <c r="B26" i="6" s="1"/>
  <c r="E27" i="3"/>
  <c r="B27" i="6" s="1"/>
  <c r="E28" i="3"/>
  <c r="B28" i="6" s="1"/>
  <c r="E29" i="3"/>
  <c r="B29" i="6" s="1"/>
  <c r="E30" i="3"/>
  <c r="B30" i="6" s="1"/>
  <c r="E31" i="3"/>
  <c r="B31" i="6" s="1"/>
  <c r="E32" i="3"/>
  <c r="B32" i="6" s="1"/>
  <c r="E33" i="3"/>
  <c r="B33" i="6" s="1"/>
  <c r="E34" i="3"/>
  <c r="B34" i="6" s="1"/>
  <c r="E35" i="3"/>
  <c r="B35" i="6" s="1"/>
  <c r="E36" i="3"/>
  <c r="B36" i="6" s="1"/>
  <c r="E37" i="3"/>
  <c r="B37" i="6" s="1"/>
  <c r="E38" i="3"/>
  <c r="B38" i="6" s="1"/>
  <c r="E39" i="3"/>
  <c r="B39" i="6" s="1"/>
  <c r="E40" i="3"/>
  <c r="B40" i="6" s="1"/>
  <c r="E41" i="3"/>
  <c r="B41" i="6" s="1"/>
  <c r="E42" i="3"/>
  <c r="B42" i="6" s="1"/>
  <c r="E43" i="3"/>
  <c r="B43" i="6" s="1"/>
  <c r="E44" i="3"/>
  <c r="B44" i="6" s="1"/>
  <c r="E45" i="3"/>
  <c r="B45" i="6" s="1"/>
  <c r="E46" i="3"/>
  <c r="B46" i="6" s="1"/>
  <c r="E47" i="3"/>
  <c r="B47" i="6" s="1"/>
  <c r="E48" i="3"/>
  <c r="B48" i="6" s="1"/>
  <c r="E49" i="3"/>
  <c r="B49" i="6" s="1"/>
  <c r="E50" i="3"/>
  <c r="B50" i="6" s="1"/>
  <c r="E51" i="3"/>
  <c r="B51" i="6" s="1"/>
  <c r="E52" i="3"/>
  <c r="B52" i="6" s="1"/>
  <c r="E53" i="3"/>
  <c r="B53" i="6" s="1"/>
  <c r="E54" i="3"/>
  <c r="B54" i="6" s="1"/>
  <c r="E55" i="3"/>
  <c r="B55" i="6" s="1"/>
  <c r="E56" i="3"/>
  <c r="B56" i="6" s="1"/>
  <c r="E57" i="3"/>
  <c r="B57" i="6" s="1"/>
  <c r="E58" i="3"/>
  <c r="B58" i="6" s="1"/>
  <c r="E59" i="3"/>
  <c r="B59" i="6" s="1"/>
  <c r="E60" i="3"/>
  <c r="B60" i="6" s="1"/>
  <c r="E61" i="3"/>
  <c r="B61" i="6" s="1"/>
  <c r="E62" i="3"/>
  <c r="B62" i="6" s="1"/>
  <c r="E63" i="3"/>
  <c r="B63" i="6" s="1"/>
  <c r="E64" i="3"/>
  <c r="B64" i="6" s="1"/>
  <c r="E65" i="3"/>
  <c r="B65" i="6" s="1"/>
  <c r="E66" i="3"/>
  <c r="B66" i="6" s="1"/>
  <c r="E67" i="3"/>
  <c r="B67" i="6" s="1"/>
  <c r="E68" i="3"/>
  <c r="B68" i="6" s="1"/>
  <c r="E69" i="3"/>
  <c r="B69" i="6" s="1"/>
  <c r="E70" i="3"/>
  <c r="B70" i="6" s="1"/>
  <c r="E71" i="3"/>
  <c r="B71" i="6" s="1"/>
  <c r="E72" i="3"/>
  <c r="B72" i="6" s="1"/>
  <c r="E73" i="3"/>
  <c r="B73" i="6" s="1"/>
  <c r="E74" i="3"/>
  <c r="B74" i="6" s="1"/>
  <c r="E75" i="3"/>
  <c r="B75" i="6" s="1"/>
  <c r="E76" i="3"/>
  <c r="B76" i="6" s="1"/>
  <c r="E77" i="3"/>
  <c r="B77" i="6" s="1"/>
  <c r="E78" i="3"/>
  <c r="B78" i="6" s="1"/>
  <c r="E79" i="3"/>
  <c r="B79" i="6" s="1"/>
  <c r="E80" i="3"/>
  <c r="B80" i="6" s="1"/>
  <c r="E81" i="3"/>
  <c r="B81" i="6" s="1"/>
  <c r="E82" i="3"/>
  <c r="B82" i="6" s="1"/>
  <c r="E83" i="3"/>
  <c r="B83" i="6" s="1"/>
  <c r="E84" i="3"/>
  <c r="B84" i="6" s="1"/>
  <c r="E85" i="3"/>
  <c r="B85" i="6" s="1"/>
  <c r="E86" i="3"/>
  <c r="B86" i="6" s="1"/>
  <c r="E87" i="3"/>
  <c r="B87" i="6" s="1"/>
  <c r="E88" i="3"/>
  <c r="B88" i="6" s="1"/>
  <c r="E89" i="3"/>
  <c r="B89" i="6" s="1"/>
  <c r="E90" i="3"/>
  <c r="B90" i="6" s="1"/>
  <c r="E91" i="3"/>
  <c r="B91" i="6" s="1"/>
  <c r="E92" i="3"/>
  <c r="B92" i="6" s="1"/>
  <c r="E93" i="3"/>
  <c r="B93" i="6" s="1"/>
  <c r="E94" i="3"/>
  <c r="B94" i="6" s="1"/>
  <c r="E95" i="3"/>
  <c r="B95" i="6" s="1"/>
  <c r="E96" i="3"/>
  <c r="B96" i="6" s="1"/>
  <c r="E97" i="3"/>
  <c r="B97" i="6" s="1"/>
  <c r="E98" i="3"/>
  <c r="B98" i="6" s="1"/>
  <c r="E99" i="3"/>
  <c r="B99" i="6" s="1"/>
  <c r="E100" i="3"/>
  <c r="B100" i="6" s="1"/>
  <c r="E101" i="3"/>
  <c r="B101" i="6" s="1"/>
  <c r="E102" i="3"/>
  <c r="B102" i="6" s="1"/>
  <c r="E103" i="3"/>
  <c r="B103" i="6" s="1"/>
  <c r="E104" i="3"/>
  <c r="B104" i="6" s="1"/>
  <c r="E105" i="3"/>
  <c r="B105" i="6" s="1"/>
  <c r="E106" i="3"/>
  <c r="B106" i="6" s="1"/>
  <c r="E107" i="3"/>
  <c r="B107" i="6" s="1"/>
  <c r="E108" i="3"/>
  <c r="B108" i="6" s="1"/>
  <c r="E109" i="3"/>
  <c r="B109" i="6" s="1"/>
  <c r="E110" i="3"/>
  <c r="B110" i="6" s="1"/>
  <c r="E111" i="3"/>
  <c r="B111" i="6" s="1"/>
  <c r="E112" i="3"/>
  <c r="B112" i="6" s="1"/>
  <c r="E113" i="3"/>
  <c r="B113" i="6" s="1"/>
  <c r="E114" i="3"/>
  <c r="B114" i="6" s="1"/>
  <c r="E115" i="3"/>
  <c r="B115" i="6" s="1"/>
  <c r="E116" i="3"/>
  <c r="B116" i="6" s="1"/>
  <c r="E117" i="3"/>
  <c r="B117" i="6" s="1"/>
  <c r="E118" i="3"/>
  <c r="B118" i="6" s="1"/>
  <c r="E119" i="3"/>
  <c r="B119" i="6" s="1"/>
  <c r="E120" i="3"/>
  <c r="B120" i="6" s="1"/>
  <c r="E121" i="3"/>
  <c r="B121" i="6" s="1"/>
  <c r="E122" i="3"/>
  <c r="B122" i="6" s="1"/>
  <c r="E123" i="3"/>
  <c r="B123" i="6" s="1"/>
  <c r="E124" i="3"/>
  <c r="B124" i="6" s="1"/>
  <c r="E125" i="3"/>
  <c r="B125" i="6" s="1"/>
  <c r="E126" i="3"/>
  <c r="B126" i="6" s="1"/>
  <c r="E127" i="3"/>
  <c r="B127" i="6" s="1"/>
  <c r="E128" i="3"/>
  <c r="B128" i="6" s="1"/>
  <c r="E129" i="3"/>
  <c r="B129" i="6" s="1"/>
  <c r="E130" i="3"/>
  <c r="B130" i="6" s="1"/>
  <c r="E131" i="3"/>
  <c r="B131" i="6" s="1"/>
  <c r="E132" i="3"/>
  <c r="B132" i="6" s="1"/>
  <c r="E133" i="3"/>
  <c r="B133" i="6" s="1"/>
  <c r="E134" i="3"/>
  <c r="B134" i="6" s="1"/>
  <c r="E135" i="3"/>
  <c r="F136" i="3" l="1"/>
  <c r="J136" i="6" s="1"/>
  <c r="B135" i="6"/>
  <c r="K52" i="6"/>
  <c r="F103" i="3"/>
  <c r="J103" i="6" s="1"/>
  <c r="F31" i="3"/>
  <c r="J31" i="6" s="1"/>
  <c r="K32" i="6"/>
  <c r="F94" i="3"/>
  <c r="J94" i="6" s="1"/>
  <c r="F22" i="3"/>
  <c r="J22" i="6" s="1"/>
  <c r="K120" i="6"/>
  <c r="K125" i="6"/>
  <c r="K86" i="6"/>
  <c r="K46" i="6"/>
  <c r="K105" i="6"/>
  <c r="K24" i="6"/>
  <c r="K27" i="6"/>
  <c r="K23" i="6"/>
  <c r="K64" i="6"/>
  <c r="F133" i="3"/>
  <c r="J133" i="6" s="1"/>
  <c r="F125" i="3"/>
  <c r="J125" i="6" s="1"/>
  <c r="F117" i="3"/>
  <c r="J117" i="6" s="1"/>
  <c r="F109" i="3"/>
  <c r="J109" i="6" s="1"/>
  <c r="F101" i="3"/>
  <c r="J101" i="6" s="1"/>
  <c r="F93" i="3"/>
  <c r="J93" i="6" s="1"/>
  <c r="F85" i="3"/>
  <c r="J85" i="6" s="1"/>
  <c r="F77" i="3"/>
  <c r="J77" i="6" s="1"/>
  <c r="F69" i="3"/>
  <c r="J69" i="6" s="1"/>
  <c r="F61" i="3"/>
  <c r="J61" i="6" s="1"/>
  <c r="F53" i="3"/>
  <c r="J53" i="6" s="1"/>
  <c r="F45" i="3"/>
  <c r="J45" i="6" s="1"/>
  <c r="F37" i="3"/>
  <c r="J37" i="6" s="1"/>
  <c r="F29" i="3"/>
  <c r="J29" i="6" s="1"/>
  <c r="F21" i="3"/>
  <c r="J21" i="6" s="1"/>
  <c r="K26" i="6"/>
  <c r="K95" i="6"/>
  <c r="K112" i="6"/>
  <c r="K70" i="6"/>
  <c r="K135" i="6"/>
  <c r="K129" i="6"/>
  <c r="K117" i="6"/>
  <c r="K103" i="6"/>
  <c r="K56" i="6"/>
  <c r="K101" i="6"/>
  <c r="K20" i="6"/>
  <c r="K81" i="6"/>
  <c r="K42" i="6"/>
  <c r="K54" i="6"/>
  <c r="K51" i="6"/>
  <c r="F111" i="3"/>
  <c r="J111" i="6" s="1"/>
  <c r="F39" i="3"/>
  <c r="J39" i="6" s="1"/>
  <c r="K22" i="6"/>
  <c r="K34" i="6"/>
  <c r="K136" i="6"/>
  <c r="F78" i="3"/>
  <c r="J78" i="6" s="1"/>
  <c r="F30" i="3"/>
  <c r="J30" i="6" s="1"/>
  <c r="K74" i="6"/>
  <c r="K89" i="6"/>
  <c r="K38" i="6"/>
  <c r="K39" i="6"/>
  <c r="K73" i="6"/>
  <c r="K63" i="6"/>
  <c r="F132" i="3"/>
  <c r="J132" i="6" s="1"/>
  <c r="F124" i="3"/>
  <c r="J124" i="6" s="1"/>
  <c r="F116" i="3"/>
  <c r="J116" i="6" s="1"/>
  <c r="F108" i="3"/>
  <c r="J108" i="6" s="1"/>
  <c r="F100" i="3"/>
  <c r="J100" i="6" s="1"/>
  <c r="F92" i="3"/>
  <c r="J92" i="6" s="1"/>
  <c r="F84" i="3"/>
  <c r="J84" i="6" s="1"/>
  <c r="F76" i="3"/>
  <c r="J76" i="6" s="1"/>
  <c r="F68" i="3"/>
  <c r="J68" i="6" s="1"/>
  <c r="F60" i="3"/>
  <c r="J60" i="6" s="1"/>
  <c r="F52" i="3"/>
  <c r="J52" i="6" s="1"/>
  <c r="F44" i="3"/>
  <c r="J44" i="6" s="1"/>
  <c r="F36" i="3"/>
  <c r="J36" i="6" s="1"/>
  <c r="F28" i="3"/>
  <c r="J28" i="6" s="1"/>
  <c r="F20" i="3"/>
  <c r="J20" i="6" s="1"/>
  <c r="C136" i="6"/>
  <c r="K60" i="6"/>
  <c r="K28" i="6"/>
  <c r="K37" i="6"/>
  <c r="K130" i="6"/>
  <c r="K132" i="6"/>
  <c r="K30" i="6"/>
  <c r="K128" i="6"/>
  <c r="K84" i="6"/>
  <c r="K78" i="6"/>
  <c r="K72" i="6"/>
  <c r="K123" i="6"/>
  <c r="K77" i="6"/>
  <c r="K118" i="6"/>
  <c r="K45" i="6"/>
  <c r="F79" i="3"/>
  <c r="J79" i="6" s="1"/>
  <c r="K25" i="6"/>
  <c r="F126" i="3"/>
  <c r="J126" i="6" s="1"/>
  <c r="F54" i="3"/>
  <c r="J54" i="6" s="1"/>
  <c r="F131" i="3"/>
  <c r="J131" i="6" s="1"/>
  <c r="F123" i="3"/>
  <c r="J123" i="6" s="1"/>
  <c r="F115" i="3"/>
  <c r="J115" i="6" s="1"/>
  <c r="F107" i="3"/>
  <c r="J107" i="6" s="1"/>
  <c r="F99" i="3"/>
  <c r="J99" i="6" s="1"/>
  <c r="F91" i="3"/>
  <c r="J91" i="6" s="1"/>
  <c r="F83" i="3"/>
  <c r="J83" i="6" s="1"/>
  <c r="F75" i="3"/>
  <c r="J75" i="6" s="1"/>
  <c r="F67" i="3"/>
  <c r="J67" i="6" s="1"/>
  <c r="F59" i="3"/>
  <c r="J59" i="6" s="1"/>
  <c r="F51" i="3"/>
  <c r="J51" i="6" s="1"/>
  <c r="F43" i="3"/>
  <c r="J43" i="6" s="1"/>
  <c r="F35" i="3"/>
  <c r="J35" i="6" s="1"/>
  <c r="F27" i="3"/>
  <c r="J27" i="6" s="1"/>
  <c r="F19" i="3"/>
  <c r="J19" i="6" s="1"/>
  <c r="K80" i="6"/>
  <c r="K41" i="6"/>
  <c r="K96" i="6"/>
  <c r="K99" i="6"/>
  <c r="K36" i="6"/>
  <c r="K82" i="6"/>
  <c r="K75" i="6"/>
  <c r="K115" i="6"/>
  <c r="K124" i="6"/>
  <c r="K76" i="6"/>
  <c r="K31" i="6"/>
  <c r="K134" i="6"/>
  <c r="K108" i="6"/>
  <c r="K65" i="6"/>
  <c r="K122" i="6"/>
  <c r="F135" i="3"/>
  <c r="J135" i="6" s="1"/>
  <c r="F87" i="3"/>
  <c r="J87" i="6" s="1"/>
  <c r="F47" i="3"/>
  <c r="J47" i="6" s="1"/>
  <c r="K93" i="6"/>
  <c r="F134" i="3"/>
  <c r="J134" i="6" s="1"/>
  <c r="F46" i="3"/>
  <c r="J46" i="6" s="1"/>
  <c r="F130" i="3"/>
  <c r="J130" i="6" s="1"/>
  <c r="F122" i="3"/>
  <c r="J122" i="6" s="1"/>
  <c r="F114" i="3"/>
  <c r="J114" i="6" s="1"/>
  <c r="F106" i="3"/>
  <c r="J106" i="6" s="1"/>
  <c r="F98" i="3"/>
  <c r="J98" i="6" s="1"/>
  <c r="F90" i="3"/>
  <c r="J90" i="6" s="1"/>
  <c r="F82" i="3"/>
  <c r="J82" i="6" s="1"/>
  <c r="F74" i="3"/>
  <c r="J74" i="6" s="1"/>
  <c r="F66" i="3"/>
  <c r="J66" i="6" s="1"/>
  <c r="F58" i="3"/>
  <c r="J58" i="6" s="1"/>
  <c r="F50" i="3"/>
  <c r="J50" i="6" s="1"/>
  <c r="F42" i="3"/>
  <c r="J42" i="6" s="1"/>
  <c r="F34" i="3"/>
  <c r="J34" i="6" s="1"/>
  <c r="F26" i="3"/>
  <c r="J26" i="6" s="1"/>
  <c r="F18" i="3"/>
  <c r="J18" i="6" s="1"/>
  <c r="K71" i="6"/>
  <c r="K50" i="6"/>
  <c r="K62" i="6"/>
  <c r="K69" i="6"/>
  <c r="K116" i="6"/>
  <c r="K40" i="6"/>
  <c r="K18" i="6"/>
  <c r="K121" i="6"/>
  <c r="K66" i="6"/>
  <c r="K85" i="6"/>
  <c r="K100" i="6"/>
  <c r="K19" i="6"/>
  <c r="K127" i="6"/>
  <c r="K79" i="6"/>
  <c r="F119" i="3"/>
  <c r="J119" i="6" s="1"/>
  <c r="F63" i="3"/>
  <c r="J63" i="6" s="1"/>
  <c r="O5" i="5"/>
  <c r="O5" i="4"/>
  <c r="K102" i="6"/>
  <c r="K58" i="6"/>
  <c r="K113" i="6"/>
  <c r="K49" i="6"/>
  <c r="F118" i="3"/>
  <c r="J118" i="6" s="1"/>
  <c r="F102" i="3"/>
  <c r="J102" i="6" s="1"/>
  <c r="F70" i="3"/>
  <c r="J70" i="6" s="1"/>
  <c r="F38" i="3"/>
  <c r="J38" i="6" s="1"/>
  <c r="F129" i="3"/>
  <c r="J129" i="6" s="1"/>
  <c r="F121" i="3"/>
  <c r="J121" i="6" s="1"/>
  <c r="F113" i="3"/>
  <c r="J113" i="6" s="1"/>
  <c r="F105" i="3"/>
  <c r="J105" i="6" s="1"/>
  <c r="F97" i="3"/>
  <c r="J97" i="6" s="1"/>
  <c r="F89" i="3"/>
  <c r="J89" i="6" s="1"/>
  <c r="F81" i="3"/>
  <c r="J81" i="6" s="1"/>
  <c r="F73" i="3"/>
  <c r="J73" i="6" s="1"/>
  <c r="F65" i="3"/>
  <c r="J65" i="6" s="1"/>
  <c r="F57" i="3"/>
  <c r="J57" i="6" s="1"/>
  <c r="F49" i="3"/>
  <c r="J49" i="6" s="1"/>
  <c r="F41" i="3"/>
  <c r="J41" i="6" s="1"/>
  <c r="F33" i="3"/>
  <c r="J33" i="6" s="1"/>
  <c r="F25" i="3"/>
  <c r="J25" i="6" s="1"/>
  <c r="O6" i="5"/>
  <c r="O6" i="4"/>
  <c r="K92" i="6"/>
  <c r="K109" i="6"/>
  <c r="K110" i="6"/>
  <c r="K133" i="6"/>
  <c r="K107" i="6"/>
  <c r="K90" i="6"/>
  <c r="K21" i="6"/>
  <c r="K35" i="6"/>
  <c r="K47" i="6"/>
  <c r="K106" i="6"/>
  <c r="K88" i="6"/>
  <c r="K29" i="6"/>
  <c r="K131" i="6"/>
  <c r="K104" i="6"/>
  <c r="K53" i="6"/>
  <c r="F127" i="3"/>
  <c r="J127" i="6" s="1"/>
  <c r="F95" i="3"/>
  <c r="J95" i="6" s="1"/>
  <c r="F71" i="3"/>
  <c r="J71" i="6" s="1"/>
  <c r="F55" i="3"/>
  <c r="J55" i="6" s="1"/>
  <c r="F23" i="3"/>
  <c r="J23" i="6" s="1"/>
  <c r="K114" i="6"/>
  <c r="K119" i="6"/>
  <c r="K59" i="6"/>
  <c r="K94" i="6"/>
  <c r="K48" i="6"/>
  <c r="F110" i="3"/>
  <c r="J110" i="6" s="1"/>
  <c r="F86" i="3"/>
  <c r="J86" i="6" s="1"/>
  <c r="F62" i="3"/>
  <c r="J62" i="6" s="1"/>
  <c r="F128" i="3"/>
  <c r="J128" i="6" s="1"/>
  <c r="F120" i="3"/>
  <c r="J120" i="6" s="1"/>
  <c r="F112" i="3"/>
  <c r="J112" i="6" s="1"/>
  <c r="F104" i="3"/>
  <c r="J104" i="6" s="1"/>
  <c r="F96" i="3"/>
  <c r="J96" i="6" s="1"/>
  <c r="F88" i="3"/>
  <c r="J88" i="6" s="1"/>
  <c r="F80" i="3"/>
  <c r="J80" i="6" s="1"/>
  <c r="F72" i="3"/>
  <c r="J72" i="6" s="1"/>
  <c r="F64" i="3"/>
  <c r="J64" i="6" s="1"/>
  <c r="F56" i="3"/>
  <c r="J56" i="6" s="1"/>
  <c r="F48" i="3"/>
  <c r="J48" i="6" s="1"/>
  <c r="F40" i="3"/>
  <c r="J40" i="6" s="1"/>
  <c r="F32" i="3"/>
  <c r="J32" i="6" s="1"/>
  <c r="F24" i="3"/>
  <c r="J24" i="6" s="1"/>
  <c r="K44" i="6"/>
  <c r="K91" i="6"/>
  <c r="K33" i="6"/>
  <c r="K55" i="6"/>
  <c r="K61" i="6"/>
  <c r="K126" i="6"/>
  <c r="K87" i="6"/>
  <c r="K68" i="6"/>
  <c r="K67" i="6"/>
  <c r="K83" i="6"/>
  <c r="K111" i="6"/>
  <c r="K97" i="6"/>
  <c r="K57" i="6"/>
  <c r="K98" i="6"/>
  <c r="K43" i="6"/>
  <c r="D136" i="6" l="1"/>
  <c r="D120" i="6"/>
  <c r="C120" i="6"/>
  <c r="AO11" i="6"/>
  <c r="D90" i="6"/>
  <c r="C90" i="6"/>
  <c r="D59" i="6"/>
  <c r="C59" i="6"/>
  <c r="D55" i="6"/>
  <c r="C55" i="6"/>
  <c r="AO21" i="6"/>
  <c r="D47" i="6"/>
  <c r="C47" i="6"/>
  <c r="AO22" i="6"/>
  <c r="D32" i="6"/>
  <c r="C32" i="6"/>
  <c r="D64" i="6"/>
  <c r="C64" i="6"/>
  <c r="AO20" i="6"/>
  <c r="D96" i="6"/>
  <c r="C96" i="6"/>
  <c r="C128" i="6"/>
  <c r="D128" i="6"/>
  <c r="D25" i="6"/>
  <c r="C25" i="6"/>
  <c r="D57" i="6"/>
  <c r="C57" i="6"/>
  <c r="D89" i="6"/>
  <c r="C89" i="6"/>
  <c r="D121" i="6"/>
  <c r="C121" i="6"/>
  <c r="D102" i="6"/>
  <c r="C102" i="6"/>
  <c r="D34" i="6"/>
  <c r="C34" i="6"/>
  <c r="D66" i="6"/>
  <c r="C66" i="6"/>
  <c r="D98" i="6"/>
  <c r="C98" i="6"/>
  <c r="C130" i="6"/>
  <c r="D130" i="6"/>
  <c r="D35" i="6"/>
  <c r="C35" i="6"/>
  <c r="D67" i="6"/>
  <c r="C67" i="6"/>
  <c r="D99" i="6"/>
  <c r="C99" i="6"/>
  <c r="AO14" i="6"/>
  <c r="C131" i="6"/>
  <c r="D131" i="6"/>
  <c r="D94" i="6"/>
  <c r="C94" i="6"/>
  <c r="D56" i="6"/>
  <c r="C56" i="6"/>
  <c r="D110" i="6"/>
  <c r="C110" i="6"/>
  <c r="D81" i="6"/>
  <c r="AO17" i="6"/>
  <c r="C81" i="6"/>
  <c r="D123" i="6"/>
  <c r="C123" i="6"/>
  <c r="D44" i="6"/>
  <c r="C44" i="6"/>
  <c r="C76" i="6"/>
  <c r="D76" i="6"/>
  <c r="D108" i="6"/>
  <c r="C108" i="6"/>
  <c r="D78" i="6"/>
  <c r="C78" i="6"/>
  <c r="D21" i="6"/>
  <c r="C21" i="6"/>
  <c r="D71" i="6"/>
  <c r="C71" i="6"/>
  <c r="D87" i="6"/>
  <c r="C87" i="6"/>
  <c r="D20" i="6"/>
  <c r="C20" i="6"/>
  <c r="D52" i="6"/>
  <c r="C52" i="6"/>
  <c r="C84" i="6"/>
  <c r="D84" i="6"/>
  <c r="D116" i="6"/>
  <c r="C116" i="6"/>
  <c r="AO25" i="6"/>
  <c r="D29" i="6"/>
  <c r="C29" i="6"/>
  <c r="D61" i="6"/>
  <c r="C61" i="6"/>
  <c r="D93" i="6"/>
  <c r="C93" i="6"/>
  <c r="D125" i="6"/>
  <c r="C125" i="6"/>
  <c r="AO10" i="6"/>
  <c r="C88" i="6"/>
  <c r="D88" i="6"/>
  <c r="C70" i="6"/>
  <c r="D70" i="6"/>
  <c r="D79" i="6"/>
  <c r="C79" i="6"/>
  <c r="D53" i="6"/>
  <c r="C53" i="6"/>
  <c r="D40" i="6"/>
  <c r="C40" i="6"/>
  <c r="C72" i="6"/>
  <c r="D72" i="6"/>
  <c r="C104" i="6"/>
  <c r="D104" i="6"/>
  <c r="D62" i="6"/>
  <c r="C62" i="6"/>
  <c r="D33" i="6"/>
  <c r="C33" i="6"/>
  <c r="D65" i="6"/>
  <c r="C65" i="6"/>
  <c r="D97" i="6"/>
  <c r="C97" i="6"/>
  <c r="C129" i="6"/>
  <c r="D129" i="6"/>
  <c r="D118" i="6"/>
  <c r="C118" i="6"/>
  <c r="D63" i="6"/>
  <c r="C63" i="6"/>
  <c r="D42" i="6"/>
  <c r="C42" i="6"/>
  <c r="AO23" i="6"/>
  <c r="C74" i="6"/>
  <c r="D74" i="6"/>
  <c r="D106" i="6"/>
  <c r="C106" i="6"/>
  <c r="D46" i="6"/>
  <c r="C46" i="6"/>
  <c r="D43" i="6"/>
  <c r="C43" i="6"/>
  <c r="D75" i="6"/>
  <c r="C75" i="6"/>
  <c r="D107" i="6"/>
  <c r="C107" i="6"/>
  <c r="AO13" i="6"/>
  <c r="D54" i="6"/>
  <c r="C54" i="6"/>
  <c r="D28" i="6"/>
  <c r="C28" i="6"/>
  <c r="D124" i="6"/>
  <c r="C124" i="6"/>
  <c r="D113" i="6"/>
  <c r="C113" i="6"/>
  <c r="C26" i="6"/>
  <c r="D26" i="6"/>
  <c r="D85" i="6"/>
  <c r="C85" i="6"/>
  <c r="D95" i="6"/>
  <c r="C95" i="6"/>
  <c r="AO15" i="6"/>
  <c r="C135" i="6"/>
  <c r="D135" i="6"/>
  <c r="AO8" i="6"/>
  <c r="D60" i="6"/>
  <c r="C60" i="6"/>
  <c r="C92" i="6"/>
  <c r="D92" i="6"/>
  <c r="D37" i="6"/>
  <c r="C37" i="6"/>
  <c r="D69" i="6"/>
  <c r="C69" i="6"/>
  <c r="D101" i="6"/>
  <c r="C101" i="6"/>
  <c r="C133" i="6"/>
  <c r="D133" i="6"/>
  <c r="AO9" i="6"/>
  <c r="D31" i="6"/>
  <c r="C31" i="6"/>
  <c r="D91" i="6"/>
  <c r="C91" i="6"/>
  <c r="AO16" i="6"/>
  <c r="C22" i="6"/>
  <c r="AO26" i="6"/>
  <c r="D22" i="6"/>
  <c r="D48" i="6"/>
  <c r="C48" i="6"/>
  <c r="D80" i="6"/>
  <c r="C80" i="6"/>
  <c r="D112" i="6"/>
  <c r="C112" i="6"/>
  <c r="D86" i="6"/>
  <c r="C86" i="6"/>
  <c r="D23" i="6"/>
  <c r="C23" i="6"/>
  <c r="D41" i="6"/>
  <c r="C41" i="6"/>
  <c r="D73" i="6"/>
  <c r="C73" i="6"/>
  <c r="AO18" i="6"/>
  <c r="D105" i="6"/>
  <c r="C105" i="6"/>
  <c r="D38" i="6"/>
  <c r="C38" i="6"/>
  <c r="D119" i="6"/>
  <c r="C119" i="6"/>
  <c r="C18" i="6"/>
  <c r="AO27" i="6"/>
  <c r="AP27" i="6" s="1"/>
  <c r="D18" i="6"/>
  <c r="D50" i="6"/>
  <c r="C50" i="6"/>
  <c r="D82" i="6"/>
  <c r="C82" i="6"/>
  <c r="D114" i="6"/>
  <c r="C114" i="6"/>
  <c r="C134" i="6"/>
  <c r="D134" i="6"/>
  <c r="D19" i="6"/>
  <c r="C19" i="6"/>
  <c r="D51" i="6"/>
  <c r="C51" i="6"/>
  <c r="D83" i="6"/>
  <c r="C83" i="6"/>
  <c r="D115" i="6"/>
  <c r="C115" i="6"/>
  <c r="D126" i="6"/>
  <c r="C126" i="6"/>
  <c r="D36" i="6"/>
  <c r="C36" i="6"/>
  <c r="D39" i="6"/>
  <c r="AO24" i="6"/>
  <c r="C39" i="6"/>
  <c r="D24" i="6"/>
  <c r="C24" i="6"/>
  <c r="D49" i="6"/>
  <c r="C49" i="6"/>
  <c r="D58" i="6"/>
  <c r="C58" i="6"/>
  <c r="D122" i="6"/>
  <c r="C122" i="6"/>
  <c r="D27" i="6"/>
  <c r="C27" i="6"/>
  <c r="D117" i="6"/>
  <c r="C117" i="6"/>
  <c r="AO12" i="6"/>
  <c r="D127" i="6"/>
  <c r="C127" i="6"/>
  <c r="D68" i="6"/>
  <c r="C68" i="6"/>
  <c r="AO19" i="6"/>
  <c r="C100" i="6"/>
  <c r="D100" i="6"/>
  <c r="C132" i="6"/>
  <c r="D132" i="6"/>
  <c r="D30" i="6"/>
  <c r="C30" i="6"/>
  <c r="D111" i="6"/>
  <c r="C111" i="6"/>
  <c r="D45" i="6"/>
  <c r="C45" i="6"/>
  <c r="D77" i="6"/>
  <c r="C77" i="6"/>
  <c r="D109" i="6"/>
  <c r="C109" i="6"/>
  <c r="D103" i="6"/>
  <c r="C103" i="6"/>
  <c r="AP19" i="6" l="1"/>
  <c r="AP16" i="6"/>
  <c r="AP20" i="6"/>
  <c r="AP15" i="6"/>
  <c r="AP12" i="6"/>
  <c r="AC17" i="6"/>
  <c r="AP14" i="6"/>
  <c r="AP24" i="6"/>
  <c r="S45" i="6"/>
  <c r="W45" i="6" s="1"/>
  <c r="S117" i="6"/>
  <c r="W117" i="6" s="1"/>
  <c r="S49" i="6"/>
  <c r="W49" i="6" s="1"/>
  <c r="AP10" i="6"/>
  <c r="S69" i="6"/>
  <c r="W69" i="6" s="1"/>
  <c r="S103" i="6"/>
  <c r="W103" i="6" s="1"/>
  <c r="S111" i="6"/>
  <c r="W111" i="6" s="1"/>
  <c r="S27" i="6"/>
  <c r="W27" i="6" s="1"/>
  <c r="S24" i="6"/>
  <c r="W24" i="6" s="1"/>
  <c r="S134" i="6"/>
  <c r="W134" i="6" s="1"/>
  <c r="S18" i="6"/>
  <c r="S105" i="6"/>
  <c r="W105" i="6" s="1"/>
  <c r="S22" i="6"/>
  <c r="W22" i="6" s="1"/>
  <c r="AP9" i="6"/>
  <c r="S37" i="6"/>
  <c r="W37" i="6" s="1"/>
  <c r="AP13" i="6"/>
  <c r="S46" i="6"/>
  <c r="W46" i="6" s="1"/>
  <c r="S53" i="6"/>
  <c r="W53" i="6" s="1"/>
  <c r="AP25" i="6"/>
  <c r="S20" i="6"/>
  <c r="W20" i="6" s="1"/>
  <c r="S99" i="6"/>
  <c r="W99" i="6" s="1"/>
  <c r="S98" i="6"/>
  <c r="W98" i="6" s="1"/>
  <c r="S121" i="6"/>
  <c r="W121" i="6" s="1"/>
  <c r="S59" i="6"/>
  <c r="W59" i="6" s="1"/>
  <c r="S135" i="6"/>
  <c r="W135" i="6" s="1"/>
  <c r="S52" i="6"/>
  <c r="W52" i="6" s="1"/>
  <c r="S55" i="6"/>
  <c r="W55" i="6" s="1"/>
  <c r="S50" i="6"/>
  <c r="W50" i="6" s="1"/>
  <c r="S42" i="6"/>
  <c r="W42" i="6" s="1"/>
  <c r="S68" i="6"/>
  <c r="W68" i="6" s="1"/>
  <c r="S115" i="6"/>
  <c r="W115" i="6" s="1"/>
  <c r="AP18" i="6"/>
  <c r="S86" i="6"/>
  <c r="W86" i="6" s="1"/>
  <c r="AP26" i="6"/>
  <c r="S133" i="6"/>
  <c r="W133" i="6" s="1"/>
  <c r="S92" i="6"/>
  <c r="W92" i="6" s="1"/>
  <c r="S113" i="6"/>
  <c r="W113" i="6" s="1"/>
  <c r="S63" i="6"/>
  <c r="W63" i="6" s="1"/>
  <c r="S65" i="6"/>
  <c r="W65" i="6" s="1"/>
  <c r="S72" i="6"/>
  <c r="W72" i="6" s="1"/>
  <c r="S125" i="6"/>
  <c r="W125" i="6" s="1"/>
  <c r="S78" i="6"/>
  <c r="W78" i="6" s="1"/>
  <c r="S56" i="6"/>
  <c r="W56" i="6" s="1"/>
  <c r="AP22" i="6"/>
  <c r="S25" i="6"/>
  <c r="W25" i="6" s="1"/>
  <c r="S19" i="6"/>
  <c r="W19" i="6" s="1"/>
  <c r="S54" i="6"/>
  <c r="W54" i="6" s="1"/>
  <c r="S29" i="6"/>
  <c r="W29" i="6" s="1"/>
  <c r="S110" i="6"/>
  <c r="W110" i="6" s="1"/>
  <c r="S109" i="6"/>
  <c r="W109" i="6" s="1"/>
  <c r="S30" i="6"/>
  <c r="W30" i="6" s="1"/>
  <c r="S122" i="6"/>
  <c r="W122" i="6" s="1"/>
  <c r="S95" i="6"/>
  <c r="W95" i="6" s="1"/>
  <c r="S107" i="6"/>
  <c r="W107" i="6" s="1"/>
  <c r="S106" i="6"/>
  <c r="W106" i="6" s="1"/>
  <c r="S79" i="6"/>
  <c r="W79" i="6" s="1"/>
  <c r="S116" i="6"/>
  <c r="W116" i="6" s="1"/>
  <c r="S87" i="6"/>
  <c r="W87" i="6" s="1"/>
  <c r="S123" i="6"/>
  <c r="W123" i="6" s="1"/>
  <c r="S67" i="6"/>
  <c r="W67" i="6" s="1"/>
  <c r="S66" i="6"/>
  <c r="W66" i="6" s="1"/>
  <c r="S89" i="6"/>
  <c r="W89" i="6" s="1"/>
  <c r="S96" i="6"/>
  <c r="W96" i="6" s="1"/>
  <c r="S90" i="6"/>
  <c r="W90" i="6" s="1"/>
  <c r="S43" i="6"/>
  <c r="W43" i="6" s="1"/>
  <c r="S23" i="6"/>
  <c r="W23" i="6" s="1"/>
  <c r="S21" i="6"/>
  <c r="W21" i="6" s="1"/>
  <c r="S32" i="6"/>
  <c r="W32" i="6" s="1"/>
  <c r="S132" i="6"/>
  <c r="W132" i="6" s="1"/>
  <c r="S127" i="6"/>
  <c r="W127" i="6" s="1"/>
  <c r="S39" i="6"/>
  <c r="W39" i="6" s="1"/>
  <c r="S83" i="6"/>
  <c r="W83" i="6" s="1"/>
  <c r="S114" i="6"/>
  <c r="W114" i="6" s="1"/>
  <c r="S73" i="6"/>
  <c r="W73" i="6" s="1"/>
  <c r="S112" i="6"/>
  <c r="W112" i="6" s="1"/>
  <c r="S124" i="6"/>
  <c r="W124" i="6" s="1"/>
  <c r="S74" i="6"/>
  <c r="W74" i="6" s="1"/>
  <c r="S118" i="6"/>
  <c r="W118" i="6" s="1"/>
  <c r="S33" i="6"/>
  <c r="W33" i="6" s="1"/>
  <c r="S70" i="6"/>
  <c r="W70" i="6" s="1"/>
  <c r="S93" i="6"/>
  <c r="W93" i="6" s="1"/>
  <c r="S84" i="6"/>
  <c r="W84" i="6" s="1"/>
  <c r="S108" i="6"/>
  <c r="W108" i="6" s="1"/>
  <c r="S94" i="6"/>
  <c r="W94" i="6" s="1"/>
  <c r="S47" i="6"/>
  <c r="W47" i="6" s="1"/>
  <c r="AP11" i="6"/>
  <c r="S31" i="6"/>
  <c r="W31" i="6" s="1"/>
  <c r="S104" i="6"/>
  <c r="W104" i="6" s="1"/>
  <c r="S44" i="6"/>
  <c r="W44" i="6" s="1"/>
  <c r="S77" i="6"/>
  <c r="W77" i="6" s="1"/>
  <c r="S58" i="6"/>
  <c r="W58" i="6" s="1"/>
  <c r="S119" i="6"/>
  <c r="W119" i="6" s="1"/>
  <c r="S101" i="6"/>
  <c r="W101" i="6" s="1"/>
  <c r="S60" i="6"/>
  <c r="W60" i="6" s="1"/>
  <c r="S85" i="6"/>
  <c r="W85" i="6" s="1"/>
  <c r="S75" i="6"/>
  <c r="W75" i="6" s="1"/>
  <c r="S129" i="6"/>
  <c r="W129" i="6" s="1"/>
  <c r="S40" i="6"/>
  <c r="W40" i="6" s="1"/>
  <c r="S71" i="6"/>
  <c r="W71" i="6" s="1"/>
  <c r="S76" i="6"/>
  <c r="W76" i="6" s="1"/>
  <c r="AP17" i="6"/>
  <c r="S131" i="6"/>
  <c r="W131" i="6" s="1"/>
  <c r="S35" i="6"/>
  <c r="W35" i="6" s="1"/>
  <c r="S34" i="6"/>
  <c r="W34" i="6" s="1"/>
  <c r="S57" i="6"/>
  <c r="W57" i="6" s="1"/>
  <c r="AP21" i="6"/>
  <c r="S38" i="6"/>
  <c r="W38" i="6" s="1"/>
  <c r="S26" i="6"/>
  <c r="W26" i="6" s="1"/>
  <c r="S102" i="6"/>
  <c r="W102" i="6" s="1"/>
  <c r="S126" i="6"/>
  <c r="W126" i="6" s="1"/>
  <c r="S48" i="6"/>
  <c r="W48" i="6" s="1"/>
  <c r="S97" i="6"/>
  <c r="W97" i="6" s="1"/>
  <c r="S128" i="6"/>
  <c r="W128" i="6" s="1"/>
  <c r="S100" i="6"/>
  <c r="W100" i="6" s="1"/>
  <c r="S36" i="6"/>
  <c r="W36" i="6" s="1"/>
  <c r="S51" i="6"/>
  <c r="W51" i="6" s="1"/>
  <c r="S82" i="6"/>
  <c r="W82" i="6" s="1"/>
  <c r="S41" i="6"/>
  <c r="W41" i="6" s="1"/>
  <c r="S80" i="6"/>
  <c r="W80" i="6" s="1"/>
  <c r="S91" i="6"/>
  <c r="W91" i="6" s="1"/>
  <c r="AP8" i="6"/>
  <c r="AP7" i="6"/>
  <c r="S136" i="6"/>
  <c r="W136" i="6" s="1"/>
  <c r="S28" i="6"/>
  <c r="W28" i="6" s="1"/>
  <c r="AP23" i="6"/>
  <c r="S62" i="6"/>
  <c r="W62" i="6" s="1"/>
  <c r="S88" i="6"/>
  <c r="W88" i="6" s="1"/>
  <c r="S61" i="6"/>
  <c r="W61" i="6" s="1"/>
  <c r="S81" i="6"/>
  <c r="W81" i="6" s="1"/>
  <c r="S130" i="6"/>
  <c r="W130" i="6" s="1"/>
  <c r="S64" i="6"/>
  <c r="W64" i="6" s="1"/>
  <c r="S120" i="6"/>
  <c r="W120" i="6" s="1"/>
  <c r="W18" i="6" l="1"/>
  <c r="X18" i="6" s="1"/>
  <c r="X19" i="6" s="1"/>
  <c r="X20" i="6" s="1"/>
  <c r="AD17" i="6"/>
  <c r="X21" i="6" l="1"/>
  <c r="X22" i="6" l="1"/>
  <c r="X23" i="6" l="1"/>
  <c r="X24" i="6" l="1"/>
  <c r="X25" i="6" l="1"/>
  <c r="X26" i="6" l="1"/>
  <c r="X27" i="6" l="1"/>
  <c r="X28" i="6" l="1"/>
  <c r="X29" i="6" l="1"/>
  <c r="X30" i="6" l="1"/>
  <c r="X31" i="6" l="1"/>
  <c r="X32" i="6" l="1"/>
  <c r="X33" i="6" l="1"/>
  <c r="X34" i="6" l="1"/>
  <c r="X35" i="6" l="1"/>
  <c r="X36" i="6" l="1"/>
  <c r="X37" i="6" l="1"/>
  <c r="X38" i="6" l="1"/>
  <c r="X39" i="6" l="1"/>
  <c r="X40" i="6" l="1"/>
  <c r="X41" i="6" l="1"/>
  <c r="X42" i="6" l="1"/>
  <c r="X43" i="6" l="1"/>
  <c r="X44" i="6" l="1"/>
  <c r="X45" i="6" l="1"/>
  <c r="X46" i="6" l="1"/>
  <c r="X47" i="6" l="1"/>
  <c r="X48" i="6" l="1"/>
  <c r="X49" i="6" l="1"/>
  <c r="X50" i="6" l="1"/>
  <c r="X51" i="6" l="1"/>
  <c r="X52" i="6" l="1"/>
  <c r="X53" i="6" l="1"/>
  <c r="X54" i="6" l="1"/>
  <c r="X55" i="6" l="1"/>
  <c r="X56" i="6" l="1"/>
  <c r="X57" i="6" l="1"/>
  <c r="X58" i="6" l="1"/>
  <c r="X59" i="6" l="1"/>
  <c r="X60" i="6" l="1"/>
  <c r="X61" i="6" l="1"/>
  <c r="X62" i="6" l="1"/>
  <c r="X63" i="6" l="1"/>
  <c r="X64" i="6" l="1"/>
  <c r="X65" i="6" l="1"/>
  <c r="X66" i="6" l="1"/>
  <c r="X67" i="6" l="1"/>
  <c r="X68" i="6" l="1"/>
  <c r="X69" i="6" l="1"/>
  <c r="X70" i="6" l="1"/>
  <c r="X71" i="6" l="1"/>
  <c r="X72" i="6" l="1"/>
  <c r="X73" i="6" l="1"/>
  <c r="X74" i="6" l="1"/>
  <c r="X75" i="6" l="1"/>
  <c r="X76" i="6" l="1"/>
  <c r="X77" i="6" l="1"/>
  <c r="X78" i="6" l="1"/>
  <c r="X79" i="6" l="1"/>
  <c r="X80" i="6" l="1"/>
  <c r="X81" i="6" l="1"/>
  <c r="X82" i="6" l="1"/>
  <c r="X83" i="6" l="1"/>
  <c r="X84" i="6" l="1"/>
  <c r="X85" i="6" l="1"/>
  <c r="X86" i="6" l="1"/>
  <c r="X87" i="6" l="1"/>
  <c r="X88" i="6" l="1"/>
  <c r="X89" i="6" l="1"/>
  <c r="X90" i="6" l="1"/>
  <c r="X91" i="6" l="1"/>
  <c r="X92" i="6" l="1"/>
  <c r="X93" i="6" l="1"/>
  <c r="X94" i="6" l="1"/>
  <c r="X95" i="6" l="1"/>
  <c r="X96" i="6" l="1"/>
  <c r="X97" i="6" l="1"/>
  <c r="X98" i="6" l="1"/>
  <c r="X99" i="6" l="1"/>
  <c r="X100" i="6" l="1"/>
  <c r="X101" i="6" l="1"/>
  <c r="X102" i="6" l="1"/>
  <c r="X103" i="6" l="1"/>
  <c r="X104" i="6" l="1"/>
  <c r="X105" i="6" l="1"/>
  <c r="X106" i="6" l="1"/>
  <c r="X107" i="6" l="1"/>
  <c r="X108" i="6" l="1"/>
  <c r="X109" i="6" l="1"/>
  <c r="X110" i="6" l="1"/>
  <c r="X111" i="6" l="1"/>
  <c r="X112" i="6" l="1"/>
  <c r="X113" i="6" l="1"/>
  <c r="X114" i="6" l="1"/>
  <c r="X115" i="6" l="1"/>
  <c r="X116" i="6" l="1"/>
  <c r="X117" i="6" l="1"/>
  <c r="X118" i="6" l="1"/>
  <c r="X119" i="6" l="1"/>
  <c r="X120" i="6" l="1"/>
  <c r="X121" i="6" l="1"/>
  <c r="X122" i="6" l="1"/>
  <c r="X123" i="6" l="1"/>
  <c r="X124" i="6" l="1"/>
  <c r="X125" i="6" l="1"/>
  <c r="X126" i="6" l="1"/>
  <c r="X127" i="6" l="1"/>
  <c r="X128" i="6" l="1"/>
  <c r="X129" i="6" l="1"/>
  <c r="X130" i="6" l="1"/>
  <c r="X131" i="6" l="1"/>
  <c r="X132" i="6" l="1"/>
  <c r="X133" i="6" l="1"/>
  <c r="X134" i="6" l="1"/>
  <c r="X135" i="6" l="1"/>
  <c r="X136" i="6" l="1"/>
  <c r="T136" i="6" l="1"/>
  <c r="T20" i="6"/>
  <c r="T18" i="6"/>
  <c r="T19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</calcChain>
</file>

<file path=xl/sharedStrings.xml><?xml version="1.0" encoding="utf-8"?>
<sst xmlns="http://schemas.openxmlformats.org/spreadsheetml/2006/main" count="156" uniqueCount="97">
  <si>
    <t>air/oil</t>
  </si>
  <si>
    <t>Above Free Water, ft</t>
  </si>
  <si>
    <t>Bulk</t>
  </si>
  <si>
    <t>Volume,</t>
  </si>
  <si>
    <t>Gas-Oil,</t>
  </si>
  <si>
    <t>Saturation,</t>
  </si>
  <si>
    <t>Inc. (mD)</t>
  </si>
  <si>
    <t>Cumulative</t>
  </si>
  <si>
    <t>Hg Sat</t>
  </si>
  <si>
    <t>Weight,</t>
  </si>
  <si>
    <t>Laboratory TcosTheta</t>
  </si>
  <si>
    <t>MERCURY INJECTION CAPILLARY PRESSURE</t>
  </si>
  <si>
    <t>Gas:</t>
  </si>
  <si>
    <t>cumulative</t>
  </si>
  <si>
    <t>Oil:</t>
  </si>
  <si>
    <t>Sample</t>
  </si>
  <si>
    <t>incremental</t>
  </si>
  <si>
    <t>Estimated Height</t>
  </si>
  <si>
    <t>grams</t>
  </si>
  <si>
    <t>Funct.</t>
  </si>
  <si>
    <t>%BV</t>
  </si>
  <si>
    <t>MC 13</t>
  </si>
  <si>
    <t>Mercury IFT</t>
  </si>
  <si>
    <t>Grain Density, grams/cc:</t>
  </si>
  <si>
    <t>Reservoir Contact Angle</t>
  </si>
  <si>
    <t>fraction</t>
  </si>
  <si>
    <t>grams/cc</t>
  </si>
  <si>
    <t>Sb/Pc</t>
  </si>
  <si>
    <t>oil/water</t>
  </si>
  <si>
    <t>Laboratory IFT</t>
  </si>
  <si>
    <t>PSD HISTOGRAM</t>
  </si>
  <si>
    <t>Laboratory Contact Angle</t>
  </si>
  <si>
    <t>intrusion</t>
  </si>
  <si>
    <t>Saturation</t>
  </si>
  <si>
    <t>O-W</t>
  </si>
  <si>
    <t>cc</t>
  </si>
  <si>
    <t>Conformance Correction,</t>
  </si>
  <si>
    <t>Norm. Pore</t>
  </si>
  <si>
    <t xml:space="preserve"> </t>
  </si>
  <si>
    <t>Density,</t>
  </si>
  <si>
    <t>Sample Number:</t>
  </si>
  <si>
    <t>Oil-Water,</t>
  </si>
  <si>
    <t>Contribution</t>
  </si>
  <si>
    <t>Size Dist.</t>
  </si>
  <si>
    <t>Pore Throat</t>
  </si>
  <si>
    <t xml:space="preserve"> 1.0-Mercury </t>
  </si>
  <si>
    <t>Radius, µm</t>
  </si>
  <si>
    <t>Fluid Density Gradients</t>
  </si>
  <si>
    <t>psia</t>
  </si>
  <si>
    <t xml:space="preserve">Mercury </t>
  </si>
  <si>
    <t>Conversion Parameters</t>
  </si>
  <si>
    <t>air/water</t>
  </si>
  <si>
    <t>Porosity, fraction:</t>
  </si>
  <si>
    <t>Diameter,</t>
  </si>
  <si>
    <t>microns</t>
  </si>
  <si>
    <t>frequency</t>
  </si>
  <si>
    <t>Corrected</t>
  </si>
  <si>
    <t>Uncorrected</t>
  </si>
  <si>
    <t>Normalized</t>
  </si>
  <si>
    <t>%PV</t>
  </si>
  <si>
    <t>Reservoir TcosTheta</t>
  </si>
  <si>
    <t>Porosity,</t>
  </si>
  <si>
    <t>Mercury</t>
  </si>
  <si>
    <t>micron</t>
  </si>
  <si>
    <t>Injection Pressure,</t>
  </si>
  <si>
    <t>G-W</t>
  </si>
  <si>
    <t>air/Hg</t>
  </si>
  <si>
    <t>d Log</t>
  </si>
  <si>
    <t>Function</t>
  </si>
  <si>
    <t>Mercury Saturation</t>
  </si>
  <si>
    <t>ml</t>
  </si>
  <si>
    <t>Water:</t>
  </si>
  <si>
    <t>IFT * Cosine Contact Angle:</t>
  </si>
  <si>
    <t>Gas-Water,</t>
  </si>
  <si>
    <t>Permeability to Air (calc), mD:</t>
  </si>
  <si>
    <t>Pore Radius,</t>
  </si>
  <si>
    <t>Mercury Injection</t>
  </si>
  <si>
    <t>Pressure,</t>
  </si>
  <si>
    <t>Radius,</t>
  </si>
  <si>
    <t>d Sw/d Log</t>
  </si>
  <si>
    <t>Reservoir IFT</t>
  </si>
  <si>
    <t>&lt; 0.0018</t>
  </si>
  <si>
    <t>Mercury Contact Angle</t>
  </si>
  <si>
    <t>Grain</t>
  </si>
  <si>
    <t>Injection</t>
  </si>
  <si>
    <t>Other Laboratory Systems</t>
  </si>
  <si>
    <t>Permeability</t>
  </si>
  <si>
    <t>J</t>
  </si>
  <si>
    <t>Pore</t>
  </si>
  <si>
    <t>Cum. (mD)</t>
  </si>
  <si>
    <t>Incremental</t>
  </si>
  <si>
    <t>Shell Exploration &amp; Production Company</t>
  </si>
  <si>
    <t>Sample Depth, feet:</t>
  </si>
  <si>
    <t>Offshore</t>
  </si>
  <si>
    <t>HH-77445</t>
  </si>
  <si>
    <t>OCS-Y-2321 Burger J 001</t>
  </si>
  <si>
    <t>All Data Proprietary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</si>
</sst>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0.0_)"/>
    <numFmt numFmtId="165" formatCode="0.0"/>
    <numFmt numFmtId="166" formatCode="0.000"/>
    <numFmt numFmtId="167" formatCode="0.0000"/>
    <numFmt numFmtId="168" formatCode="???0.00"/>
    <numFmt numFmtId="169" formatCode="[&lt;1]0.?0;[&gt;10]0;0.0"/>
    <numFmt numFmtId="170" formatCode="[&lt;1]0.000;[&gt;10]0.0;0.00"/>
    <numFmt numFmtId="171" formatCode="[&lt;0.1]0.000;[&gt;0.1]0.00;0.0"/>
    <numFmt numFmtId="172" formatCode="[Blue]General"/>
    <numFmt numFmtId="173" formatCode="?????.0"/>
    <numFmt numFmtId="174" formatCode="[&lt;10]???0.00;[&gt;100]???0;???0.0"/>
    <numFmt numFmtId="175" formatCode="?????"/>
    <numFmt numFmtId="176" formatCode="?????.00"/>
    <numFmt numFmtId="177" formatCode="[&lt;100]????0.0;[&gt;100]?????;General"/>
    <numFmt numFmtId="178" formatCode="????0.00"/>
    <numFmt numFmtId="179" formatCode="??0."/>
    <numFmt numFmtId="180" formatCode="??????0.0000"/>
    <numFmt numFmtId="181" formatCode="????0.0?"/>
    <numFmt numFmtId="182" formatCode="????0.??"/>
    <numFmt numFmtId="183" formatCode="0.00??"/>
    <numFmt numFmtId="184" formatCode="0.00000"/>
    <numFmt numFmtId="185" formatCode="m\-dd\-yy"/>
    <numFmt numFmtId="186" formatCode="??0.000"/>
    <numFmt numFmtId="187" formatCode="???0.000"/>
    <numFmt numFmtId="188" formatCode="????0.000"/>
    <numFmt numFmtId="189" formatCode="??0.0000"/>
    <numFmt numFmtId="190" formatCode="0.0\ \ \ \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176">
    <xf numFmtId="0" fontId="0" fillId="0" borderId="0" xfId="0"/>
    <xf numFmtId="0" fontId="0" fillId="0" borderId="1" xfId="5" applyFont="1" applyBorder="1" applyAlignment="1" applyProtection="1">
      <alignment horizontal="center" vertical="center"/>
    </xf>
    <xf numFmtId="0" fontId="0" fillId="0" borderId="3" xfId="5" applyFont="1" applyBorder="1" applyProtection="1"/>
    <xf numFmtId="0" fontId="2" fillId="0" borderId="0" xfId="5" applyFont="1" applyAlignment="1" applyProtection="1">
      <alignment horizontal="center"/>
    </xf>
    <xf numFmtId="0" fontId="0" fillId="0" borderId="4" xfId="5" applyFont="1" applyBorder="1" applyAlignment="1" applyProtection="1">
      <alignment horizontal="center" vertical="center"/>
    </xf>
    <xf numFmtId="167" fontId="0" fillId="0" borderId="0" xfId="0" applyNumberFormat="1" applyAlignment="1">
      <alignment horizontal="center"/>
    </xf>
    <xf numFmtId="166" fontId="3" fillId="0" borderId="0" xfId="0" applyNumberFormat="1" applyFont="1"/>
    <xf numFmtId="0" fontId="0" fillId="0" borderId="4" xfId="5" applyFont="1" applyFill="1" applyBorder="1" applyAlignment="1" applyProtection="1">
      <alignment horizontal="center" vertical="center"/>
    </xf>
    <xf numFmtId="166" fontId="0" fillId="0" borderId="0" xfId="5" applyNumberFormat="1" applyFont="1" applyAlignment="1" applyProtection="1">
      <alignment horizontal="center"/>
    </xf>
    <xf numFmtId="1" fontId="0" fillId="0" borderId="0" xfId="5" applyNumberFormat="1" applyFont="1" applyProtection="1"/>
    <xf numFmtId="0" fontId="0" fillId="0" borderId="9" xfId="5" applyFont="1" applyBorder="1"/>
    <xf numFmtId="0" fontId="4" fillId="2" borderId="0" xfId="0" applyFont="1" applyFill="1" applyBorder="1" applyAlignment="1">
      <alignment vertical="center"/>
    </xf>
    <xf numFmtId="178" fontId="0" fillId="0" borderId="5" xfId="5" applyNumberFormat="1" applyFont="1" applyBorder="1" applyAlignment="1" applyProtection="1">
      <alignment horizontal="centerContinuous"/>
    </xf>
    <xf numFmtId="165" fontId="0" fillId="0" borderId="0" xfId="0" applyNumberFormat="1" applyAlignment="1">
      <alignment horizontal="center"/>
    </xf>
    <xf numFmtId="172" fontId="0" fillId="0" borderId="0" xfId="5" applyNumberFormat="1" applyFont="1" applyBorder="1" applyAlignment="1" applyProtection="1">
      <alignment horizontal="center"/>
      <protection locked="0"/>
    </xf>
    <xf numFmtId="174" fontId="0" fillId="0" borderId="0" xfId="5" applyNumberFormat="1" applyFont="1" applyBorder="1" applyProtection="1"/>
    <xf numFmtId="0" fontId="0" fillId="0" borderId="0" xfId="5" applyFont="1" applyBorder="1" applyAlignment="1" applyProtection="1">
      <alignment horizontal="centerContinuous" vertical="center"/>
    </xf>
    <xf numFmtId="166" fontId="0" fillId="0" borderId="0" xfId="0" applyNumberFormat="1" applyFont="1" applyBorder="1" applyAlignment="1">
      <alignment horizontal="center"/>
    </xf>
    <xf numFmtId="0" fontId="0" fillId="0" borderId="2" xfId="5" applyFont="1" applyBorder="1" applyAlignment="1" applyProtection="1">
      <alignment horizontal="centerContinuous" vertical="center"/>
    </xf>
    <xf numFmtId="0" fontId="3" fillId="0" borderId="13" xfId="5" applyNumberFormat="1" applyFont="1" applyBorder="1" applyAlignment="1" applyProtection="1">
      <alignment horizontal="center"/>
      <protection locked="0"/>
    </xf>
    <xf numFmtId="0" fontId="0" fillId="0" borderId="13" xfId="5" applyNumberFormat="1" applyFont="1" applyBorder="1" applyAlignment="1" applyProtection="1">
      <alignment horizontal="center"/>
    </xf>
    <xf numFmtId="2" fontId="0" fillId="0" borderId="0" xfId="0" applyNumberFormat="1" applyBorder="1" applyAlignment="1">
      <alignment horizontal="center"/>
    </xf>
    <xf numFmtId="178" fontId="0" fillId="0" borderId="8" xfId="5" applyNumberFormat="1" applyFont="1" applyBorder="1" applyAlignment="1" applyProtection="1">
      <alignment horizontal="centerContinuous"/>
    </xf>
    <xf numFmtId="0" fontId="0" fillId="0" borderId="9" xfId="5" applyFont="1" applyBorder="1" applyProtection="1"/>
    <xf numFmtId="0" fontId="0" fillId="0" borderId="0" xfId="5" applyFont="1" applyBorder="1"/>
    <xf numFmtId="0" fontId="0" fillId="0" borderId="0" xfId="0" applyFont="1" applyAlignment="1">
      <alignment horizontal="right"/>
    </xf>
    <xf numFmtId="0" fontId="0" fillId="0" borderId="0" xfId="0" applyFont="1" applyBorder="1"/>
    <xf numFmtId="180" fontId="0" fillId="0" borderId="0" xfId="0" applyNumberFormat="1" applyBorder="1" applyAlignment="1">
      <alignment horizontal="center"/>
    </xf>
    <xf numFmtId="0" fontId="0" fillId="0" borderId="0" xfId="5" applyFont="1" applyBorder="1" applyAlignment="1" applyProtection="1">
      <alignment horizontal="center"/>
      <protection locked="0"/>
    </xf>
    <xf numFmtId="0" fontId="0" fillId="0" borderId="0" xfId="5" applyFont="1" applyBorder="1" applyAlignment="1" applyProtection="1">
      <alignment horizontal="center" vertical="center"/>
    </xf>
    <xf numFmtId="0" fontId="0" fillId="0" borderId="0" xfId="5" applyFont="1" applyBorder="1" applyAlignment="1" applyProtection="1">
      <alignment horizontal="left"/>
    </xf>
    <xf numFmtId="172" fontId="0" fillId="0" borderId="7" xfId="5" applyNumberFormat="1" applyFont="1" applyBorder="1" applyAlignment="1" applyProtection="1">
      <alignment horizontal="center"/>
      <protection locked="0"/>
    </xf>
    <xf numFmtId="177" fontId="0" fillId="0" borderId="0" xfId="5" applyNumberFormat="1" applyFont="1" applyBorder="1" applyAlignment="1" applyProtection="1">
      <alignment horizontal="center"/>
    </xf>
    <xf numFmtId="0" fontId="0" fillId="0" borderId="7" xfId="5" applyFont="1" applyBorder="1" applyAlignment="1" applyProtection="1">
      <alignment horizontal="centerContinuous" vertical="center"/>
    </xf>
    <xf numFmtId="173" fontId="0" fillId="0" borderId="0" xfId="5" applyNumberFormat="1" applyFont="1" applyBorder="1" applyAlignment="1" applyProtection="1">
      <alignment horizontal="center"/>
    </xf>
    <xf numFmtId="164" fontId="0" fillId="0" borderId="0" xfId="5" applyNumberFormat="1" applyFont="1" applyBorder="1" applyAlignment="1" applyProtection="1">
      <alignment horizontal="center"/>
    </xf>
    <xf numFmtId="2" fontId="0" fillId="0" borderId="0" xfId="0" applyNumberFormat="1" applyFont="1" applyAlignment="1"/>
    <xf numFmtId="164" fontId="0" fillId="0" borderId="14" xfId="5" applyNumberFormat="1" applyFont="1" applyBorder="1" applyAlignment="1" applyProtection="1">
      <alignment horizontal="center"/>
    </xf>
    <xf numFmtId="2" fontId="0" fillId="0" borderId="15" xfId="5" applyNumberFormat="1" applyFont="1" applyBorder="1" applyAlignment="1" applyProtection="1">
      <alignment horizontal="centerContinuous"/>
    </xf>
    <xf numFmtId="166" fontId="0" fillId="0" borderId="0" xfId="5" applyNumberFormat="1" applyFont="1"/>
    <xf numFmtId="0" fontId="0" fillId="0" borderId="6" xfId="5" applyFont="1" applyBorder="1" applyAlignment="1" applyProtection="1">
      <alignment horizontal="center" vertical="center"/>
    </xf>
    <xf numFmtId="0" fontId="0" fillId="0" borderId="0" xfId="5" applyFont="1" applyBorder="1" applyProtection="1"/>
    <xf numFmtId="0" fontId="0" fillId="0" borderId="0" xfId="5" applyNumberFormat="1" applyFont="1" applyAlignment="1" applyProtection="1">
      <alignment horizontal="left"/>
    </xf>
    <xf numFmtId="167" fontId="0" fillId="0" borderId="0" xfId="0" applyNumberFormat="1" applyFill="1" applyBorder="1" applyAlignment="1"/>
    <xf numFmtId="0" fontId="0" fillId="0" borderId="10" xfId="0" applyFont="1" applyBorder="1"/>
    <xf numFmtId="167" fontId="0" fillId="0" borderId="15" xfId="5" applyNumberFormat="1" applyFont="1" applyBorder="1" applyAlignment="1" applyProtection="1">
      <alignment horizontal="centerContinuous"/>
    </xf>
    <xf numFmtId="182" fontId="0" fillId="0" borderId="0" xfId="5" applyNumberFormat="1" applyFont="1" applyAlignment="1" applyProtection="1">
      <alignment horizontal="center"/>
    </xf>
    <xf numFmtId="0" fontId="0" fillId="0" borderId="10" xfId="5" applyFont="1" applyBorder="1" applyAlignment="1" applyProtection="1">
      <alignment horizontal="center" vertical="center"/>
    </xf>
    <xf numFmtId="0" fontId="0" fillId="0" borderId="6" xfId="5" applyFont="1" applyFill="1" applyBorder="1" applyAlignment="1" applyProtection="1">
      <alignment horizontal="center" vertical="center"/>
    </xf>
    <xf numFmtId="164" fontId="0" fillId="0" borderId="7" xfId="5" applyNumberFormat="1" applyFont="1" applyBorder="1" applyAlignment="1" applyProtection="1">
      <alignment horizontal="center"/>
    </xf>
    <xf numFmtId="0" fontId="0" fillId="0" borderId="0" xfId="5" applyFont="1" applyAlignment="1">
      <alignment horizontal="centerContinuous"/>
    </xf>
    <xf numFmtId="1" fontId="3" fillId="0" borderId="0" xfId="5" applyNumberFormat="1" applyFont="1" applyBorder="1" applyAlignment="1" applyProtection="1">
      <alignment horizontal="center"/>
      <protection locked="0"/>
    </xf>
    <xf numFmtId="186" fontId="0" fillId="0" borderId="0" xfId="5" applyNumberFormat="1" applyFont="1" applyBorder="1" applyAlignment="1" applyProtection="1">
      <alignment horizontal="centerContinuous"/>
    </xf>
    <xf numFmtId="0" fontId="0" fillId="0" borderId="10" xfId="5" applyFont="1" applyFill="1" applyBorder="1" applyAlignment="1" applyProtection="1">
      <alignment horizontal="center" vertical="center"/>
    </xf>
    <xf numFmtId="1" fontId="3" fillId="0" borderId="14" xfId="5" applyNumberFormat="1" applyFont="1" applyBorder="1" applyAlignment="1" applyProtection="1">
      <alignment horizontal="center"/>
      <protection locked="0"/>
    </xf>
    <xf numFmtId="0" fontId="0" fillId="0" borderId="0" xfId="5" applyNumberFormat="1" applyFont="1" applyProtection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vertical="center"/>
    </xf>
    <xf numFmtId="1" fontId="0" fillId="0" borderId="0" xfId="0" quotePrefix="1" applyNumberFormat="1" applyFont="1" applyAlignment="1">
      <alignment horizontal="right"/>
    </xf>
    <xf numFmtId="0" fontId="2" fillId="0" borderId="0" xfId="5" applyFont="1" applyBorder="1" applyAlignment="1">
      <alignment horizontal="centerContinuous"/>
    </xf>
    <xf numFmtId="179" fontId="0" fillId="0" borderId="0" xfId="0" applyNumberFormat="1" applyAlignment="1">
      <alignment horizontal="center"/>
    </xf>
    <xf numFmtId="0" fontId="0" fillId="0" borderId="13" xfId="5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6" fontId="0" fillId="0" borderId="0" xfId="5" applyNumberFormat="1" applyFont="1" applyBorder="1" applyAlignment="1" applyProtection="1">
      <alignment horizontal="center"/>
    </xf>
    <xf numFmtId="0" fontId="0" fillId="0" borderId="0" xfId="5" applyFont="1" applyAlignment="1" applyProtection="1">
      <alignment horizontal="centerContinuous"/>
    </xf>
    <xf numFmtId="166" fontId="0" fillId="0" borderId="0" xfId="0" applyNumberFormat="1" applyFont="1" applyBorder="1"/>
    <xf numFmtId="166" fontId="0" fillId="0" borderId="0" xfId="0" applyNumberFormat="1" applyAlignment="1">
      <alignment horizontal="center"/>
    </xf>
    <xf numFmtId="165" fontId="0" fillId="0" borderId="0" xfId="5" applyNumberFormat="1" applyFont="1" applyProtection="1"/>
    <xf numFmtId="178" fontId="0" fillId="0" borderId="0" xfId="5" applyNumberFormat="1" applyFont="1" applyBorder="1" applyAlignment="1" applyProtection="1">
      <alignment horizontal="centerContinuous"/>
    </xf>
    <xf numFmtId="0" fontId="0" fillId="0" borderId="0" xfId="5" applyFont="1" applyAlignment="1"/>
    <xf numFmtId="187" fontId="0" fillId="0" borderId="0" xfId="5" applyNumberFormat="1" applyFont="1" applyAlignment="1" applyProtection="1">
      <alignment horizontal="center"/>
    </xf>
    <xf numFmtId="188" fontId="0" fillId="0" borderId="0" xfId="5" applyNumberFormat="1" applyFont="1" applyAlignment="1" applyProtection="1">
      <alignment horizontal="left"/>
    </xf>
    <xf numFmtId="0" fontId="0" fillId="0" borderId="0" xfId="0" applyFill="1" applyBorder="1" applyAlignment="1"/>
    <xf numFmtId="181" fontId="0" fillId="0" borderId="0" xfId="5" applyNumberFormat="1" applyFont="1" applyAlignment="1" applyProtection="1">
      <alignment horizontal="center"/>
    </xf>
    <xf numFmtId="0" fontId="0" fillId="0" borderId="10" xfId="0" applyBorder="1" applyAlignment="1">
      <alignment horizontal="center"/>
    </xf>
    <xf numFmtId="2" fontId="0" fillId="0" borderId="0" xfId="5" applyNumberFormat="1" applyFont="1" applyAlignment="1" applyProtection="1">
      <alignment horizontal="right"/>
    </xf>
    <xf numFmtId="0" fontId="0" fillId="0" borderId="13" xfId="5" applyFont="1" applyBorder="1" applyAlignment="1">
      <alignment horizontal="center"/>
    </xf>
    <xf numFmtId="2" fontId="0" fillId="0" borderId="8" xfId="5" applyNumberFormat="1" applyFont="1" applyBorder="1" applyAlignment="1" applyProtection="1">
      <alignment horizontal="centerContinuous"/>
    </xf>
    <xf numFmtId="2" fontId="0" fillId="0" borderId="0" xfId="0" applyNumberFormat="1" applyFont="1"/>
    <xf numFmtId="171" fontId="0" fillId="0" borderId="0" xfId="5" applyNumberFormat="1" applyFont="1" applyBorder="1" applyAlignment="1" applyProtection="1">
      <alignment horizontal="center"/>
    </xf>
    <xf numFmtId="187" fontId="0" fillId="0" borderId="0" xfId="5" applyNumberFormat="1" applyFont="1" applyFill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5" applyFont="1" applyAlignment="1" applyProtection="1">
      <alignment horizontal="center"/>
    </xf>
    <xf numFmtId="167" fontId="0" fillId="0" borderId="0" xfId="5" applyNumberFormat="1" applyFont="1" applyAlignment="1" applyProtection="1">
      <alignment horizontal="right"/>
    </xf>
    <xf numFmtId="166" fontId="0" fillId="0" borderId="0" xfId="5" applyNumberFormat="1" applyFont="1" applyBorder="1" applyAlignment="1">
      <alignment horizontal="center"/>
    </xf>
    <xf numFmtId="178" fontId="0" fillId="0" borderId="0" xfId="5" applyNumberFormat="1" applyFont="1" applyBorder="1" applyAlignment="1" applyProtection="1">
      <alignment horizontal="center"/>
    </xf>
    <xf numFmtId="170" fontId="0" fillId="0" borderId="0" xfId="5" applyNumberFormat="1" applyFont="1" applyBorder="1" applyAlignment="1" applyProtection="1">
      <alignment horizontal="center"/>
    </xf>
    <xf numFmtId="0" fontId="0" fillId="0" borderId="4" xfId="0" applyBorder="1" applyAlignment="1">
      <alignment horizontal="center"/>
    </xf>
    <xf numFmtId="183" fontId="0" fillId="0" borderId="0" xfId="5" applyNumberFormat="1" applyFont="1" applyAlignment="1" applyProtection="1">
      <alignment horizontal="center"/>
    </xf>
    <xf numFmtId="0" fontId="0" fillId="0" borderId="0" xfId="5" applyFont="1" applyAlignment="1">
      <alignment horizontal="right"/>
    </xf>
    <xf numFmtId="0" fontId="0" fillId="0" borderId="2" xfId="5" applyFont="1" applyBorder="1"/>
    <xf numFmtId="167" fontId="0" fillId="0" borderId="0" xfId="0" applyNumberFormat="1" applyBorder="1" applyAlignment="1">
      <alignment horizontal="center"/>
    </xf>
    <xf numFmtId="0" fontId="0" fillId="0" borderId="11" xfId="5" applyFont="1" applyBorder="1" applyAlignment="1" applyProtection="1">
      <alignment horizontal="centerContinuous" vertical="center"/>
    </xf>
    <xf numFmtId="166" fontId="0" fillId="0" borderId="0" xfId="5" applyNumberFormat="1" applyFont="1" applyBorder="1" applyAlignment="1" applyProtection="1">
      <alignment horizontal="center"/>
    </xf>
    <xf numFmtId="1" fontId="0" fillId="0" borderId="0" xfId="5" applyNumberFormat="1" applyFont="1" applyBorder="1" applyProtection="1"/>
    <xf numFmtId="188" fontId="0" fillId="0" borderId="0" xfId="5" applyNumberFormat="1" applyFont="1" applyAlignment="1" applyProtection="1">
      <alignment horizontal="center"/>
    </xf>
    <xf numFmtId="0" fontId="0" fillId="0" borderId="0" xfId="5" applyNumberFormat="1" applyFont="1" applyBorder="1" applyAlignment="1" applyProtection="1">
      <alignment horizontal="center"/>
    </xf>
    <xf numFmtId="0" fontId="0" fillId="0" borderId="5" xfId="5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4" fontId="0" fillId="0" borderId="0" xfId="0" applyNumberFormat="1" applyFont="1"/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vertical="center"/>
    </xf>
    <xf numFmtId="165" fontId="0" fillId="0" borderId="0" xfId="0" applyNumberFormat="1" applyBorder="1" applyAlignment="1">
      <alignment horizontal="center"/>
    </xf>
    <xf numFmtId="0" fontId="0" fillId="0" borderId="0" xfId="5" applyFont="1" applyAlignment="1" applyProtection="1">
      <alignment horizontal="right"/>
    </xf>
    <xf numFmtId="0" fontId="0" fillId="0" borderId="9" xfId="5" applyFont="1" applyBorder="1" applyAlignment="1" applyProtection="1">
      <alignment horizontal="centerContinuous" vertical="center"/>
    </xf>
    <xf numFmtId="0" fontId="0" fillId="0" borderId="0" xfId="5" applyFont="1"/>
    <xf numFmtId="0" fontId="0" fillId="0" borderId="0" xfId="0" applyFont="1"/>
    <xf numFmtId="180" fontId="0" fillId="0" borderId="0" xfId="0" applyNumberFormat="1" applyAlignment="1">
      <alignment horizontal="center"/>
    </xf>
    <xf numFmtId="0" fontId="0" fillId="0" borderId="0" xfId="5" applyFont="1" applyAlignment="1" applyProtection="1">
      <alignment horizontal="left"/>
    </xf>
    <xf numFmtId="0" fontId="6" fillId="0" borderId="0" xfId="5" applyFont="1" applyProtection="1"/>
    <xf numFmtId="0" fontId="0" fillId="0" borderId="5" xfId="5" applyFont="1" applyBorder="1" applyAlignment="1" applyProtection="1">
      <alignment horizontal="center"/>
    </xf>
    <xf numFmtId="166" fontId="3" fillId="0" borderId="11" xfId="5" applyNumberFormat="1" applyFont="1" applyBorder="1" applyProtection="1">
      <protection locked="0"/>
    </xf>
    <xf numFmtId="184" fontId="0" fillId="0" borderId="0" xfId="0" applyNumberFormat="1" applyFont="1" applyAlignment="1">
      <alignment horizontal="right"/>
    </xf>
    <xf numFmtId="0" fontId="0" fillId="0" borderId="0" xfId="5" applyFont="1" applyFill="1"/>
    <xf numFmtId="0" fontId="0" fillId="0" borderId="13" xfId="5" applyFont="1" applyBorder="1"/>
    <xf numFmtId="0" fontId="0" fillId="0" borderId="8" xfId="5" applyFont="1" applyBorder="1" applyAlignment="1" applyProtection="1">
      <alignment horizontal="center"/>
    </xf>
    <xf numFmtId="0" fontId="0" fillId="0" borderId="9" xfId="5" applyFont="1" applyBorder="1" applyAlignment="1" applyProtection="1">
      <alignment horizontal="left"/>
    </xf>
    <xf numFmtId="0" fontId="0" fillId="0" borderId="12" xfId="5" applyFont="1" applyBorder="1"/>
    <xf numFmtId="0" fontId="0" fillId="0" borderId="0" xfId="5" applyFont="1" applyProtection="1"/>
    <xf numFmtId="166" fontId="0" fillId="0" borderId="1" xfId="5" applyNumberFormat="1" applyFont="1" applyBorder="1" applyAlignment="1" applyProtection="1">
      <alignment horizontal="center"/>
    </xf>
    <xf numFmtId="175" fontId="0" fillId="0" borderId="0" xfId="5" applyNumberFormat="1" applyFont="1" applyBorder="1" applyAlignment="1" applyProtection="1">
      <alignment horizontal="center"/>
    </xf>
    <xf numFmtId="1" fontId="3" fillId="0" borderId="7" xfId="5" applyNumberFormat="1" applyFont="1" applyBorder="1" applyAlignment="1" applyProtection="1">
      <alignment horizontal="center"/>
      <protection locked="0"/>
    </xf>
    <xf numFmtId="166" fontId="0" fillId="0" borderId="0" xfId="5" applyNumberFormat="1" applyFont="1" applyBorder="1"/>
    <xf numFmtId="0" fontId="0" fillId="0" borderId="0" xfId="5" applyFont="1" applyFill="1" applyProtection="1"/>
    <xf numFmtId="176" fontId="0" fillId="0" borderId="0" xfId="5" applyNumberFormat="1" applyFont="1" applyBorder="1" applyAlignment="1" applyProtection="1">
      <alignment horizontal="center"/>
    </xf>
    <xf numFmtId="2" fontId="0" fillId="0" borderId="0" xfId="5" applyNumberFormat="1" applyFont="1" applyBorder="1" applyAlignment="1" applyProtection="1">
      <alignment horizontal="center"/>
    </xf>
    <xf numFmtId="0" fontId="0" fillId="0" borderId="0" xfId="5" applyFont="1" applyBorder="1" applyAlignment="1">
      <alignment horizontal="centerContinuous"/>
    </xf>
    <xf numFmtId="186" fontId="0" fillId="0" borderId="15" xfId="5" applyNumberFormat="1" applyFont="1" applyBorder="1" applyAlignment="1" applyProtection="1">
      <alignment horizontal="centerContinuous"/>
    </xf>
    <xf numFmtId="0" fontId="0" fillId="0" borderId="12" xfId="5" applyFont="1" applyBorder="1" applyProtection="1"/>
    <xf numFmtId="168" fontId="0" fillId="0" borderId="0" xfId="5" applyNumberFormat="1" applyFont="1" applyAlignment="1" applyProtection="1">
      <alignment horizontal="center"/>
    </xf>
    <xf numFmtId="0" fontId="2" fillId="0" borderId="0" xfId="5" applyFont="1" applyAlignment="1">
      <alignment horizontal="centerContinuous"/>
    </xf>
    <xf numFmtId="174" fontId="0" fillId="0" borderId="0" xfId="5" applyNumberFormat="1" applyFont="1" applyBorder="1" applyAlignment="1" applyProtection="1">
      <alignment horizontal="center"/>
    </xf>
    <xf numFmtId="185" fontId="0" fillId="0" borderId="0" xfId="0" applyNumberFormat="1" applyAlignment="1">
      <alignment horizontal="left"/>
    </xf>
    <xf numFmtId="166" fontId="0" fillId="0" borderId="0" xfId="5" applyNumberFormat="1" applyFont="1" applyAlignment="1" applyProtection="1">
      <alignment horizontal="right"/>
    </xf>
    <xf numFmtId="0" fontId="0" fillId="0" borderId="3" xfId="5" applyFont="1" applyBorder="1" applyAlignment="1" applyProtection="1">
      <alignment horizontal="centerContinuous" vertical="center"/>
    </xf>
    <xf numFmtId="166" fontId="3" fillId="0" borderId="0" xfId="5" applyNumberFormat="1" applyFont="1" applyBorder="1" applyProtection="1">
      <protection locked="0"/>
    </xf>
    <xf numFmtId="190" fontId="0" fillId="0" borderId="0" xfId="0" quotePrefix="1" applyNumberFormat="1" applyFont="1" applyBorder="1" applyAlignment="1">
      <alignment horizontal="left"/>
    </xf>
    <xf numFmtId="0" fontId="0" fillId="0" borderId="0" xfId="5" applyNumberFormat="1" applyFont="1" applyBorder="1" applyProtection="1"/>
    <xf numFmtId="186" fontId="0" fillId="0" borderId="0" xfId="5" applyNumberFormat="1" applyFont="1" applyAlignment="1" applyProtection="1">
      <alignment horizontal="center"/>
    </xf>
    <xf numFmtId="166" fontId="3" fillId="0" borderId="14" xfId="5" applyNumberFormat="1" applyFont="1" applyBorder="1" applyProtection="1">
      <protection locked="0"/>
    </xf>
    <xf numFmtId="166" fontId="0" fillId="0" borderId="0" xfId="0" applyNumberFormat="1" applyFont="1"/>
    <xf numFmtId="179" fontId="0" fillId="0" borderId="0" xfId="0" applyNumberFormat="1" applyBorder="1" applyAlignment="1">
      <alignment horizontal="center"/>
    </xf>
    <xf numFmtId="0" fontId="0" fillId="0" borderId="0" xfId="5" applyFont="1" applyBorder="1" applyAlignment="1">
      <alignment horizontal="center"/>
    </xf>
    <xf numFmtId="166" fontId="3" fillId="0" borderId="0" xfId="5" applyNumberFormat="1" applyFont="1" applyFill="1" applyBorder="1" applyProtection="1">
      <protection locked="0"/>
    </xf>
    <xf numFmtId="0" fontId="0" fillId="0" borderId="0" xfId="0" applyFont="1" applyBorder="1" applyAlignment="1">
      <alignment horizontal="center"/>
    </xf>
    <xf numFmtId="0" fontId="0" fillId="0" borderId="3" xfId="5" applyFont="1" applyBorder="1"/>
    <xf numFmtId="189" fontId="0" fillId="0" borderId="0" xfId="5" applyNumberFormat="1" applyFont="1" applyAlignment="1" applyProtection="1">
      <alignment horizontal="center"/>
    </xf>
    <xf numFmtId="0" fontId="0" fillId="0" borderId="0" xfId="5" applyFont="1" applyBorder="1" applyAlignment="1" applyProtection="1">
      <alignment horizontal="centerContinuous"/>
    </xf>
    <xf numFmtId="169" fontId="0" fillId="0" borderId="0" xfId="5" applyNumberFormat="1" applyFont="1" applyAlignment="1" applyProtection="1">
      <alignment horizontal="center"/>
    </xf>
    <xf numFmtId="0" fontId="2" fillId="0" borderId="0" xfId="5" applyFont="1" applyAlignment="1" applyProtection="1">
      <alignment horizontal="centerContinuous"/>
    </xf>
    <xf numFmtId="166" fontId="0" fillId="0" borderId="0" xfId="0" applyNumberFormat="1" applyBorder="1" applyAlignment="1">
      <alignment horizontal="center"/>
    </xf>
    <xf numFmtId="165" fontId="0" fillId="0" borderId="0" xfId="5" applyNumberFormat="1" applyFont="1" applyBorder="1" applyProtection="1"/>
    <xf numFmtId="166" fontId="3" fillId="0" borderId="7" xfId="5" applyNumberFormat="1" applyFont="1" applyBorder="1" applyProtection="1">
      <protection locked="0"/>
    </xf>
    <xf numFmtId="0" fontId="0" fillId="0" borderId="0" xfId="5" applyFont="1" applyBorder="1" applyAlignment="1"/>
    <xf numFmtId="185" fontId="0" fillId="0" borderId="0" xfId="4" applyNumberFormat="1" applyFont="1" applyFill="1"/>
    <xf numFmtId="0" fontId="3" fillId="0" borderId="0" xfId="5" applyNumberFormat="1" applyFont="1" applyBorder="1" applyAlignment="1" applyProtection="1">
      <alignment horizontal="center"/>
      <protection locked="0"/>
    </xf>
    <xf numFmtId="166" fontId="0" fillId="0" borderId="0" xfId="5" applyNumberFormat="1" applyFont="1" applyAlignment="1">
      <alignment horizontal="center"/>
    </xf>
    <xf numFmtId="178" fontId="0" fillId="0" borderId="0" xfId="5" applyNumberFormat="1" applyFont="1" applyAlignment="1" applyProtection="1">
      <alignment horizontal="center"/>
    </xf>
    <xf numFmtId="2" fontId="0" fillId="0" borderId="1" xfId="5" applyNumberFormat="1" applyFont="1" applyBorder="1" applyAlignment="1" applyProtection="1">
      <alignment horizontal="center"/>
    </xf>
    <xf numFmtId="0" fontId="7" fillId="0" borderId="0" xfId="5" applyFont="1" applyAlignment="1" applyProtection="1"/>
    <xf numFmtId="2" fontId="0" fillId="0" borderId="0" xfId="0" applyNumberFormat="1" applyFont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0" xfId="5" applyFont="1" applyBorder="1" applyAlignment="1" applyProtection="1">
      <alignment horizontal="center"/>
    </xf>
    <xf numFmtId="165" fontId="0" fillId="0" borderId="0" xfId="5" applyNumberFormat="1" applyFont="1" applyAlignment="1" applyProtection="1">
      <alignment horizontal="right"/>
    </xf>
    <xf numFmtId="165" fontId="0" fillId="0" borderId="0" xfId="0" applyNumberFormat="1" applyFont="1" applyAlignment="1">
      <alignment horizontal="right"/>
    </xf>
    <xf numFmtId="0" fontId="7" fillId="0" borderId="0" xfId="5" applyFont="1" applyAlignment="1" applyProtection="1">
      <alignment horizontal="center"/>
    </xf>
    <xf numFmtId="186" fontId="0" fillId="0" borderId="3" xfId="5" applyNumberFormat="1" applyFont="1" applyBorder="1" applyAlignment="1" applyProtection="1">
      <alignment horizontal="center"/>
    </xf>
    <xf numFmtId="186" fontId="0" fillId="0" borderId="11" xfId="5" applyNumberFormat="1" applyFont="1" applyBorder="1" applyAlignment="1" applyProtection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90" fontId="8" fillId="0" borderId="0" xfId="0" quotePrefix="1" applyNumberFormat="1" applyFont="1" applyBorder="1" applyAlignment="1">
      <alignment horizontal="left"/>
    </xf>
    <xf numFmtId="0" fontId="9" fillId="0" borderId="0" xfId="0" applyFont="1" applyAlignment="1">
      <alignment vertical="center"/>
    </xf>
  </cellXfs>
  <cellStyles count="6">
    <cellStyle name="Normal" xfId="0" builtinId="0"/>
    <cellStyle name="Normal 2" xfId="1"/>
    <cellStyle name="Normal 2 2" xfId="2"/>
    <cellStyle name="Normal 3" xfId="3"/>
    <cellStyle name="Normal_Core Data H-3258" xfId="4"/>
    <cellStyle name="Normal_HG-DATA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5492957746478872"/>
          <c:y val="7.0234113712374549E-2"/>
          <c:w val="0.76760563380283331"/>
          <c:h val="0.8160535117056855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Table!$B$18:$B$136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1.2331268849311344E-3</c:v>
                </c:pt>
                <c:pt idx="24">
                  <c:v>3.8119477478850568E-3</c:v>
                </c:pt>
                <c:pt idx="25">
                  <c:v>1.5883014449972411E-2</c:v>
                </c:pt>
                <c:pt idx="26">
                  <c:v>5.9458877752718554E-2</c:v>
                </c:pt>
                <c:pt idx="27">
                  <c:v>0.18357148407654392</c:v>
                </c:pt>
                <c:pt idx="28">
                  <c:v>0.29385647021123773</c:v>
                </c:pt>
                <c:pt idx="29">
                  <c:v>0.36049081351257811</c:v>
                </c:pt>
                <c:pt idx="30">
                  <c:v>0.40320706721959076</c:v>
                </c:pt>
                <c:pt idx="31">
                  <c:v>0.43587022860791608</c:v>
                </c:pt>
                <c:pt idx="32">
                  <c:v>0.45855502649298285</c:v>
                </c:pt>
                <c:pt idx="33">
                  <c:v>0.47619483057254908</c:v>
                </c:pt>
                <c:pt idx="34">
                  <c:v>0.49308657894431951</c:v>
                </c:pt>
                <c:pt idx="35">
                  <c:v>0.5090851726215837</c:v>
                </c:pt>
                <c:pt idx="36">
                  <c:v>0.52447776693962456</c:v>
                </c:pt>
                <c:pt idx="37">
                  <c:v>0.53937596572011293</c:v>
                </c:pt>
                <c:pt idx="38">
                  <c:v>0.55364851300973317</c:v>
                </c:pt>
                <c:pt idx="39">
                  <c:v>0.56728734594712837</c:v>
                </c:pt>
                <c:pt idx="40">
                  <c:v>0.57958973250231927</c:v>
                </c:pt>
                <c:pt idx="41">
                  <c:v>0.5910020169607404</c:v>
                </c:pt>
                <c:pt idx="42">
                  <c:v>0.60226874885704396</c:v>
                </c:pt>
                <c:pt idx="43">
                  <c:v>0.61278043317675912</c:v>
                </c:pt>
                <c:pt idx="44">
                  <c:v>0.62165660370701947</c:v>
                </c:pt>
                <c:pt idx="45">
                  <c:v>0.62961782170307534</c:v>
                </c:pt>
                <c:pt idx="46">
                  <c:v>0.63816368427616743</c:v>
                </c:pt>
                <c:pt idx="47">
                  <c:v>0.64616917662300011</c:v>
                </c:pt>
                <c:pt idx="48">
                  <c:v>0.65372761467189988</c:v>
                </c:pt>
                <c:pt idx="49">
                  <c:v>0.66052887510671654</c:v>
                </c:pt>
                <c:pt idx="50">
                  <c:v>0.66774057348063398</c:v>
                </c:pt>
                <c:pt idx="51">
                  <c:v>0.67473571804262</c:v>
                </c:pt>
                <c:pt idx="52">
                  <c:v>0.68190400422379427</c:v>
                </c:pt>
                <c:pt idx="53">
                  <c:v>0.68895873912044536</c:v>
                </c:pt>
                <c:pt idx="54">
                  <c:v>0.69579555089534728</c:v>
                </c:pt>
                <c:pt idx="55">
                  <c:v>0.70299183185501934</c:v>
                </c:pt>
                <c:pt idx="56">
                  <c:v>0.71032864457414391</c:v>
                </c:pt>
                <c:pt idx="57">
                  <c:v>0.71769568353961766</c:v>
                </c:pt>
                <c:pt idx="58">
                  <c:v>0.72494044820987669</c:v>
                </c:pt>
                <c:pt idx="59">
                  <c:v>0.73244604104284372</c:v>
                </c:pt>
                <c:pt idx="60">
                  <c:v>0.74018152577967122</c:v>
                </c:pt>
                <c:pt idx="61">
                  <c:v>0.74785057363274465</c:v>
                </c:pt>
                <c:pt idx="62">
                  <c:v>0.75574150039148535</c:v>
                </c:pt>
                <c:pt idx="63">
                  <c:v>0.76376362731684566</c:v>
                </c:pt>
                <c:pt idx="64">
                  <c:v>0.77164223028722589</c:v>
                </c:pt>
                <c:pt idx="65">
                  <c:v>0.77960679548505885</c:v>
                </c:pt>
                <c:pt idx="66">
                  <c:v>0.78792367902750238</c:v>
                </c:pt>
                <c:pt idx="67">
                  <c:v>0.79594697240196688</c:v>
                </c:pt>
                <c:pt idx="68">
                  <c:v>0.80413940089652292</c:v>
                </c:pt>
                <c:pt idx="69">
                  <c:v>0.81229100367243601</c:v>
                </c:pt>
                <c:pt idx="70">
                  <c:v>0.82039670921186281</c:v>
                </c:pt>
                <c:pt idx="71">
                  <c:v>0.82849257600667237</c:v>
                </c:pt>
                <c:pt idx="72">
                  <c:v>0.83674139977965167</c:v>
                </c:pt>
                <c:pt idx="73">
                  <c:v>0.84420383399576771</c:v>
                </c:pt>
                <c:pt idx="74">
                  <c:v>0.85237029631896333</c:v>
                </c:pt>
                <c:pt idx="75">
                  <c:v>0.86029114503298254</c:v>
                </c:pt>
                <c:pt idx="76">
                  <c:v>0.86838533822690378</c:v>
                </c:pt>
                <c:pt idx="77">
                  <c:v>0.87607238996832271</c:v>
                </c:pt>
                <c:pt idx="78">
                  <c:v>0.88347842890601547</c:v>
                </c:pt>
                <c:pt idx="79">
                  <c:v>0.89125053000167531</c:v>
                </c:pt>
                <c:pt idx="80">
                  <c:v>0.89877301098906226</c:v>
                </c:pt>
                <c:pt idx="81">
                  <c:v>0.90577069130997023</c:v>
                </c:pt>
                <c:pt idx="82">
                  <c:v>0.91277719607192653</c:v>
                </c:pt>
                <c:pt idx="83">
                  <c:v>0.91926224736918083</c:v>
                </c:pt>
                <c:pt idx="84">
                  <c:v>0.92552952769022134</c:v>
                </c:pt>
                <c:pt idx="85">
                  <c:v>0.93206600417841212</c:v>
                </c:pt>
                <c:pt idx="86">
                  <c:v>0.93752113163194262</c:v>
                </c:pt>
                <c:pt idx="87">
                  <c:v>0.94286498998397972</c:v>
                </c:pt>
                <c:pt idx="88">
                  <c:v>0.94792027897070319</c:v>
                </c:pt>
                <c:pt idx="89">
                  <c:v>0.95296796068066103</c:v>
                </c:pt>
                <c:pt idx="90">
                  <c:v>0.95751254782051143</c:v>
                </c:pt>
                <c:pt idx="91">
                  <c:v>0.9616865084363353</c:v>
                </c:pt>
                <c:pt idx="92">
                  <c:v>0.96605602678021696</c:v>
                </c:pt>
                <c:pt idx="93">
                  <c:v>0.96999801616986436</c:v>
                </c:pt>
                <c:pt idx="94">
                  <c:v>0.97406172198776342</c:v>
                </c:pt>
                <c:pt idx="95">
                  <c:v>0.97756695226070067</c:v>
                </c:pt>
                <c:pt idx="96">
                  <c:v>0.98004367871491049</c:v>
                </c:pt>
                <c:pt idx="97">
                  <c:v>0.9826077367063909</c:v>
                </c:pt>
                <c:pt idx="98">
                  <c:v>0.98480279105955471</c:v>
                </c:pt>
                <c:pt idx="99">
                  <c:v>0.9868283552863778</c:v>
                </c:pt>
                <c:pt idx="100">
                  <c:v>0.98876557367236162</c:v>
                </c:pt>
                <c:pt idx="101">
                  <c:v>0.98995940897279766</c:v>
                </c:pt>
                <c:pt idx="102">
                  <c:v>0.99081730693125891</c:v>
                </c:pt>
                <c:pt idx="103">
                  <c:v>0.99137405816015389</c:v>
                </c:pt>
                <c:pt idx="104">
                  <c:v>0.99313306340910568</c:v>
                </c:pt>
                <c:pt idx="105">
                  <c:v>0.9942290184151561</c:v>
                </c:pt>
                <c:pt idx="106">
                  <c:v>0.99486549390455592</c:v>
                </c:pt>
                <c:pt idx="107">
                  <c:v>0.99543583680127234</c:v>
                </c:pt>
                <c:pt idx="108">
                  <c:v>0.99635266579707871</c:v>
                </c:pt>
                <c:pt idx="109">
                  <c:v>0.99759681055452565</c:v>
                </c:pt>
                <c:pt idx="110">
                  <c:v>0.99775869340410051</c:v>
                </c:pt>
                <c:pt idx="111">
                  <c:v>0.99860441971973657</c:v>
                </c:pt>
                <c:pt idx="112">
                  <c:v>0.99965016669913309</c:v>
                </c:pt>
                <c:pt idx="113">
                  <c:v>0.99965016669913309</c:v>
                </c:pt>
                <c:pt idx="114">
                  <c:v>0.99965016669913309</c:v>
                </c:pt>
                <c:pt idx="115">
                  <c:v>0.99965016669913309</c:v>
                </c:pt>
                <c:pt idx="116">
                  <c:v>0.99973100669356352</c:v>
                </c:pt>
                <c:pt idx="117">
                  <c:v>0.99973100669356352</c:v>
                </c:pt>
                <c:pt idx="118">
                  <c:v>1</c:v>
                </c:pt>
              </c:numCache>
            </c:numRef>
          </c:xVal>
          <c:yVal>
            <c:numRef>
              <c:f>Table!$A$18:$A$136</c:f>
              <c:numCache>
                <c:formatCode>????0.00</c:formatCode>
                <c:ptCount val="119"/>
                <c:pt idx="0">
                  <c:v>1.5110735893249512</c:v>
                </c:pt>
                <c:pt idx="1">
                  <c:v>1.588789701461792</c:v>
                </c:pt>
                <c:pt idx="2">
                  <c:v>1.8008730411529541</c:v>
                </c:pt>
                <c:pt idx="3">
                  <c:v>2.0034613609313965</c:v>
                </c:pt>
                <c:pt idx="4">
                  <c:v>2.1601700782775879</c:v>
                </c:pt>
                <c:pt idx="5">
                  <c:v>2.3577313423156738</c:v>
                </c:pt>
                <c:pt idx="6">
                  <c:v>2.5686178207397461</c:v>
                </c:pt>
                <c:pt idx="7">
                  <c:v>2.8085479736328125</c:v>
                </c:pt>
                <c:pt idx="8">
                  <c:v>3.092841625213623</c:v>
                </c:pt>
                <c:pt idx="9">
                  <c:v>3.3805665969848633</c:v>
                </c:pt>
                <c:pt idx="10">
                  <c:v>3.7120962142944336</c:v>
                </c:pt>
                <c:pt idx="11">
                  <c:v>4.0473761558532715</c:v>
                </c:pt>
                <c:pt idx="12">
                  <c:v>4.4245462417602539</c:v>
                </c:pt>
                <c:pt idx="13">
                  <c:v>4.8120889663696289</c:v>
                </c:pt>
                <c:pt idx="14">
                  <c:v>5.2726402282714844</c:v>
                </c:pt>
                <c:pt idx="15">
                  <c:v>5.7738046646118164</c:v>
                </c:pt>
                <c:pt idx="16">
                  <c:v>6.3101568222045898</c:v>
                </c:pt>
                <c:pt idx="17">
                  <c:v>6.9004478454589844</c:v>
                </c:pt>
                <c:pt idx="18">
                  <c:v>7.549065113067627</c:v>
                </c:pt>
                <c:pt idx="19">
                  <c:v>8.2571268081665039</c:v>
                </c:pt>
                <c:pt idx="20">
                  <c:v>9.0387554168701172</c:v>
                </c:pt>
                <c:pt idx="21">
                  <c:v>9.8886842727661133</c:v>
                </c:pt>
                <c:pt idx="22">
                  <c:v>10.793349266052246</c:v>
                </c:pt>
                <c:pt idx="23">
                  <c:v>11.889033317565918</c:v>
                </c:pt>
                <c:pt idx="24">
                  <c:v>12.888889312744141</c:v>
                </c:pt>
                <c:pt idx="25">
                  <c:v>14.186123847961426</c:v>
                </c:pt>
                <c:pt idx="26">
                  <c:v>15.484156608581543</c:v>
                </c:pt>
                <c:pt idx="27">
                  <c:v>16.876182556152344</c:v>
                </c:pt>
                <c:pt idx="28">
                  <c:v>18.474388122558594</c:v>
                </c:pt>
                <c:pt idx="29">
                  <c:v>20.266803741455078</c:v>
                </c:pt>
                <c:pt idx="30">
                  <c:v>22.161190032958984</c:v>
                </c:pt>
                <c:pt idx="31">
                  <c:v>24.307954788208008</c:v>
                </c:pt>
                <c:pt idx="32">
                  <c:v>26.609672546386719</c:v>
                </c:pt>
                <c:pt idx="33">
                  <c:v>29.00745964050293</c:v>
                </c:pt>
                <c:pt idx="34">
                  <c:v>29.897552490234375</c:v>
                </c:pt>
                <c:pt idx="35">
                  <c:v>35.258438110351562</c:v>
                </c:pt>
                <c:pt idx="36">
                  <c:v>37.542892456054687</c:v>
                </c:pt>
                <c:pt idx="37">
                  <c:v>40.872989654541016</c:v>
                </c:pt>
                <c:pt idx="38">
                  <c:v>45.372196197509766</c:v>
                </c:pt>
                <c:pt idx="39">
                  <c:v>48.300151824951172</c:v>
                </c:pt>
                <c:pt idx="40">
                  <c:v>54.405387878417969</c:v>
                </c:pt>
                <c:pt idx="41">
                  <c:v>58.909255981445313</c:v>
                </c:pt>
                <c:pt idx="42">
                  <c:v>64.634506225585938</c:v>
                </c:pt>
                <c:pt idx="43">
                  <c:v>70.703018188476563</c:v>
                </c:pt>
                <c:pt idx="44">
                  <c:v>77.537406921386719</c:v>
                </c:pt>
                <c:pt idx="45">
                  <c:v>84.772804260253906</c:v>
                </c:pt>
                <c:pt idx="46">
                  <c:v>92.482254028320313</c:v>
                </c:pt>
                <c:pt idx="47">
                  <c:v>101.62871551513672</c:v>
                </c:pt>
                <c:pt idx="48">
                  <c:v>111.70113372802734</c:v>
                </c:pt>
                <c:pt idx="49">
                  <c:v>120.98873138427734</c:v>
                </c:pt>
                <c:pt idx="50">
                  <c:v>133.47927856445312</c:v>
                </c:pt>
                <c:pt idx="51">
                  <c:v>145.54180908203125</c:v>
                </c:pt>
                <c:pt idx="52">
                  <c:v>159.40861511230469</c:v>
                </c:pt>
                <c:pt idx="53">
                  <c:v>174.44099426269531</c:v>
                </c:pt>
                <c:pt idx="54">
                  <c:v>190.41807556152344</c:v>
                </c:pt>
                <c:pt idx="55">
                  <c:v>207.18553161621094</c:v>
                </c:pt>
                <c:pt idx="56">
                  <c:v>228.50393676757812</c:v>
                </c:pt>
                <c:pt idx="57">
                  <c:v>250.7181396484375</c:v>
                </c:pt>
                <c:pt idx="58">
                  <c:v>274.0799560546875</c:v>
                </c:pt>
                <c:pt idx="59">
                  <c:v>299.6341552734375</c:v>
                </c:pt>
                <c:pt idx="60">
                  <c:v>327.447265625</c:v>
                </c:pt>
                <c:pt idx="61">
                  <c:v>359.35519409179687</c:v>
                </c:pt>
                <c:pt idx="62">
                  <c:v>391.6785888671875</c:v>
                </c:pt>
                <c:pt idx="63">
                  <c:v>428.17031860351562</c:v>
                </c:pt>
                <c:pt idx="64">
                  <c:v>469.24420166015625</c:v>
                </c:pt>
                <c:pt idx="65">
                  <c:v>511.96380615234375</c:v>
                </c:pt>
                <c:pt idx="66">
                  <c:v>561.94952392578125</c:v>
                </c:pt>
                <c:pt idx="67">
                  <c:v>613.34765625</c:v>
                </c:pt>
                <c:pt idx="68">
                  <c:v>673.431884765625</c:v>
                </c:pt>
                <c:pt idx="69">
                  <c:v>735.2288818359375</c:v>
                </c:pt>
                <c:pt idx="70">
                  <c:v>804.4661865234375</c:v>
                </c:pt>
                <c:pt idx="71">
                  <c:v>878.50714111328125</c:v>
                </c:pt>
                <c:pt idx="72">
                  <c:v>963.77874755859375</c:v>
                </c:pt>
                <c:pt idx="73">
                  <c:v>1047.4248046875</c:v>
                </c:pt>
                <c:pt idx="74">
                  <c:v>1147.6639404296875</c:v>
                </c:pt>
                <c:pt idx="75">
                  <c:v>1257.7652587890625</c:v>
                </c:pt>
                <c:pt idx="76">
                  <c:v>1377.4647216796875</c:v>
                </c:pt>
                <c:pt idx="77">
                  <c:v>1506.6988525390625</c:v>
                </c:pt>
                <c:pt idx="78">
                  <c:v>1648.361572265625</c:v>
                </c:pt>
                <c:pt idx="79">
                  <c:v>1809.2904052734375</c:v>
                </c:pt>
                <c:pt idx="80">
                  <c:v>1978.3740234375</c:v>
                </c:pt>
                <c:pt idx="81">
                  <c:v>2158.495361328125</c:v>
                </c:pt>
                <c:pt idx="82">
                  <c:v>2368.143310546875</c:v>
                </c:pt>
                <c:pt idx="83">
                  <c:v>2588.39892578125</c:v>
                </c:pt>
                <c:pt idx="84">
                  <c:v>2829.3759765625</c:v>
                </c:pt>
                <c:pt idx="85">
                  <c:v>3098.702392578125</c:v>
                </c:pt>
                <c:pt idx="86">
                  <c:v>3388.3359375</c:v>
                </c:pt>
                <c:pt idx="87">
                  <c:v>3707.82666015625</c:v>
                </c:pt>
                <c:pt idx="88">
                  <c:v>4059.25634765625</c:v>
                </c:pt>
                <c:pt idx="89">
                  <c:v>4436.71923828125</c:v>
                </c:pt>
                <c:pt idx="90">
                  <c:v>4846.1875</c:v>
                </c:pt>
                <c:pt idx="91">
                  <c:v>5307.1259765625</c:v>
                </c:pt>
                <c:pt idx="92">
                  <c:v>5806.57470703125</c:v>
                </c:pt>
                <c:pt idx="93">
                  <c:v>6356.74658203125</c:v>
                </c:pt>
                <c:pt idx="94">
                  <c:v>6946.33251953125</c:v>
                </c:pt>
                <c:pt idx="95">
                  <c:v>7605.748046875</c:v>
                </c:pt>
                <c:pt idx="96">
                  <c:v>8316.9052734375</c:v>
                </c:pt>
                <c:pt idx="97">
                  <c:v>9097.5263671875</c:v>
                </c:pt>
                <c:pt idx="98">
                  <c:v>9956.859375</c:v>
                </c:pt>
                <c:pt idx="99">
                  <c:v>10896.5751953125</c:v>
                </c:pt>
                <c:pt idx="100">
                  <c:v>11895.7236328125</c:v>
                </c:pt>
                <c:pt idx="101">
                  <c:v>12996.2470703125</c:v>
                </c:pt>
                <c:pt idx="102">
                  <c:v>14296.2880859375</c:v>
                </c:pt>
                <c:pt idx="103">
                  <c:v>15595.5380859375</c:v>
                </c:pt>
                <c:pt idx="104">
                  <c:v>17096.72265625</c:v>
                </c:pt>
                <c:pt idx="105">
                  <c:v>18695.2578125</c:v>
                </c:pt>
                <c:pt idx="106">
                  <c:v>20395.646484375</c:v>
                </c:pt>
                <c:pt idx="107">
                  <c:v>22297.048828125</c:v>
                </c:pt>
                <c:pt idx="108">
                  <c:v>24397.158203125</c:v>
                </c:pt>
                <c:pt idx="109">
                  <c:v>26700.064453125</c:v>
                </c:pt>
                <c:pt idx="110">
                  <c:v>29297.080078125</c:v>
                </c:pt>
                <c:pt idx="111">
                  <c:v>31994.453125</c:v>
                </c:pt>
                <c:pt idx="112">
                  <c:v>34990.18359375</c:v>
                </c:pt>
                <c:pt idx="113">
                  <c:v>38289.83203125</c:v>
                </c:pt>
                <c:pt idx="114">
                  <c:v>41888.546875</c:v>
                </c:pt>
                <c:pt idx="115">
                  <c:v>45782.20703125</c:v>
                </c:pt>
                <c:pt idx="116">
                  <c:v>50080.359375</c:v>
                </c:pt>
                <c:pt idx="117">
                  <c:v>54777.015625</c:v>
                </c:pt>
                <c:pt idx="118">
                  <c:v>59463.12890625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35232"/>
        <c:axId val="151945984"/>
      </c:scatterChart>
      <c:valAx>
        <c:axId val="151935232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700" b="0"/>
                  <a:t>Mercury Saturation</a:t>
                </a:r>
              </a:p>
            </c:rich>
          </c:tx>
          <c:layout>
            <c:manualLayout>
              <c:xMode val="edge"/>
              <c:yMode val="edge"/>
              <c:x val="0.39370372327620123"/>
              <c:y val="0.936454877102626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/>
            </a:pPr>
            <a:endParaRPr lang="en-US"/>
          </a:p>
        </c:txPr>
        <c:crossAx val="151945984"/>
        <c:crossesAt val="1.0000000000000041E-3"/>
        <c:crossBetween val="midCat"/>
        <c:majorUnit val="0.2"/>
        <c:minorUnit val="0.1"/>
      </c:valAx>
      <c:valAx>
        <c:axId val="151945984"/>
        <c:scaling>
          <c:logBase val="10"/>
          <c:orientation val="minMax"/>
          <c:max val="100000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Injection Pressure, psia</a:t>
                </a:r>
              </a:p>
            </c:rich>
          </c:tx>
          <c:layout>
            <c:manualLayout>
              <c:xMode val="edge"/>
              <c:yMode val="edge"/>
              <c:x val="1.7605633802816906E-2"/>
              <c:y val="0.33779264214047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/>
            </a:pPr>
            <a:endParaRPr lang="en-US"/>
          </a:p>
        </c:txPr>
        <c:crossAx val="151935232"/>
        <c:crosses val="max"/>
        <c:crossBetween val="midCat"/>
        <c:majorUnit val="10"/>
        <c:minorUnit val="10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175">
      <a:solidFill>
        <a:schemeClr val="dk1"/>
      </a:solidFill>
    </a:ln>
  </c:spPr>
  <c:txPr>
    <a:bodyPr/>
    <a:lstStyle/>
    <a:p>
      <a:pPr>
        <a:defRPr sz="575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4041119369915644"/>
          <c:y val="5.3511705685618735E-2"/>
          <c:w val="0.71747821581027194"/>
          <c:h val="0.8104070436011552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0066"/>
              </a:solidFill>
            </a:ln>
          </c:spPr>
          <c:marker>
            <c:symbol val="circ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0.99876687311506884</c:v>
                </c:pt>
                <c:pt idx="24">
                  <c:v>0.99618805225211493</c:v>
                </c:pt>
                <c:pt idx="25">
                  <c:v>0.98411698555002758</c:v>
                </c:pt>
                <c:pt idx="26">
                  <c:v>0.94054112224728148</c:v>
                </c:pt>
                <c:pt idx="27">
                  <c:v>0.81642851592345611</c:v>
                </c:pt>
                <c:pt idx="28">
                  <c:v>0.70614352978876227</c:v>
                </c:pt>
                <c:pt idx="29">
                  <c:v>0.63950918648742183</c:v>
                </c:pt>
                <c:pt idx="30">
                  <c:v>0.59679293278040924</c:v>
                </c:pt>
                <c:pt idx="31">
                  <c:v>0.56412977139208387</c:v>
                </c:pt>
                <c:pt idx="32">
                  <c:v>0.54144497350701715</c:v>
                </c:pt>
                <c:pt idx="33">
                  <c:v>0.52380516942745092</c:v>
                </c:pt>
                <c:pt idx="34">
                  <c:v>0.50691342105568049</c:v>
                </c:pt>
                <c:pt idx="35">
                  <c:v>0.4909148273784163</c:v>
                </c:pt>
                <c:pt idx="36">
                  <c:v>0.47552223306037544</c:v>
                </c:pt>
                <c:pt idx="37">
                  <c:v>0.46062403427988707</c:v>
                </c:pt>
                <c:pt idx="38">
                  <c:v>0.44635148699026683</c:v>
                </c:pt>
                <c:pt idx="39">
                  <c:v>0.43271265405287163</c:v>
                </c:pt>
                <c:pt idx="40">
                  <c:v>0.42041026749768073</c:v>
                </c:pt>
                <c:pt idx="41">
                  <c:v>0.4089979830392596</c:v>
                </c:pt>
                <c:pt idx="42">
                  <c:v>0.39773125114295604</c:v>
                </c:pt>
                <c:pt idx="43">
                  <c:v>0.38721956682324088</c:v>
                </c:pt>
                <c:pt idx="44">
                  <c:v>0.37834339629298053</c:v>
                </c:pt>
                <c:pt idx="45">
                  <c:v>0.37038217829692466</c:v>
                </c:pt>
                <c:pt idx="46">
                  <c:v>0.36183631572383257</c:v>
                </c:pt>
                <c:pt idx="47">
                  <c:v>0.35383082337699989</c:v>
                </c:pt>
                <c:pt idx="48">
                  <c:v>0.34627238532810012</c:v>
                </c:pt>
                <c:pt idx="49">
                  <c:v>0.33947112489328346</c:v>
                </c:pt>
                <c:pt idx="50">
                  <c:v>0.33225942651936602</c:v>
                </c:pt>
                <c:pt idx="51">
                  <c:v>0.32526428195738</c:v>
                </c:pt>
                <c:pt idx="52">
                  <c:v>0.31809599577620573</c:v>
                </c:pt>
                <c:pt idx="53">
                  <c:v>0.31104126087955464</c:v>
                </c:pt>
                <c:pt idx="54">
                  <c:v>0.30420444910465272</c:v>
                </c:pt>
                <c:pt idx="55">
                  <c:v>0.29700816814498066</c:v>
                </c:pt>
                <c:pt idx="56">
                  <c:v>0.28967135542585609</c:v>
                </c:pt>
                <c:pt idx="57">
                  <c:v>0.28230431646038234</c:v>
                </c:pt>
                <c:pt idx="58">
                  <c:v>0.27505955179012331</c:v>
                </c:pt>
                <c:pt idx="59">
                  <c:v>0.26755395895715628</c:v>
                </c:pt>
                <c:pt idx="60">
                  <c:v>0.25981847422032878</c:v>
                </c:pt>
                <c:pt idx="61">
                  <c:v>0.25214942636725535</c:v>
                </c:pt>
                <c:pt idx="62">
                  <c:v>0.24425849960851465</c:v>
                </c:pt>
                <c:pt idx="63">
                  <c:v>0.23623637268315434</c:v>
                </c:pt>
                <c:pt idx="64">
                  <c:v>0.22835776971277411</c:v>
                </c:pt>
                <c:pt idx="65">
                  <c:v>0.22039320451494115</c:v>
                </c:pt>
                <c:pt idx="66">
                  <c:v>0.21207632097249762</c:v>
                </c:pt>
                <c:pt idx="67">
                  <c:v>0.20405302759803312</c:v>
                </c:pt>
                <c:pt idx="68">
                  <c:v>0.19586059910347708</c:v>
                </c:pt>
                <c:pt idx="69">
                  <c:v>0.18770899632756399</c:v>
                </c:pt>
                <c:pt idx="70">
                  <c:v>0.17960329078813719</c:v>
                </c:pt>
                <c:pt idx="71">
                  <c:v>0.17150742399332763</c:v>
                </c:pt>
                <c:pt idx="72">
                  <c:v>0.16325860022034833</c:v>
                </c:pt>
                <c:pt idx="73">
                  <c:v>0.15579616600423229</c:v>
                </c:pt>
                <c:pt idx="74">
                  <c:v>0.14762970368103667</c:v>
                </c:pt>
                <c:pt idx="75">
                  <c:v>0.13970885496701746</c:v>
                </c:pt>
                <c:pt idx="76">
                  <c:v>0.13161466177309622</c:v>
                </c:pt>
                <c:pt idx="77">
                  <c:v>0.12392761003167729</c:v>
                </c:pt>
                <c:pt idx="78">
                  <c:v>0.11652157109398453</c:v>
                </c:pt>
                <c:pt idx="79">
                  <c:v>0.10874946999832469</c:v>
                </c:pt>
                <c:pt idx="80">
                  <c:v>0.10122698901093774</c:v>
                </c:pt>
                <c:pt idx="81">
                  <c:v>9.4229308690029767E-2</c:v>
                </c:pt>
                <c:pt idx="82">
                  <c:v>8.7222803928073467E-2</c:v>
                </c:pt>
                <c:pt idx="83">
                  <c:v>8.0737752630819171E-2</c:v>
                </c:pt>
                <c:pt idx="84">
                  <c:v>7.4470472309778657E-2</c:v>
                </c:pt>
                <c:pt idx="85">
                  <c:v>6.7933995821587878E-2</c:v>
                </c:pt>
                <c:pt idx="86">
                  <c:v>6.2478868368057383E-2</c:v>
                </c:pt>
                <c:pt idx="87">
                  <c:v>5.7135010016020282E-2</c:v>
                </c:pt>
                <c:pt idx="88">
                  <c:v>5.207972102929681E-2</c:v>
                </c:pt>
                <c:pt idx="89">
                  <c:v>4.703203931933897E-2</c:v>
                </c:pt>
                <c:pt idx="90">
                  <c:v>4.2487452179488572E-2</c:v>
                </c:pt>
                <c:pt idx="91">
                  <c:v>3.8313491563664703E-2</c:v>
                </c:pt>
                <c:pt idx="92">
                  <c:v>3.3943973219783041E-2</c:v>
                </c:pt>
                <c:pt idx="93">
                  <c:v>3.0001983830135637E-2</c:v>
                </c:pt>
                <c:pt idx="94">
                  <c:v>2.5938278012236582E-2</c:v>
                </c:pt>
                <c:pt idx="95">
                  <c:v>2.2433047739299328E-2</c:v>
                </c:pt>
                <c:pt idx="96">
                  <c:v>1.9956321285089507E-2</c:v>
                </c:pt>
                <c:pt idx="97">
                  <c:v>1.73922632936091E-2</c:v>
                </c:pt>
                <c:pt idx="98">
                  <c:v>1.5197208940445295E-2</c:v>
                </c:pt>
                <c:pt idx="99">
                  <c:v>1.3171644713622199E-2</c:v>
                </c:pt>
                <c:pt idx="100">
                  <c:v>1.123442632763838E-2</c:v>
                </c:pt>
                <c:pt idx="101">
                  <c:v>1.0040591027202339E-2</c:v>
                </c:pt>
                <c:pt idx="102">
                  <c:v>9.1826930687410879E-3</c:v>
                </c:pt>
                <c:pt idx="103">
                  <c:v>8.6259418398461074E-3</c:v>
                </c:pt>
                <c:pt idx="104">
                  <c:v>6.8669365908943236E-3</c:v>
                </c:pt>
                <c:pt idx="105">
                  <c:v>5.7709815848439039E-3</c:v>
                </c:pt>
                <c:pt idx="106">
                  <c:v>5.1345060954440802E-3</c:v>
                </c:pt>
                <c:pt idx="107">
                  <c:v>4.5641631987276554E-3</c:v>
                </c:pt>
                <c:pt idx="108">
                  <c:v>3.647334202921293E-3</c:v>
                </c:pt>
                <c:pt idx="109">
                  <c:v>2.4031894454743519E-3</c:v>
                </c:pt>
                <c:pt idx="110">
                  <c:v>2.2413065958994949E-3</c:v>
                </c:pt>
                <c:pt idx="111">
                  <c:v>1.395580280263431E-3</c:v>
                </c:pt>
                <c:pt idx="112">
                  <c:v>3.4983330086690856E-4</c:v>
                </c:pt>
                <c:pt idx="113">
                  <c:v>3.4983330086690856E-4</c:v>
                </c:pt>
                <c:pt idx="114">
                  <c:v>3.4983330086690856E-4</c:v>
                </c:pt>
                <c:pt idx="115">
                  <c:v>3.4983330086690856E-4</c:v>
                </c:pt>
                <c:pt idx="116">
                  <c:v>2.6899330643648245E-4</c:v>
                </c:pt>
                <c:pt idx="117">
                  <c:v>2.6899330643648245E-4</c:v>
                </c:pt>
                <c:pt idx="118">
                  <c:v>0</c:v>
                </c:pt>
              </c:numCache>
            </c:numRef>
          </c:xVal>
          <c:yVal>
            <c:numRef>
              <c:f>Table!$L$18:$L$136</c:f>
              <c:numCache>
                <c:formatCode>????0.00</c:formatCode>
                <c:ptCount val="119"/>
                <c:pt idx="0">
                  <c:v>0.28470031644445304</c:v>
                </c:pt>
                <c:pt idx="1">
                  <c:v>0.29934275469133914</c:v>
                </c:pt>
                <c:pt idx="2">
                  <c:v>0.33930122815631725</c:v>
                </c:pt>
                <c:pt idx="3">
                  <c:v>0.37747075157088428</c:v>
                </c:pt>
                <c:pt idx="4">
                  <c:v>0.40699613123025358</c:v>
                </c:pt>
                <c:pt idx="5">
                  <c:v>0.44421851059427653</c:v>
                </c:pt>
                <c:pt idx="6">
                  <c:v>0.48395148426633405</c:v>
                </c:pt>
                <c:pt idx="7">
                  <c:v>0.52915655629974678</c:v>
                </c:pt>
                <c:pt idx="8">
                  <c:v>0.58272012404389872</c:v>
                </c:pt>
                <c:pt idx="9">
                  <c:v>0.63693018442145977</c:v>
                </c:pt>
                <c:pt idx="10">
                  <c:v>0.69939344737936027</c:v>
                </c:pt>
                <c:pt idx="11">
                  <c:v>0.76256330630193048</c:v>
                </c:pt>
                <c:pt idx="12">
                  <c:v>0.83362565797672217</c:v>
                </c:pt>
                <c:pt idx="13">
                  <c:v>0.90664231124330752</c:v>
                </c:pt>
                <c:pt idx="14">
                  <c:v>0.99341445187805044</c:v>
                </c:pt>
                <c:pt idx="15">
                  <c:v>1.0878384922588629</c:v>
                </c:pt>
                <c:pt idx="16">
                  <c:v>1.1888922265515414</c:v>
                </c:pt>
                <c:pt idx="17">
                  <c:v>1.3001085447388792</c:v>
                </c:pt>
                <c:pt idx="18">
                  <c:v>1.4223140697669565</c:v>
                </c:pt>
                <c:pt idx="19">
                  <c:v>1.5557194777371277</c:v>
                </c:pt>
                <c:pt idx="20">
                  <c:v>1.702985576365301</c:v>
                </c:pt>
                <c:pt idx="21">
                  <c:v>1.863120076722071</c:v>
                </c:pt>
                <c:pt idx="22">
                  <c:v>2.0335673743813736</c:v>
                </c:pt>
                <c:pt idx="23">
                  <c:v>2.2400044389908067</c:v>
                </c:pt>
                <c:pt idx="24">
                  <c:v>2.428386606634469</c:v>
                </c:pt>
                <c:pt idx="25">
                  <c:v>2.6727976566906237</c:v>
                </c:pt>
                <c:pt idx="26">
                  <c:v>2.9173590998357621</c:v>
                </c:pt>
                <c:pt idx="27">
                  <c:v>3.1796297334912298</c:v>
                </c:pt>
                <c:pt idx="28">
                  <c:v>3.4807465247008582</c:v>
                </c:pt>
                <c:pt idx="29">
                  <c:v>3.8184542958543326</c:v>
                </c:pt>
                <c:pt idx="30">
                  <c:v>4.1753742900024235</c:v>
                </c:pt>
                <c:pt idx="31">
                  <c:v>4.5798447337114112</c:v>
                </c:pt>
                <c:pt idx="32">
                  <c:v>5.0135097641564474</c:v>
                </c:pt>
                <c:pt idx="33">
                  <c:v>5.4652751508880595</c:v>
                </c:pt>
                <c:pt idx="34">
                  <c:v>5.6329769211881375</c:v>
                </c:pt>
                <c:pt idx="35">
                  <c:v>6.6430176255271682</c:v>
                </c:pt>
                <c:pt idx="36">
                  <c:v>7.0734300685208513</c:v>
                </c:pt>
                <c:pt idx="37">
                  <c:v>7.7008513489254566</c:v>
                </c:pt>
                <c:pt idx="38">
                  <c:v>8.5485437019526778</c:v>
                </c:pt>
                <c:pt idx="39">
                  <c:v>9.1001977706603956</c:v>
                </c:pt>
                <c:pt idx="40">
                  <c:v>10.250481018722841</c:v>
                </c:pt>
                <c:pt idx="41">
                  <c:v>11.099051653015238</c:v>
                </c:pt>
                <c:pt idx="42">
                  <c:v>12.177742040925919</c:v>
                </c:pt>
                <c:pt idx="43">
                  <c:v>13.321106128808454</c:v>
                </c:pt>
                <c:pt idx="44">
                  <c:v>14.608768522426994</c:v>
                </c:pt>
                <c:pt idx="45">
                  <c:v>15.971984666583863</c:v>
                </c:pt>
                <c:pt idx="46">
                  <c:v>17.424516696848286</c:v>
                </c:pt>
                <c:pt idx="47">
                  <c:v>19.147795098403126</c:v>
                </c:pt>
                <c:pt idx="48">
                  <c:v>21.045532358076823</c:v>
                </c:pt>
                <c:pt idx="49">
                  <c:v>22.795402126447524</c:v>
                </c:pt>
                <c:pt idx="50">
                  <c:v>25.148737370926934</c:v>
                </c:pt>
                <c:pt idx="51">
                  <c:v>27.421430295835737</c:v>
                </c:pt>
                <c:pt idx="52">
                  <c:v>30.034065506180688</c:v>
                </c:pt>
                <c:pt idx="53">
                  <c:v>32.866305531592758</c:v>
                </c:pt>
                <c:pt idx="54">
                  <c:v>35.876536227019827</c:v>
                </c:pt>
                <c:pt idx="55">
                  <c:v>39.035680876533931</c:v>
                </c:pt>
                <c:pt idx="56">
                  <c:v>43.052266657373821</c:v>
                </c:pt>
                <c:pt idx="57">
                  <c:v>47.237629060913193</c:v>
                </c:pt>
                <c:pt idx="58">
                  <c:v>51.639212524858102</c:v>
                </c:pt>
                <c:pt idx="59">
                  <c:v>56.453861298722813</c:v>
                </c:pt>
                <c:pt idx="60">
                  <c:v>61.694109936733724</c:v>
                </c:pt>
                <c:pt idx="61">
                  <c:v>67.705860387380056</c:v>
                </c:pt>
                <c:pt idx="62">
                  <c:v>73.795888554190753</c:v>
                </c:pt>
                <c:pt idx="63">
                  <c:v>80.671269791036593</c:v>
                </c:pt>
                <c:pt idx="64">
                  <c:v>88.409971325124047</c:v>
                </c:pt>
                <c:pt idx="65">
                  <c:v>96.458742082040644</c:v>
                </c:pt>
                <c:pt idx="66">
                  <c:v>105.87651615230166</c:v>
                </c:pt>
                <c:pt idx="67">
                  <c:v>115.56040225866664</c:v>
                </c:pt>
                <c:pt idx="68">
                  <c:v>126.88082966376814</c:v>
                </c:pt>
                <c:pt idx="69">
                  <c:v>138.52395859244896</c:v>
                </c:pt>
                <c:pt idx="70">
                  <c:v>151.56891066728355</c:v>
                </c:pt>
                <c:pt idx="71">
                  <c:v>165.51891505521996</c:v>
                </c:pt>
                <c:pt idx="72">
                  <c:v>181.58487869207542</c:v>
                </c:pt>
                <c:pt idx="73">
                  <c:v>197.34457372093829</c:v>
                </c:pt>
                <c:pt idx="74">
                  <c:v>216.23055906773283</c:v>
                </c:pt>
                <c:pt idx="75">
                  <c:v>236.97467133288652</c:v>
                </c:pt>
                <c:pt idx="76">
                  <c:v>259.52716328558887</c:v>
                </c:pt>
                <c:pt idx="77">
                  <c:v>283.87607535116513</c:v>
                </c:pt>
                <c:pt idx="78">
                  <c:v>310.566649138873</c:v>
                </c:pt>
                <c:pt idx="79">
                  <c:v>340.88713783382036</c:v>
                </c:pt>
                <c:pt idx="80">
                  <c:v>372.74406388755853</c:v>
                </c:pt>
                <c:pt idx="81">
                  <c:v>406.68059898295911</c:v>
                </c:pt>
                <c:pt idx="82">
                  <c:v>446.18022223504238</c:v>
                </c:pt>
                <c:pt idx="83">
                  <c:v>487.67842841036673</c:v>
                </c:pt>
                <c:pt idx="84">
                  <c:v>533.08074574153102</c:v>
                </c:pt>
                <c:pt idx="85">
                  <c:v>583.8243471175258</c:v>
                </c:pt>
                <c:pt idx="86">
                  <c:v>638.3940004254257</c:v>
                </c:pt>
                <c:pt idx="87">
                  <c:v>698.58902367504515</c:v>
                </c:pt>
                <c:pt idx="88">
                  <c:v>764.80164491735138</c:v>
                </c:pt>
                <c:pt idx="89">
                  <c:v>835.91916372395247</c:v>
                </c:pt>
                <c:pt idx="90">
                  <c:v>913.06679207828472</c:v>
                </c:pt>
                <c:pt idx="91">
                  <c:v>999.91188755599251</c:v>
                </c:pt>
                <c:pt idx="92">
                  <c:v>1094.0126729954072</c:v>
                </c:pt>
                <c:pt idx="93">
                  <c:v>1197.6701705639484</c:v>
                </c:pt>
                <c:pt idx="94">
                  <c:v>1308.7536440382194</c:v>
                </c:pt>
                <c:pt idx="95">
                  <c:v>1432.9936616187128</c:v>
                </c:pt>
                <c:pt idx="96">
                  <c:v>1566.9822965034984</c:v>
                </c:pt>
                <c:pt idx="97">
                  <c:v>1714.0585699450346</c:v>
                </c:pt>
                <c:pt idx="98">
                  <c:v>1875.9648999767023</c:v>
                </c:pt>
                <c:pt idx="99">
                  <c:v>2053.0160994026323</c:v>
                </c:pt>
                <c:pt idx="100">
                  <c:v>2241.2649565997908</c:v>
                </c:pt>
                <c:pt idx="101">
                  <c:v>2448.613806532876</c:v>
                </c:pt>
                <c:pt idx="102">
                  <c:v>2693.5536235966838</c:v>
                </c:pt>
                <c:pt idx="103">
                  <c:v>2938.3444059606995</c:v>
                </c:pt>
                <c:pt idx="104">
                  <c:v>3221.1815392603608</c:v>
                </c:pt>
                <c:pt idx="105">
                  <c:v>3522.3604282615697</c:v>
                </c:pt>
                <c:pt idx="106">
                  <c:v>3842.729466792407</c:v>
                </c:pt>
                <c:pt idx="107">
                  <c:v>4200.9713504293786</c:v>
                </c:pt>
                <c:pt idx="108">
                  <c:v>4596.6514866281495</c:v>
                </c:pt>
                <c:pt idx="109">
                  <c:v>5030.5404399846866</c:v>
                </c:pt>
                <c:pt idx="110">
                  <c:v>5519.8423346587842</c:v>
                </c:pt>
                <c:pt idx="111">
                  <c:v>6028.0525008871</c:v>
                </c:pt>
                <c:pt idx="112">
                  <c:v>6592.4759799689018</c:v>
                </c:pt>
                <c:pt idx="113">
                  <c:v>7214.1604306456966</c:v>
                </c:pt>
                <c:pt idx="114">
                  <c:v>7892.1917734254212</c:v>
                </c:pt>
                <c:pt idx="115">
                  <c:v>8625.793555921502</c:v>
                </c:pt>
                <c:pt idx="116">
                  <c:v>9435.6054281141423</c:v>
                </c:pt>
                <c:pt idx="117">
                  <c:v>10320.499142127876</c:v>
                </c:pt>
                <c:pt idx="118">
                  <c:v>11203.406462784862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59808"/>
        <c:axId val="151970176"/>
      </c:scatterChart>
      <c:scatterChart>
        <c:scatterStyle val="lineMarker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0.99876687311506884</c:v>
                </c:pt>
                <c:pt idx="24">
                  <c:v>0.99618805225211493</c:v>
                </c:pt>
                <c:pt idx="25">
                  <c:v>0.98411698555002758</c:v>
                </c:pt>
                <c:pt idx="26">
                  <c:v>0.94054112224728148</c:v>
                </c:pt>
                <c:pt idx="27">
                  <c:v>0.81642851592345611</c:v>
                </c:pt>
                <c:pt idx="28">
                  <c:v>0.70614352978876227</c:v>
                </c:pt>
                <c:pt idx="29">
                  <c:v>0.63950918648742183</c:v>
                </c:pt>
                <c:pt idx="30">
                  <c:v>0.59679293278040924</c:v>
                </c:pt>
                <c:pt idx="31">
                  <c:v>0.56412977139208387</c:v>
                </c:pt>
                <c:pt idx="32">
                  <c:v>0.54144497350701715</c:v>
                </c:pt>
                <c:pt idx="33">
                  <c:v>0.52380516942745092</c:v>
                </c:pt>
                <c:pt idx="34">
                  <c:v>0.50691342105568049</c:v>
                </c:pt>
                <c:pt idx="35">
                  <c:v>0.4909148273784163</c:v>
                </c:pt>
                <c:pt idx="36">
                  <c:v>0.47552223306037544</c:v>
                </c:pt>
                <c:pt idx="37">
                  <c:v>0.46062403427988707</c:v>
                </c:pt>
                <c:pt idx="38">
                  <c:v>0.44635148699026683</c:v>
                </c:pt>
                <c:pt idx="39">
                  <c:v>0.43271265405287163</c:v>
                </c:pt>
                <c:pt idx="40">
                  <c:v>0.42041026749768073</c:v>
                </c:pt>
                <c:pt idx="41">
                  <c:v>0.4089979830392596</c:v>
                </c:pt>
                <c:pt idx="42">
                  <c:v>0.39773125114295604</c:v>
                </c:pt>
                <c:pt idx="43">
                  <c:v>0.38721956682324088</c:v>
                </c:pt>
                <c:pt idx="44">
                  <c:v>0.37834339629298053</c:v>
                </c:pt>
                <c:pt idx="45">
                  <c:v>0.37038217829692466</c:v>
                </c:pt>
                <c:pt idx="46">
                  <c:v>0.36183631572383257</c:v>
                </c:pt>
                <c:pt idx="47">
                  <c:v>0.35383082337699989</c:v>
                </c:pt>
                <c:pt idx="48">
                  <c:v>0.34627238532810012</c:v>
                </c:pt>
                <c:pt idx="49">
                  <c:v>0.33947112489328346</c:v>
                </c:pt>
                <c:pt idx="50">
                  <c:v>0.33225942651936602</c:v>
                </c:pt>
                <c:pt idx="51">
                  <c:v>0.32526428195738</c:v>
                </c:pt>
                <c:pt idx="52">
                  <c:v>0.31809599577620573</c:v>
                </c:pt>
                <c:pt idx="53">
                  <c:v>0.31104126087955464</c:v>
                </c:pt>
                <c:pt idx="54">
                  <c:v>0.30420444910465272</c:v>
                </c:pt>
                <c:pt idx="55">
                  <c:v>0.29700816814498066</c:v>
                </c:pt>
                <c:pt idx="56">
                  <c:v>0.28967135542585609</c:v>
                </c:pt>
                <c:pt idx="57">
                  <c:v>0.28230431646038234</c:v>
                </c:pt>
                <c:pt idx="58">
                  <c:v>0.27505955179012331</c:v>
                </c:pt>
                <c:pt idx="59">
                  <c:v>0.26755395895715628</c:v>
                </c:pt>
                <c:pt idx="60">
                  <c:v>0.25981847422032878</c:v>
                </c:pt>
                <c:pt idx="61">
                  <c:v>0.25214942636725535</c:v>
                </c:pt>
                <c:pt idx="62">
                  <c:v>0.24425849960851465</c:v>
                </c:pt>
                <c:pt idx="63">
                  <c:v>0.23623637268315434</c:v>
                </c:pt>
                <c:pt idx="64">
                  <c:v>0.22835776971277411</c:v>
                </c:pt>
                <c:pt idx="65">
                  <c:v>0.22039320451494115</c:v>
                </c:pt>
                <c:pt idx="66">
                  <c:v>0.21207632097249762</c:v>
                </c:pt>
                <c:pt idx="67">
                  <c:v>0.20405302759803312</c:v>
                </c:pt>
                <c:pt idx="68">
                  <c:v>0.19586059910347708</c:v>
                </c:pt>
                <c:pt idx="69">
                  <c:v>0.18770899632756399</c:v>
                </c:pt>
                <c:pt idx="70">
                  <c:v>0.17960329078813719</c:v>
                </c:pt>
                <c:pt idx="71">
                  <c:v>0.17150742399332763</c:v>
                </c:pt>
                <c:pt idx="72">
                  <c:v>0.16325860022034833</c:v>
                </c:pt>
                <c:pt idx="73">
                  <c:v>0.15579616600423229</c:v>
                </c:pt>
                <c:pt idx="74">
                  <c:v>0.14762970368103667</c:v>
                </c:pt>
                <c:pt idx="75">
                  <c:v>0.13970885496701746</c:v>
                </c:pt>
                <c:pt idx="76">
                  <c:v>0.13161466177309622</c:v>
                </c:pt>
                <c:pt idx="77">
                  <c:v>0.12392761003167729</c:v>
                </c:pt>
                <c:pt idx="78">
                  <c:v>0.11652157109398453</c:v>
                </c:pt>
                <c:pt idx="79">
                  <c:v>0.10874946999832469</c:v>
                </c:pt>
                <c:pt idx="80">
                  <c:v>0.10122698901093774</c:v>
                </c:pt>
                <c:pt idx="81">
                  <c:v>9.4229308690029767E-2</c:v>
                </c:pt>
                <c:pt idx="82">
                  <c:v>8.7222803928073467E-2</c:v>
                </c:pt>
                <c:pt idx="83">
                  <c:v>8.0737752630819171E-2</c:v>
                </c:pt>
                <c:pt idx="84">
                  <c:v>7.4470472309778657E-2</c:v>
                </c:pt>
                <c:pt idx="85">
                  <c:v>6.7933995821587878E-2</c:v>
                </c:pt>
                <c:pt idx="86">
                  <c:v>6.2478868368057383E-2</c:v>
                </c:pt>
                <c:pt idx="87">
                  <c:v>5.7135010016020282E-2</c:v>
                </c:pt>
                <c:pt idx="88">
                  <c:v>5.207972102929681E-2</c:v>
                </c:pt>
                <c:pt idx="89">
                  <c:v>4.703203931933897E-2</c:v>
                </c:pt>
                <c:pt idx="90">
                  <c:v>4.2487452179488572E-2</c:v>
                </c:pt>
                <c:pt idx="91">
                  <c:v>3.8313491563664703E-2</c:v>
                </c:pt>
                <c:pt idx="92">
                  <c:v>3.3943973219783041E-2</c:v>
                </c:pt>
                <c:pt idx="93">
                  <c:v>3.0001983830135637E-2</c:v>
                </c:pt>
                <c:pt idx="94">
                  <c:v>2.5938278012236582E-2</c:v>
                </c:pt>
                <c:pt idx="95">
                  <c:v>2.2433047739299328E-2</c:v>
                </c:pt>
                <c:pt idx="96">
                  <c:v>1.9956321285089507E-2</c:v>
                </c:pt>
                <c:pt idx="97">
                  <c:v>1.73922632936091E-2</c:v>
                </c:pt>
                <c:pt idx="98">
                  <c:v>1.5197208940445295E-2</c:v>
                </c:pt>
                <c:pt idx="99">
                  <c:v>1.3171644713622199E-2</c:v>
                </c:pt>
                <c:pt idx="100">
                  <c:v>1.123442632763838E-2</c:v>
                </c:pt>
                <c:pt idx="101">
                  <c:v>1.0040591027202339E-2</c:v>
                </c:pt>
                <c:pt idx="102">
                  <c:v>9.1826930687410879E-3</c:v>
                </c:pt>
                <c:pt idx="103">
                  <c:v>8.6259418398461074E-3</c:v>
                </c:pt>
                <c:pt idx="104">
                  <c:v>6.8669365908943236E-3</c:v>
                </c:pt>
                <c:pt idx="105">
                  <c:v>5.7709815848439039E-3</c:v>
                </c:pt>
                <c:pt idx="106">
                  <c:v>5.1345060954440802E-3</c:v>
                </c:pt>
                <c:pt idx="107">
                  <c:v>4.5641631987276554E-3</c:v>
                </c:pt>
                <c:pt idx="108">
                  <c:v>3.647334202921293E-3</c:v>
                </c:pt>
                <c:pt idx="109">
                  <c:v>2.4031894454743519E-3</c:v>
                </c:pt>
                <c:pt idx="110">
                  <c:v>2.2413065958994949E-3</c:v>
                </c:pt>
                <c:pt idx="111">
                  <c:v>1.395580280263431E-3</c:v>
                </c:pt>
                <c:pt idx="112">
                  <c:v>3.4983330086690856E-4</c:v>
                </c:pt>
                <c:pt idx="113">
                  <c:v>3.4983330086690856E-4</c:v>
                </c:pt>
                <c:pt idx="114">
                  <c:v>3.4983330086690856E-4</c:v>
                </c:pt>
                <c:pt idx="115">
                  <c:v>3.4983330086690856E-4</c:v>
                </c:pt>
                <c:pt idx="116">
                  <c:v>2.6899330643648245E-4</c:v>
                </c:pt>
                <c:pt idx="117">
                  <c:v>2.6899330643648245E-4</c:v>
                </c:pt>
                <c:pt idx="118">
                  <c:v>0</c:v>
                </c:pt>
              </c:numCache>
            </c:numRef>
          </c:xVal>
          <c:yVal>
            <c:numRef>
              <c:f>Table!$O$18:$O$136</c:f>
              <c:numCache>
                <c:formatCode>????0.00</c:formatCode>
                <c:ptCount val="119"/>
                <c:pt idx="0">
                  <c:v>0.6106827894561413</c:v>
                </c:pt>
                <c:pt idx="1">
                  <c:v>0.64209085090377338</c:v>
                </c:pt>
                <c:pt idx="2">
                  <c:v>0.72780186219716281</c:v>
                </c:pt>
                <c:pt idx="3">
                  <c:v>0.80967557179511873</c:v>
                </c:pt>
                <c:pt idx="4">
                  <c:v>0.8730075744964686</c:v>
                </c:pt>
                <c:pt idx="5">
                  <c:v>0.95284965807438138</c:v>
                </c:pt>
                <c:pt idx="6">
                  <c:v>1.0380769718282585</c:v>
                </c:pt>
                <c:pt idx="7">
                  <c:v>1.1350419483049052</c:v>
                </c:pt>
                <c:pt idx="8">
                  <c:v>1.2499359160100789</c:v>
                </c:pt>
                <c:pt idx="9">
                  <c:v>1.3662166118006431</c:v>
                </c:pt>
                <c:pt idx="10">
                  <c:v>1.5002004448291728</c:v>
                </c:pt>
                <c:pt idx="11">
                  <c:v>1.635699927717569</c:v>
                </c:pt>
                <c:pt idx="12">
                  <c:v>1.788128824488894</c:v>
                </c:pt>
                <c:pt idx="13">
                  <c:v>1.9447497023665974</c:v>
                </c:pt>
                <c:pt idx="14">
                  <c:v>2.1308761301545487</c:v>
                </c:pt>
                <c:pt idx="15">
                  <c:v>2.3334158993111607</c:v>
                </c:pt>
                <c:pt idx="16">
                  <c:v>2.5501763761294329</c:v>
                </c:pt>
                <c:pt idx="17">
                  <c:v>2.7887356172005133</c:v>
                </c:pt>
                <c:pt idx="18">
                  <c:v>3.0508667305168524</c:v>
                </c:pt>
                <c:pt idx="19">
                  <c:v>3.3370216167677564</c:v>
                </c:pt>
                <c:pt idx="20">
                  <c:v>3.6529077142112856</c:v>
                </c:pt>
                <c:pt idx="21">
                  <c:v>3.9963965609654037</c:v>
                </c:pt>
                <c:pt idx="22">
                  <c:v>4.3620063800544271</c:v>
                </c:pt>
                <c:pt idx="23">
                  <c:v>4.8048143264496073</c:v>
                </c:pt>
                <c:pt idx="24">
                  <c:v>5.2088944801254167</c:v>
                </c:pt>
                <c:pt idx="25">
                  <c:v>5.7331567067580949</c:v>
                </c:pt>
                <c:pt idx="26">
                  <c:v>6.2577415268892373</c:v>
                </c:pt>
                <c:pt idx="27">
                  <c:v>6.8203125986512871</c:v>
                </c:pt>
                <c:pt idx="28">
                  <c:v>7.466208761692104</c:v>
                </c:pt>
                <c:pt idx="29">
                  <c:v>8.1905926552001986</c:v>
                </c:pt>
                <c:pt idx="30">
                  <c:v>8.9561868082420073</c:v>
                </c:pt>
                <c:pt idx="31">
                  <c:v>9.8237767775877565</c:v>
                </c:pt>
                <c:pt idx="32">
                  <c:v>10.753989198104779</c:v>
                </c:pt>
                <c:pt idx="33">
                  <c:v>11.723026921681811</c:v>
                </c:pt>
                <c:pt idx="34">
                  <c:v>12.082747578696136</c:v>
                </c:pt>
                <c:pt idx="35">
                  <c:v>14.249287056042833</c:v>
                </c:pt>
                <c:pt idx="36">
                  <c:v>15.172522669499898</c:v>
                </c:pt>
                <c:pt idx="37">
                  <c:v>16.518342661787766</c:v>
                </c:pt>
                <c:pt idx="38">
                  <c:v>18.336644577333075</c:v>
                </c:pt>
                <c:pt idx="39">
                  <c:v>19.519943738010291</c:v>
                </c:pt>
                <c:pt idx="40">
                  <c:v>21.987303772464269</c:v>
                </c:pt>
                <c:pt idx="41">
                  <c:v>23.807489603207291</c:v>
                </c:pt>
                <c:pt idx="42">
                  <c:v>26.121282799068901</c:v>
                </c:pt>
                <c:pt idx="43">
                  <c:v>28.573801220095358</c:v>
                </c:pt>
                <c:pt idx="44">
                  <c:v>31.33583981644572</c:v>
                </c:pt>
                <c:pt idx="45">
                  <c:v>34.259941369763759</c:v>
                </c:pt>
                <c:pt idx="46">
                  <c:v>37.375625690365268</c:v>
                </c:pt>
                <c:pt idx="47">
                  <c:v>41.072061558136269</c:v>
                </c:pt>
                <c:pt idx="48">
                  <c:v>45.142712050786841</c:v>
                </c:pt>
                <c:pt idx="49">
                  <c:v>48.896186457416405</c:v>
                </c:pt>
                <c:pt idx="50">
                  <c:v>53.944095604733889</c:v>
                </c:pt>
                <c:pt idx="51">
                  <c:v>58.819026803594468</c:v>
                </c:pt>
                <c:pt idx="52">
                  <c:v>64.423134933892513</c:v>
                </c:pt>
                <c:pt idx="53">
                  <c:v>70.498295863562348</c:v>
                </c:pt>
                <c:pt idx="54">
                  <c:v>76.955247162204699</c:v>
                </c:pt>
                <c:pt idx="55">
                  <c:v>83.731619211784505</c:v>
                </c:pt>
                <c:pt idx="56">
                  <c:v>92.347204327271186</c:v>
                </c:pt>
                <c:pt idx="57">
                  <c:v>101.32481566047447</c:v>
                </c:pt>
                <c:pt idx="58">
                  <c:v>110.76622163204227</c:v>
                </c:pt>
                <c:pt idx="59">
                  <c:v>121.09365357941404</c:v>
                </c:pt>
                <c:pt idx="60">
                  <c:v>132.33399814829201</c:v>
                </c:pt>
                <c:pt idx="61">
                  <c:v>145.22921576014602</c:v>
                </c:pt>
                <c:pt idx="62">
                  <c:v>158.29233924107842</c:v>
                </c:pt>
                <c:pt idx="63">
                  <c:v>173.04004674182028</c:v>
                </c:pt>
                <c:pt idx="64">
                  <c:v>189.63957813196924</c:v>
                </c:pt>
                <c:pt idx="65">
                  <c:v>206.90420867018588</c:v>
                </c:pt>
                <c:pt idx="66">
                  <c:v>227.10535425204134</c:v>
                </c:pt>
                <c:pt idx="67">
                  <c:v>247.87731072215072</c:v>
                </c:pt>
                <c:pt idx="68">
                  <c:v>272.15965178843447</c:v>
                </c:pt>
                <c:pt idx="69">
                  <c:v>297.13418831499138</c:v>
                </c:pt>
                <c:pt idx="70">
                  <c:v>325.11563849696176</c:v>
                </c:pt>
                <c:pt idx="71">
                  <c:v>355.03842783187469</c:v>
                </c:pt>
                <c:pt idx="72">
                  <c:v>389.49995429445613</c:v>
                </c:pt>
                <c:pt idx="73">
                  <c:v>423.30453393594667</c:v>
                </c:pt>
                <c:pt idx="74">
                  <c:v>463.81501301529994</c:v>
                </c:pt>
                <c:pt idx="75">
                  <c:v>508.31117832021999</c:v>
                </c:pt>
                <c:pt idx="76">
                  <c:v>556.68632193391022</c:v>
                </c:pt>
                <c:pt idx="77">
                  <c:v>608.91479054303977</c:v>
                </c:pt>
                <c:pt idx="78">
                  <c:v>666.16612856901122</c:v>
                </c:pt>
                <c:pt idx="79">
                  <c:v>731.20364185718665</c:v>
                </c:pt>
                <c:pt idx="80">
                  <c:v>799.5368165756297</c:v>
                </c:pt>
                <c:pt idx="81">
                  <c:v>872.3307571492046</c:v>
                </c:pt>
                <c:pt idx="82">
                  <c:v>957.05753375169979</c:v>
                </c:pt>
                <c:pt idx="83">
                  <c:v>1046.0712750115117</c:v>
                </c:pt>
                <c:pt idx="84">
                  <c:v>1143.4593430749273</c:v>
                </c:pt>
                <c:pt idx="85">
                  <c:v>1252.3044768715699</c:v>
                </c:pt>
                <c:pt idx="86">
                  <c:v>1369.3565002690386</c:v>
                </c:pt>
                <c:pt idx="87">
                  <c:v>1498.4749542579264</c:v>
                </c:pt>
                <c:pt idx="88">
                  <c:v>1640.5011688488878</c:v>
                </c:pt>
                <c:pt idx="89">
                  <c:v>1793.0483992362776</c:v>
                </c:pt>
                <c:pt idx="90">
                  <c:v>1958.5302275381487</c:v>
                </c:pt>
                <c:pt idx="91">
                  <c:v>2144.8131436207477</c:v>
                </c:pt>
                <c:pt idx="92">
                  <c:v>2346.6595302346791</c:v>
                </c:pt>
                <c:pt idx="93">
                  <c:v>2569.0050848647547</c:v>
                </c:pt>
                <c:pt idx="94">
                  <c:v>2807.2793737413549</c:v>
                </c:pt>
                <c:pt idx="95">
                  <c:v>3073.7744779466175</c:v>
                </c:pt>
                <c:pt idx="96">
                  <c:v>3361.1803871803918</c:v>
                </c:pt>
                <c:pt idx="97">
                  <c:v>3676.6593091914092</c:v>
                </c:pt>
                <c:pt idx="98">
                  <c:v>4023.9487343987612</c:v>
                </c:pt>
                <c:pt idx="99">
                  <c:v>4403.7239369425843</c:v>
                </c:pt>
                <c:pt idx="100">
                  <c:v>4807.5181394246911</c:v>
                </c:pt>
                <c:pt idx="101">
                  <c:v>5252.281867294887</c:v>
                </c:pt>
                <c:pt idx="102">
                  <c:v>5777.6783002931879</c:v>
                </c:pt>
                <c:pt idx="103">
                  <c:v>6302.7550535407545</c:v>
                </c:pt>
                <c:pt idx="104">
                  <c:v>6909.4413111547856</c:v>
                </c:pt>
                <c:pt idx="105">
                  <c:v>7555.4706740917427</c:v>
                </c:pt>
                <c:pt idx="106">
                  <c:v>8242.6629489326624</c:v>
                </c:pt>
                <c:pt idx="107">
                  <c:v>9011.0925577635753</c:v>
                </c:pt>
                <c:pt idx="108">
                  <c:v>9859.8272986446809</c:v>
                </c:pt>
                <c:pt idx="109">
                  <c:v>10790.520034287189</c:v>
                </c:pt>
                <c:pt idx="110">
                  <c:v>11840.073647916743</c:v>
                </c:pt>
                <c:pt idx="111">
                  <c:v>12930.185544588376</c:v>
                </c:pt>
                <c:pt idx="112">
                  <c:v>14140.875117908416</c:v>
                </c:pt>
                <c:pt idx="113">
                  <c:v>15474.389598124619</c:v>
                </c:pt>
                <c:pt idx="114">
                  <c:v>16928.768282765814</c:v>
                </c:pt>
                <c:pt idx="115">
                  <c:v>18502.345679797305</c:v>
                </c:pt>
                <c:pt idx="116">
                  <c:v>20239.393882698721</c:v>
                </c:pt>
                <c:pt idx="117">
                  <c:v>22137.492797357092</c:v>
                </c:pt>
                <c:pt idx="118">
                  <c:v>24031.330894004426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86560"/>
        <c:axId val="151972096"/>
      </c:scatterChart>
      <c:valAx>
        <c:axId val="15195980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Wetting Phase Saturation (1- Hg), fraction pore space</a:t>
                </a:r>
              </a:p>
            </c:rich>
          </c:tx>
          <c:layout>
            <c:manualLayout>
              <c:xMode val="edge"/>
              <c:yMode val="edge"/>
              <c:x val="0.14857000438896698"/>
              <c:y val="0.917649019898742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50"/>
            </a:pPr>
            <a:endParaRPr lang="en-US"/>
          </a:p>
        </c:txPr>
        <c:crossAx val="151970176"/>
        <c:crossesAt val="0"/>
        <c:crossBetween val="midCat"/>
        <c:majorUnit val="0.2"/>
        <c:minorUnit val="0.1"/>
      </c:valAx>
      <c:valAx>
        <c:axId val="151970176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Equivalent Gas-Water Capillary Pressure, psia</a:t>
                </a:r>
              </a:p>
            </c:rich>
          </c:tx>
          <c:layout>
            <c:manualLayout>
              <c:xMode val="edge"/>
              <c:yMode val="edge"/>
              <c:x val="3.1998164015806128E-3"/>
              <c:y val="0.14119338136716139"/>
            </c:manualLayout>
          </c:layout>
          <c:overlay val="0"/>
          <c:spPr>
            <a:noFill/>
            <a:ln w="25400">
              <a:noFill/>
            </a:ln>
          </c:spPr>
        </c:title>
        <c:numFmt formatCode="????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50"/>
            </a:pPr>
            <a:endParaRPr lang="en-US"/>
          </a:p>
        </c:txPr>
        <c:crossAx val="151959808"/>
        <c:crossesAt val="0"/>
        <c:crossBetween val="midCat"/>
        <c:majorUnit val="40"/>
        <c:minorUnit val="20"/>
      </c:valAx>
      <c:valAx>
        <c:axId val="151972096"/>
        <c:scaling>
          <c:orientation val="minMax"/>
          <c:max val="429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Estimated Height Above Free Water, ft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51986560"/>
        <c:crosses val="max"/>
        <c:crossBetween val="midCat"/>
        <c:majorUnit val="85.8"/>
        <c:minorUnit val="42.9"/>
      </c:valAx>
      <c:valAx>
        <c:axId val="151986560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151972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 sz="575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1199" r="0.75000000000001199" t="1" header="0.5" footer="0.5"/>
    <c:pageSetup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9031174022717789"/>
          <c:y val="7.0234113712374549E-2"/>
          <c:w val="0.73356525323931165"/>
          <c:h val="0.7915273132664436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0.99876687311506884</c:v>
                </c:pt>
                <c:pt idx="24">
                  <c:v>0.99618805225211493</c:v>
                </c:pt>
                <c:pt idx="25">
                  <c:v>0.98411698555002758</c:v>
                </c:pt>
                <c:pt idx="26">
                  <c:v>0.94054112224728148</c:v>
                </c:pt>
                <c:pt idx="27">
                  <c:v>0.81642851592345611</c:v>
                </c:pt>
                <c:pt idx="28">
                  <c:v>0.70614352978876227</c:v>
                </c:pt>
                <c:pt idx="29">
                  <c:v>0.63950918648742183</c:v>
                </c:pt>
                <c:pt idx="30">
                  <c:v>0.59679293278040924</c:v>
                </c:pt>
                <c:pt idx="31">
                  <c:v>0.56412977139208387</c:v>
                </c:pt>
                <c:pt idx="32">
                  <c:v>0.54144497350701715</c:v>
                </c:pt>
                <c:pt idx="33">
                  <c:v>0.52380516942745092</c:v>
                </c:pt>
                <c:pt idx="34">
                  <c:v>0.50691342105568049</c:v>
                </c:pt>
                <c:pt idx="35">
                  <c:v>0.4909148273784163</c:v>
                </c:pt>
                <c:pt idx="36">
                  <c:v>0.47552223306037544</c:v>
                </c:pt>
                <c:pt idx="37">
                  <c:v>0.46062403427988707</c:v>
                </c:pt>
                <c:pt idx="38">
                  <c:v>0.44635148699026683</c:v>
                </c:pt>
                <c:pt idx="39">
                  <c:v>0.43271265405287163</c:v>
                </c:pt>
                <c:pt idx="40">
                  <c:v>0.42041026749768073</c:v>
                </c:pt>
                <c:pt idx="41">
                  <c:v>0.4089979830392596</c:v>
                </c:pt>
                <c:pt idx="42">
                  <c:v>0.39773125114295604</c:v>
                </c:pt>
                <c:pt idx="43">
                  <c:v>0.38721956682324088</c:v>
                </c:pt>
                <c:pt idx="44">
                  <c:v>0.37834339629298053</c:v>
                </c:pt>
                <c:pt idx="45">
                  <c:v>0.37038217829692466</c:v>
                </c:pt>
                <c:pt idx="46">
                  <c:v>0.36183631572383257</c:v>
                </c:pt>
                <c:pt idx="47">
                  <c:v>0.35383082337699989</c:v>
                </c:pt>
                <c:pt idx="48">
                  <c:v>0.34627238532810012</c:v>
                </c:pt>
                <c:pt idx="49">
                  <c:v>0.33947112489328346</c:v>
                </c:pt>
                <c:pt idx="50">
                  <c:v>0.33225942651936602</c:v>
                </c:pt>
                <c:pt idx="51">
                  <c:v>0.32526428195738</c:v>
                </c:pt>
                <c:pt idx="52">
                  <c:v>0.31809599577620573</c:v>
                </c:pt>
                <c:pt idx="53">
                  <c:v>0.31104126087955464</c:v>
                </c:pt>
                <c:pt idx="54">
                  <c:v>0.30420444910465272</c:v>
                </c:pt>
                <c:pt idx="55">
                  <c:v>0.29700816814498066</c:v>
                </c:pt>
                <c:pt idx="56">
                  <c:v>0.28967135542585609</c:v>
                </c:pt>
                <c:pt idx="57">
                  <c:v>0.28230431646038234</c:v>
                </c:pt>
                <c:pt idx="58">
                  <c:v>0.27505955179012331</c:v>
                </c:pt>
                <c:pt idx="59">
                  <c:v>0.26755395895715628</c:v>
                </c:pt>
                <c:pt idx="60">
                  <c:v>0.25981847422032878</c:v>
                </c:pt>
                <c:pt idx="61">
                  <c:v>0.25214942636725535</c:v>
                </c:pt>
                <c:pt idx="62">
                  <c:v>0.24425849960851465</c:v>
                </c:pt>
                <c:pt idx="63">
                  <c:v>0.23623637268315434</c:v>
                </c:pt>
                <c:pt idx="64">
                  <c:v>0.22835776971277411</c:v>
                </c:pt>
                <c:pt idx="65">
                  <c:v>0.22039320451494115</c:v>
                </c:pt>
                <c:pt idx="66">
                  <c:v>0.21207632097249762</c:v>
                </c:pt>
                <c:pt idx="67">
                  <c:v>0.20405302759803312</c:v>
                </c:pt>
                <c:pt idx="68">
                  <c:v>0.19586059910347708</c:v>
                </c:pt>
                <c:pt idx="69">
                  <c:v>0.18770899632756399</c:v>
                </c:pt>
                <c:pt idx="70">
                  <c:v>0.17960329078813719</c:v>
                </c:pt>
                <c:pt idx="71">
                  <c:v>0.17150742399332763</c:v>
                </c:pt>
                <c:pt idx="72">
                  <c:v>0.16325860022034833</c:v>
                </c:pt>
                <c:pt idx="73">
                  <c:v>0.15579616600423229</c:v>
                </c:pt>
                <c:pt idx="74">
                  <c:v>0.14762970368103667</c:v>
                </c:pt>
                <c:pt idx="75">
                  <c:v>0.13970885496701746</c:v>
                </c:pt>
                <c:pt idx="76">
                  <c:v>0.13161466177309622</c:v>
                </c:pt>
                <c:pt idx="77">
                  <c:v>0.12392761003167729</c:v>
                </c:pt>
                <c:pt idx="78">
                  <c:v>0.11652157109398453</c:v>
                </c:pt>
                <c:pt idx="79">
                  <c:v>0.10874946999832469</c:v>
                </c:pt>
                <c:pt idx="80">
                  <c:v>0.10122698901093774</c:v>
                </c:pt>
                <c:pt idx="81">
                  <c:v>9.4229308690029767E-2</c:v>
                </c:pt>
                <c:pt idx="82">
                  <c:v>8.7222803928073467E-2</c:v>
                </c:pt>
                <c:pt idx="83">
                  <c:v>8.0737752630819171E-2</c:v>
                </c:pt>
                <c:pt idx="84">
                  <c:v>7.4470472309778657E-2</c:v>
                </c:pt>
                <c:pt idx="85">
                  <c:v>6.7933995821587878E-2</c:v>
                </c:pt>
                <c:pt idx="86">
                  <c:v>6.2478868368057383E-2</c:v>
                </c:pt>
                <c:pt idx="87">
                  <c:v>5.7135010016020282E-2</c:v>
                </c:pt>
                <c:pt idx="88">
                  <c:v>5.207972102929681E-2</c:v>
                </c:pt>
                <c:pt idx="89">
                  <c:v>4.703203931933897E-2</c:v>
                </c:pt>
                <c:pt idx="90">
                  <c:v>4.2487452179488572E-2</c:v>
                </c:pt>
                <c:pt idx="91">
                  <c:v>3.8313491563664703E-2</c:v>
                </c:pt>
                <c:pt idx="92">
                  <c:v>3.3943973219783041E-2</c:v>
                </c:pt>
                <c:pt idx="93">
                  <c:v>3.0001983830135637E-2</c:v>
                </c:pt>
                <c:pt idx="94">
                  <c:v>2.5938278012236582E-2</c:v>
                </c:pt>
                <c:pt idx="95">
                  <c:v>2.2433047739299328E-2</c:v>
                </c:pt>
                <c:pt idx="96">
                  <c:v>1.9956321285089507E-2</c:v>
                </c:pt>
                <c:pt idx="97">
                  <c:v>1.73922632936091E-2</c:v>
                </c:pt>
                <c:pt idx="98">
                  <c:v>1.5197208940445295E-2</c:v>
                </c:pt>
                <c:pt idx="99">
                  <c:v>1.3171644713622199E-2</c:v>
                </c:pt>
                <c:pt idx="100">
                  <c:v>1.123442632763838E-2</c:v>
                </c:pt>
                <c:pt idx="101">
                  <c:v>1.0040591027202339E-2</c:v>
                </c:pt>
                <c:pt idx="102">
                  <c:v>9.1826930687410879E-3</c:v>
                </c:pt>
                <c:pt idx="103">
                  <c:v>8.6259418398461074E-3</c:v>
                </c:pt>
                <c:pt idx="104">
                  <c:v>6.8669365908943236E-3</c:v>
                </c:pt>
                <c:pt idx="105">
                  <c:v>5.7709815848439039E-3</c:v>
                </c:pt>
                <c:pt idx="106">
                  <c:v>5.1345060954440802E-3</c:v>
                </c:pt>
                <c:pt idx="107">
                  <c:v>4.5641631987276554E-3</c:v>
                </c:pt>
                <c:pt idx="108">
                  <c:v>3.647334202921293E-3</c:v>
                </c:pt>
                <c:pt idx="109">
                  <c:v>2.4031894454743519E-3</c:v>
                </c:pt>
                <c:pt idx="110">
                  <c:v>2.2413065958994949E-3</c:v>
                </c:pt>
                <c:pt idx="111">
                  <c:v>1.395580280263431E-3</c:v>
                </c:pt>
                <c:pt idx="112">
                  <c:v>3.4983330086690856E-4</c:v>
                </c:pt>
                <c:pt idx="113">
                  <c:v>3.4983330086690856E-4</c:v>
                </c:pt>
                <c:pt idx="114">
                  <c:v>3.4983330086690856E-4</c:v>
                </c:pt>
                <c:pt idx="115">
                  <c:v>3.4983330086690856E-4</c:v>
                </c:pt>
                <c:pt idx="116">
                  <c:v>2.6899330643648245E-4</c:v>
                </c:pt>
                <c:pt idx="117">
                  <c:v>2.6899330643648245E-4</c:v>
                </c:pt>
                <c:pt idx="118">
                  <c:v>0</c:v>
                </c:pt>
              </c:numCache>
            </c:numRef>
          </c:xVal>
          <c:yVal>
            <c:numRef>
              <c:f>Table!$K$18:$K$136</c:f>
              <c:numCache>
                <c:formatCode>??0.000</c:formatCode>
                <c:ptCount val="119"/>
                <c:pt idx="0">
                  <c:v>1.8881278345647279E-2</c:v>
                </c:pt>
                <c:pt idx="1">
                  <c:v>1.9852362451387464E-2</c:v>
                </c:pt>
                <c:pt idx="2">
                  <c:v>2.2502401865399195E-2</c:v>
                </c:pt>
                <c:pt idx="3">
                  <c:v>2.5033798405141899E-2</c:v>
                </c:pt>
                <c:pt idx="4">
                  <c:v>2.6991916747164297E-2</c:v>
                </c:pt>
                <c:pt idx="5">
                  <c:v>2.9460498848640528E-2</c:v>
                </c:pt>
                <c:pt idx="6">
                  <c:v>3.2095583153328201E-2</c:v>
                </c:pt>
                <c:pt idx="7">
                  <c:v>3.5093576124875993E-2</c:v>
                </c:pt>
                <c:pt idx="8">
                  <c:v>3.8645903162631806E-2</c:v>
                </c:pt>
                <c:pt idx="9">
                  <c:v>4.2241105485923837E-2</c:v>
                </c:pt>
                <c:pt idx="10">
                  <c:v>4.6383658852265419E-2</c:v>
                </c:pt>
                <c:pt idx="11">
                  <c:v>5.057307354722599E-2</c:v>
                </c:pt>
                <c:pt idx="12">
                  <c:v>5.5285917068528499E-2</c:v>
                </c:pt>
                <c:pt idx="13">
                  <c:v>6.0128369551235863E-2</c:v>
                </c:pt>
                <c:pt idx="14">
                  <c:v>6.5883083702710607E-2</c:v>
                </c:pt>
                <c:pt idx="15">
                  <c:v>7.2145270591774377E-2</c:v>
                </c:pt>
                <c:pt idx="16">
                  <c:v>7.8847137694965375E-2</c:v>
                </c:pt>
                <c:pt idx="17">
                  <c:v>8.6222985697167714E-2</c:v>
                </c:pt>
                <c:pt idx="18">
                  <c:v>9.4327636096744244E-2</c:v>
                </c:pt>
                <c:pt idx="19">
                  <c:v>0.10317506089822275</c:v>
                </c:pt>
                <c:pt idx="20">
                  <c:v>0.11294172443341624</c:v>
                </c:pt>
                <c:pt idx="21">
                  <c:v>0.123561818263088</c:v>
                </c:pt>
                <c:pt idx="22">
                  <c:v>0.13486585512037261</c:v>
                </c:pt>
                <c:pt idx="23">
                  <c:v>0.14855672742577647</c:v>
                </c:pt>
                <c:pt idx="24">
                  <c:v>0.16105020192224881</c:v>
                </c:pt>
                <c:pt idx="25">
                  <c:v>0.17725950272140181</c:v>
                </c:pt>
                <c:pt idx="26">
                  <c:v>0.19347877756557813</c:v>
                </c:pt>
                <c:pt idx="27">
                  <c:v>0.21087252302319628</c:v>
                </c:pt>
                <c:pt idx="28">
                  <c:v>0.23084253928584569</c:v>
                </c:pt>
                <c:pt idx="29">
                  <c:v>0.25323926334386399</c:v>
                </c:pt>
                <c:pt idx="30">
                  <c:v>0.27691013888344823</c:v>
                </c:pt>
                <c:pt idx="31">
                  <c:v>0.30373455244797221</c:v>
                </c:pt>
                <c:pt idx="32">
                  <c:v>0.33249514622203608</c:v>
                </c:pt>
                <c:pt idx="33">
                  <c:v>0.36245615265973979</c:v>
                </c:pt>
                <c:pt idx="34">
                  <c:v>0.37357810659234592</c:v>
                </c:pt>
                <c:pt idx="35">
                  <c:v>0.44056384063447762</c:v>
                </c:pt>
                <c:pt idx="36">
                  <c:v>0.4691087233416219</c:v>
                </c:pt>
                <c:pt idx="37">
                  <c:v>0.5107191998709415</c:v>
                </c:pt>
                <c:pt idx="38">
                  <c:v>0.56693801785074671</c:v>
                </c:pt>
                <c:pt idx="39">
                  <c:v>0.60352362531287074</c:v>
                </c:pt>
                <c:pt idx="40">
                  <c:v>0.67981022187954421</c:v>
                </c:pt>
                <c:pt idx="41">
                  <c:v>0.73608728732897177</c:v>
                </c:pt>
                <c:pt idx="42">
                  <c:v>0.80762585713906043</c:v>
                </c:pt>
                <c:pt idx="43">
                  <c:v>0.88345357613613162</c:v>
                </c:pt>
                <c:pt idx="44">
                  <c:v>0.96885113512998566</c:v>
                </c:pt>
                <c:pt idx="45">
                  <c:v>1.05925940648197</c:v>
                </c:pt>
                <c:pt idx="46">
                  <c:v>1.1555910927684574</c:v>
                </c:pt>
                <c:pt idx="47">
                  <c:v>1.2698786340439772</c:v>
                </c:pt>
                <c:pt idx="48">
                  <c:v>1.3957362582092672</c:v>
                </c:pt>
                <c:pt idx="49">
                  <c:v>1.5117873345756918</c:v>
                </c:pt>
                <c:pt idx="50">
                  <c:v>1.6678601424550854</c:v>
                </c:pt>
                <c:pt idx="51">
                  <c:v>1.8185847649117612</c:v>
                </c:pt>
                <c:pt idx="52">
                  <c:v>1.991854304047614</c:v>
                </c:pt>
                <c:pt idx="53">
                  <c:v>2.1796879985420214</c:v>
                </c:pt>
                <c:pt idx="54">
                  <c:v>2.3793260051125515</c:v>
                </c:pt>
                <c:pt idx="55">
                  <c:v>2.5888399607223476</c:v>
                </c:pt>
                <c:pt idx="56">
                  <c:v>2.8552192716916198</c:v>
                </c:pt>
                <c:pt idx="57">
                  <c:v>3.1327918206285381</c:v>
                </c:pt>
                <c:pt idx="58">
                  <c:v>3.4247041148691988</c:v>
                </c:pt>
                <c:pt idx="59">
                  <c:v>3.7440108327934323</c:v>
                </c:pt>
                <c:pt idx="60">
                  <c:v>4.0915432639840645</c:v>
                </c:pt>
                <c:pt idx="61">
                  <c:v>4.490241568997611</c:v>
                </c:pt>
                <c:pt idx="62">
                  <c:v>4.8941312393233538</c:v>
                </c:pt>
                <c:pt idx="63">
                  <c:v>5.3501053965935839</c:v>
                </c:pt>
                <c:pt idx="64">
                  <c:v>5.8633348145436726</c:v>
                </c:pt>
                <c:pt idx="65">
                  <c:v>6.397127972554788</c:v>
                </c:pt>
                <c:pt idx="66">
                  <c:v>7.0217132060303253</c:v>
                </c:pt>
                <c:pt idx="67">
                  <c:v>7.663946946144546</c:v>
                </c:pt>
                <c:pt idx="68">
                  <c:v>8.4147158370850583</c:v>
                </c:pt>
                <c:pt idx="69">
                  <c:v>9.1868862402028668</c:v>
                </c:pt>
                <c:pt idx="70">
                  <c:v>10.05202532472031</c:v>
                </c:pt>
                <c:pt idx="71">
                  <c:v>10.977187330372731</c:v>
                </c:pt>
                <c:pt idx="72">
                  <c:v>12.042679406767032</c:v>
                </c:pt>
                <c:pt idx="73">
                  <c:v>13.087859799253637</c:v>
                </c:pt>
                <c:pt idx="74">
                  <c:v>14.340375253461843</c:v>
                </c:pt>
                <c:pt idx="75">
                  <c:v>15.716121380488509</c:v>
                </c:pt>
                <c:pt idx="76">
                  <c:v>17.21179895213611</c:v>
                </c:pt>
                <c:pt idx="77">
                  <c:v>18.826614811371492</c:v>
                </c:pt>
                <c:pt idx="78">
                  <c:v>20.596729292396574</c:v>
                </c:pt>
                <c:pt idx="79">
                  <c:v>22.607579135399998</c:v>
                </c:pt>
                <c:pt idx="80">
                  <c:v>24.72032525233201</c:v>
                </c:pt>
                <c:pt idx="81">
                  <c:v>26.970990700215712</c:v>
                </c:pt>
                <c:pt idx="82">
                  <c:v>29.590599243279264</c:v>
                </c:pt>
                <c:pt idx="83">
                  <c:v>32.342753478394876</c:v>
                </c:pt>
                <c:pt idx="84">
                  <c:v>35.353827725775893</c:v>
                </c:pt>
                <c:pt idx="85">
                  <c:v>38.719135055975727</c:v>
                </c:pt>
                <c:pt idx="86">
                  <c:v>42.338185523497614</c:v>
                </c:pt>
                <c:pt idx="87">
                  <c:v>46.330309603979714</c:v>
                </c:pt>
                <c:pt idx="88">
                  <c:v>50.721519797505522</c:v>
                </c:pt>
                <c:pt idx="89">
                  <c:v>55.438021993951892</c:v>
                </c:pt>
                <c:pt idx="90">
                  <c:v>60.554440067722801</c:v>
                </c:pt>
                <c:pt idx="91">
                  <c:v>66.313992572431161</c:v>
                </c:pt>
                <c:pt idx="92">
                  <c:v>72.554741246738587</c:v>
                </c:pt>
                <c:pt idx="93">
                  <c:v>79.429289503824009</c:v>
                </c:pt>
                <c:pt idx="94">
                  <c:v>86.796327266419027</c:v>
                </c:pt>
                <c:pt idx="95">
                  <c:v>95.035904878771603</c:v>
                </c:pt>
                <c:pt idx="96">
                  <c:v>103.92200919368037</c:v>
                </c:pt>
                <c:pt idx="97">
                  <c:v>113.67608355359413</c:v>
                </c:pt>
                <c:pt idx="98">
                  <c:v>124.41368483703562</c:v>
                </c:pt>
                <c:pt idx="99">
                  <c:v>136.15569137760056</c:v>
                </c:pt>
                <c:pt idx="100">
                  <c:v>148.64032474710035</c:v>
                </c:pt>
                <c:pt idx="101">
                  <c:v>162.39166650579583</c:v>
                </c:pt>
                <c:pt idx="102">
                  <c:v>178.6360350462713</c:v>
                </c:pt>
                <c:pt idx="103">
                  <c:v>194.87051962987209</c:v>
                </c:pt>
                <c:pt idx="104">
                  <c:v>213.62823197459224</c:v>
                </c:pt>
                <c:pt idx="105">
                  <c:v>233.60236655260607</c:v>
                </c:pt>
                <c:pt idx="106">
                  <c:v>254.84918870360409</c:v>
                </c:pt>
                <c:pt idx="107">
                  <c:v>278.60773173753273</c:v>
                </c:pt>
                <c:pt idx="108">
                  <c:v>304.84917354804878</c:v>
                </c:pt>
                <c:pt idx="109">
                  <c:v>333.62461785291924</c:v>
                </c:pt>
                <c:pt idx="110">
                  <c:v>366.07503934796085</c:v>
                </c:pt>
                <c:pt idx="111">
                  <c:v>399.77945431483596</c:v>
                </c:pt>
                <c:pt idx="112">
                  <c:v>437.21192698102419</c:v>
                </c:pt>
                <c:pt idx="113">
                  <c:v>478.44193790262983</c:v>
                </c:pt>
                <c:pt idx="114">
                  <c:v>523.40886547748823</c:v>
                </c:pt>
                <c:pt idx="115">
                  <c:v>572.06121551052365</c:v>
                </c:pt>
                <c:pt idx="116">
                  <c:v>625.76780620713851</c:v>
                </c:pt>
                <c:pt idx="117">
                  <c:v>684.45381235306684</c:v>
                </c:pt>
                <c:pt idx="118">
                  <c:v>743.00808121699617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97440"/>
        <c:axId val="152008192"/>
      </c:scatterChart>
      <c:valAx>
        <c:axId val="15199744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Wetting Phase Saturation (1- Hg), fraction pore space</a:t>
                </a:r>
              </a:p>
            </c:rich>
          </c:tx>
          <c:layout>
            <c:manualLayout>
              <c:xMode val="edge"/>
              <c:yMode val="edge"/>
              <c:x val="0.2027230117574878"/>
              <c:y val="0.916579315164220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52008192"/>
        <c:crossesAt val="0"/>
        <c:crossBetween val="midCat"/>
        <c:majorUnit val="0.2"/>
        <c:minorUnit val="0.1"/>
      </c:valAx>
      <c:valAx>
        <c:axId val="152008192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Leverett J Function.</a:t>
                </a:r>
              </a:p>
            </c:rich>
          </c:tx>
          <c:layout>
            <c:manualLayout>
              <c:xMode val="edge"/>
              <c:yMode val="edge"/>
              <c:x val="5.5363321799309036E-2"/>
              <c:y val="0.3311036789297744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51997440"/>
        <c:crosses val="autoZero"/>
        <c:crossBetween val="midCat"/>
        <c:majorUnit val="0.4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 sz="600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619718309859155"/>
          <c:y val="5.369136314257017E-2"/>
          <c:w val="0.79577464788732399"/>
          <c:h val="0.81320051436523455"/>
        </c:manualLayout>
      </c:layout>
      <c:scatterChart>
        <c:scatterStyle val="lineMarker"/>
        <c:varyColors val="0"/>
        <c:ser>
          <c:idx val="2"/>
          <c:order val="0"/>
          <c:tx>
            <c:v>Uncorrected</c:v>
          </c:tx>
          <c:spPr>
            <a:ln w="12700">
              <a:solidFill>
                <a:srgbClr val="99CCFF"/>
              </a:solidFill>
            </a:ln>
          </c:spPr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'Raw Data'!$D$18:$D$136</c:f>
              <c:numCache>
                <c:formatCode>0.000</c:formatCode>
                <c:ptCount val="119"/>
                <c:pt idx="0">
                  <c:v>0</c:v>
                </c:pt>
                <c:pt idx="1">
                  <c:v>2.9978130919750651E-4</c:v>
                </c:pt>
                <c:pt idx="2">
                  <c:v>9.8832965618128902E-4</c:v>
                </c:pt>
                <c:pt idx="3">
                  <c:v>5.386401080592281E-3</c:v>
                </c:pt>
                <c:pt idx="4">
                  <c:v>7.91676553921823E-3</c:v>
                </c:pt>
                <c:pt idx="5">
                  <c:v>9.8205859860516567E-3</c:v>
                </c:pt>
                <c:pt idx="6">
                  <c:v>1.1658698405147242E-2</c:v>
                </c:pt>
                <c:pt idx="7">
                  <c:v>1.3161616442286382E-2</c:v>
                </c:pt>
                <c:pt idx="8">
                  <c:v>1.3965814829604906E-2</c:v>
                </c:pt>
                <c:pt idx="9">
                  <c:v>1.4553623167022276E-2</c:v>
                </c:pt>
                <c:pt idx="10">
                  <c:v>1.4916044189772564E-2</c:v>
                </c:pt>
                <c:pt idx="11">
                  <c:v>1.502868807831224E-2</c:v>
                </c:pt>
                <c:pt idx="12">
                  <c:v>1.5469966199667014E-2</c:v>
                </c:pt>
                <c:pt idx="13">
                  <c:v>1.5763364126425605E-2</c:v>
                </c:pt>
                <c:pt idx="14">
                  <c:v>1.5946527285322549E-2</c:v>
                </c:pt>
                <c:pt idx="15">
                  <c:v>1.5983440177622394E-2</c:v>
                </c:pt>
                <c:pt idx="16">
                  <c:v>1.6203483568048207E-2</c:v>
                </c:pt>
                <c:pt idx="17">
                  <c:v>1.6496806841615995E-2</c:v>
                </c:pt>
                <c:pt idx="18">
                  <c:v>1.6533571982809053E-2</c:v>
                </c:pt>
                <c:pt idx="19">
                  <c:v>1.7120260522364459E-2</c:v>
                </c:pt>
                <c:pt idx="20">
                  <c:v>1.7890497928969264E-2</c:v>
                </c:pt>
                <c:pt idx="21">
                  <c:v>1.8183802539239357E-2</c:v>
                </c:pt>
                <c:pt idx="22">
                  <c:v>1.8660775772719088E-2</c:v>
                </c:pt>
                <c:pt idx="23">
                  <c:v>1.987089155335121E-2</c:v>
                </c:pt>
                <c:pt idx="24">
                  <c:v>2.2401589618423538E-2</c:v>
                </c:pt>
                <c:pt idx="25">
                  <c:v>3.4247400851445703E-2</c:v>
                </c:pt>
                <c:pt idx="26">
                  <c:v>7.7010104739996643E-2</c:v>
                </c:pt>
                <c:pt idx="27">
                  <c:v>0.19880667354664533</c:v>
                </c:pt>
                <c:pt idx="28">
                  <c:v>0.30703365628398216</c:v>
                </c:pt>
                <c:pt idx="29">
                  <c:v>0.37242455104621386</c:v>
                </c:pt>
                <c:pt idx="30">
                  <c:v>0.41434368632094937</c:v>
                </c:pt>
                <c:pt idx="31">
                  <c:v>0.44639732777857904</c:v>
                </c:pt>
                <c:pt idx="32">
                  <c:v>0.46865880973686314</c:v>
                </c:pt>
                <c:pt idx="33">
                  <c:v>0.48596944138782583</c:v>
                </c:pt>
                <c:pt idx="34">
                  <c:v>0.50254597663082146</c:v>
                </c:pt>
                <c:pt idx="35">
                  <c:v>0.51824602413879539</c:v>
                </c:pt>
                <c:pt idx="36">
                  <c:v>0.53335138070570676</c:v>
                </c:pt>
                <c:pt idx="37">
                  <c:v>0.54797156753933518</c:v>
                </c:pt>
                <c:pt idx="38">
                  <c:v>0.56197777802427828</c:v>
                </c:pt>
                <c:pt idx="39">
                  <c:v>0.57536209975842723</c:v>
                </c:pt>
                <c:pt idx="40">
                  <c:v>0.58743491423664229</c:v>
                </c:pt>
                <c:pt idx="41">
                  <c:v>0.59863423661373039</c:v>
                </c:pt>
                <c:pt idx="42">
                  <c:v>0.60969072255242562</c:v>
                </c:pt>
                <c:pt idx="43">
                  <c:v>0.62000625068805704</c:v>
                </c:pt>
                <c:pt idx="44">
                  <c:v>0.62871678499033168</c:v>
                </c:pt>
                <c:pt idx="45">
                  <c:v>0.63652944048248561</c:v>
                </c:pt>
                <c:pt idx="46">
                  <c:v>0.64491583063031666</c:v>
                </c:pt>
                <c:pt idx="47">
                  <c:v>0.65277193427951496</c:v>
                </c:pt>
                <c:pt idx="48">
                  <c:v>0.66018932601079205</c:v>
                </c:pt>
                <c:pt idx="49">
                  <c:v>0.66686366964966282</c:v>
                </c:pt>
                <c:pt idx="50">
                  <c:v>0.67394079213728408</c:v>
                </c:pt>
                <c:pt idx="51">
                  <c:v>0.68080540187510119</c:v>
                </c:pt>
                <c:pt idx="52">
                  <c:v>0.68783992227517388</c:v>
                </c:pt>
                <c:pt idx="53">
                  <c:v>0.69476301034578247</c:v>
                </c:pt>
                <c:pt idx="54">
                  <c:v>0.70147224190915269</c:v>
                </c:pt>
                <c:pt idx="55">
                  <c:v>0.7085342346834389</c:v>
                </c:pt>
                <c:pt idx="56">
                  <c:v>0.71573413678552544</c:v>
                </c:pt>
                <c:pt idx="57">
                  <c:v>0.72296370108875563</c:v>
                </c:pt>
                <c:pt idx="58">
                  <c:v>0.7300732728299768</c:v>
                </c:pt>
                <c:pt idx="59">
                  <c:v>0.73743880547804652</c:v>
                </c:pt>
                <c:pt idx="60">
                  <c:v>0.74502994006870682</c:v>
                </c:pt>
                <c:pt idx="61">
                  <c:v>0.75255587753940367</c:v>
                </c:pt>
                <c:pt idx="62">
                  <c:v>0.76029955348326062</c:v>
                </c:pt>
                <c:pt idx="63">
                  <c:v>0.76817198129684661</c:v>
                </c:pt>
                <c:pt idx="64">
                  <c:v>0.77590356342379418</c:v>
                </c:pt>
                <c:pt idx="65">
                  <c:v>0.78371950365634324</c:v>
                </c:pt>
                <c:pt idx="66">
                  <c:v>0.79188118769987337</c:v>
                </c:pt>
                <c:pt idx="67">
                  <c:v>0.79975476019571823</c:v>
                </c:pt>
                <c:pt idx="68">
                  <c:v>0.80779431161910331</c:v>
                </c:pt>
                <c:pt idx="69">
                  <c:v>0.81579379916342687</c:v>
                </c:pt>
                <c:pt idx="70">
                  <c:v>0.82374824594930263</c:v>
                </c:pt>
                <c:pt idx="71">
                  <c:v>0.83169303758916857</c:v>
                </c:pt>
                <c:pt idx="72">
                  <c:v>0.8397879319113315</c:v>
                </c:pt>
                <c:pt idx="73">
                  <c:v>0.84711111131582195</c:v>
                </c:pt>
                <c:pt idx="74">
                  <c:v>0.85512518111674807</c:v>
                </c:pt>
                <c:pt idx="75">
                  <c:v>0.86289822064898536</c:v>
                </c:pt>
                <c:pt idx="76">
                  <c:v>0.8708413699186538</c:v>
                </c:pt>
                <c:pt idx="77">
                  <c:v>0.87838497531117288</c:v>
                </c:pt>
                <c:pt idx="78">
                  <c:v>0.88565281181688527</c:v>
                </c:pt>
                <c:pt idx="79">
                  <c:v>0.89327987947671617</c:v>
                </c:pt>
                <c:pt idx="80">
                  <c:v>0.90066198513314288</c:v>
                </c:pt>
                <c:pt idx="81">
                  <c:v>0.9075290833106533</c:v>
                </c:pt>
                <c:pt idx="82">
                  <c:v>0.91440484125829613</c:v>
                </c:pt>
                <c:pt idx="83">
                  <c:v>0.92076887646741779</c:v>
                </c:pt>
                <c:pt idx="84">
                  <c:v>0.92691920447568255</c:v>
                </c:pt>
                <c:pt idx="85">
                  <c:v>0.93333370524178361</c:v>
                </c:pt>
                <c:pt idx="86">
                  <c:v>0.93868703578509216</c:v>
                </c:pt>
                <c:pt idx="87">
                  <c:v>0.94393117359466072</c:v>
                </c:pt>
                <c:pt idx="88">
                  <c:v>0.94889212696713665</c:v>
                </c:pt>
                <c:pt idx="89">
                  <c:v>0.953845615020533</c:v>
                </c:pt>
                <c:pt idx="90">
                  <c:v>0.958305396638787</c:v>
                </c:pt>
                <c:pt idx="91">
                  <c:v>0.96240146791147474</c:v>
                </c:pt>
                <c:pt idx="92">
                  <c:v>0.96668944765330644</c:v>
                </c:pt>
                <c:pt idx="93">
                  <c:v>0.9705578764628553</c:v>
                </c:pt>
                <c:pt idx="94">
                  <c:v>0.97454575037768021</c:v>
                </c:pt>
                <c:pt idx="95">
                  <c:v>0.97798557033446243</c:v>
                </c:pt>
                <c:pt idx="96">
                  <c:v>0.98041607915165985</c:v>
                </c:pt>
                <c:pt idx="97">
                  <c:v>0.98293228983189296</c:v>
                </c:pt>
                <c:pt idx="98">
                  <c:v>0.98508638276796345</c:v>
                </c:pt>
                <c:pt idx="99">
                  <c:v>0.98707414839493668</c:v>
                </c:pt>
                <c:pt idx="100">
                  <c:v>0.98897521678299682</c:v>
                </c:pt>
                <c:pt idx="101">
                  <c:v>0.99014677419058195</c:v>
                </c:pt>
                <c:pt idx="102">
                  <c:v>0.99098866310760447</c:v>
                </c:pt>
                <c:pt idx="103">
                  <c:v>0.99153502492665579</c:v>
                </c:pt>
                <c:pt idx="104">
                  <c:v>0.99326120577307386</c:v>
                </c:pt>
                <c:pt idx="105">
                  <c:v>0.99433670940849939</c:v>
                </c:pt>
                <c:pt idx="106">
                  <c:v>0.9949613077715066</c:v>
                </c:pt>
                <c:pt idx="107">
                  <c:v>0.99552100762731388</c:v>
                </c:pt>
                <c:pt idx="108">
                  <c:v>0.99642072788280767</c:v>
                </c:pt>
                <c:pt idx="109">
                  <c:v>0.99764165593390697</c:v>
                </c:pt>
                <c:pt idx="110">
                  <c:v>0.99780051792392443</c:v>
                </c:pt>
                <c:pt idx="111">
                  <c:v>0.9986304623304193</c:v>
                </c:pt>
                <c:pt idx="112">
                  <c:v>0.99965669485991837</c:v>
                </c:pt>
                <c:pt idx="113">
                  <c:v>0.99965669485991837</c:v>
                </c:pt>
                <c:pt idx="114">
                  <c:v>0.99965669485991837</c:v>
                </c:pt>
                <c:pt idx="115">
                  <c:v>0.99965669485991837</c:v>
                </c:pt>
                <c:pt idx="116">
                  <c:v>0.99973602631733938</c:v>
                </c:pt>
                <c:pt idx="117">
                  <c:v>0.99973602631733938</c:v>
                </c:pt>
                <c:pt idx="118">
                  <c:v>1</c:v>
                </c:pt>
              </c:numCache>
            </c:numRef>
          </c:xVal>
          <c:yVal>
            <c:numRef>
              <c:f>Table!$E$18:$E$136</c:f>
              <c:numCache>
                <c:formatCode>???0.000</c:formatCode>
                <c:ptCount val="119"/>
                <c:pt idx="0">
                  <c:v>72.286537145508575</c:v>
                </c:pt>
                <c:pt idx="1">
                  <c:v>68.750620075039478</c:v>
                </c:pt>
                <c:pt idx="2">
                  <c:v>60.654068692373613</c:v>
                </c:pt>
                <c:pt idx="3">
                  <c:v>54.520780522342882</c:v>
                </c:pt>
                <c:pt idx="4">
                  <c:v>50.56559122021995</c:v>
                </c:pt>
                <c:pt idx="5">
                  <c:v>46.328551172863165</c:v>
                </c:pt>
                <c:pt idx="6">
                  <c:v>42.524923817929988</c:v>
                </c:pt>
                <c:pt idx="7">
                  <c:v>38.892081662770181</c:v>
                </c:pt>
                <c:pt idx="8">
                  <c:v>35.317125925188783</c:v>
                </c:pt>
                <c:pt idx="9">
                  <c:v>32.311233638100141</c:v>
                </c:pt>
                <c:pt idx="10">
                  <c:v>29.42549730357587</c:v>
                </c:pt>
                <c:pt idx="11">
                  <c:v>26.987923271319225</c:v>
                </c:pt>
                <c:pt idx="12">
                  <c:v>24.687339938587478</c:v>
                </c:pt>
                <c:pt idx="13">
                  <c:v>22.699139169644518</c:v>
                </c:pt>
                <c:pt idx="14">
                  <c:v>20.716429040360243</c:v>
                </c:pt>
                <c:pt idx="15">
                  <c:v>18.918249488732712</c:v>
                </c:pt>
                <c:pt idx="16">
                  <c:v>17.310231777436726</c:v>
                </c:pt>
                <c:pt idx="17">
                  <c:v>15.829447535962005</c:v>
                </c:pt>
                <c:pt idx="18">
                  <c:v>14.469378063153094</c:v>
                </c:pt>
                <c:pt idx="19">
                  <c:v>13.228605988744606</c:v>
                </c:pt>
                <c:pt idx="20">
                  <c:v>12.084659016269589</c:v>
                </c:pt>
                <c:pt idx="21">
                  <c:v>11.045986921147863</c:v>
                </c:pt>
                <c:pt idx="22">
                  <c:v>10.120146624726701</c:v>
                </c:pt>
                <c:pt idx="23">
                  <c:v>9.1874817932378487</c:v>
                </c:pt>
                <c:pt idx="24">
                  <c:v>8.4747626031927741</c:v>
                </c:pt>
                <c:pt idx="25">
                  <c:v>7.6997972324929096</c:v>
                </c:pt>
                <c:pt idx="26">
                  <c:v>7.0543252632692992</c:v>
                </c:pt>
                <c:pt idx="27">
                  <c:v>6.4724517396568633</c:v>
                </c:pt>
                <c:pt idx="28">
                  <c:v>5.9125247569610604</c:v>
                </c:pt>
                <c:pt idx="29">
                  <c:v>5.3896153798000288</c:v>
                </c:pt>
                <c:pt idx="30">
                  <c:v>4.9288994400518895</c:v>
                </c:pt>
                <c:pt idx="31">
                  <c:v>4.4936021189789104</c:v>
                </c:pt>
                <c:pt idx="32">
                  <c:v>4.1049087302341585</c:v>
                </c:pt>
                <c:pt idx="33">
                  <c:v>3.7655926612690176</c:v>
                </c:pt>
                <c:pt idx="34">
                  <c:v>3.6534855881602222</c:v>
                </c:pt>
                <c:pt idx="35">
                  <c:v>3.0979896727832084</c:v>
                </c:pt>
                <c:pt idx="36">
                  <c:v>2.9094795312373183</c:v>
                </c:pt>
                <c:pt idx="37">
                  <c:v>2.6724317958522392</c:v>
                </c:pt>
                <c:pt idx="38">
                  <c:v>2.4074275943982211</c:v>
                </c:pt>
                <c:pt idx="39">
                  <c:v>2.2614893125016686</c:v>
                </c:pt>
                <c:pt idx="40">
                  <c:v>2.0077106588861491</c:v>
                </c:pt>
                <c:pt idx="41">
                  <c:v>1.8542124717843895</c:v>
                </c:pt>
                <c:pt idx="42">
                  <c:v>1.6899684630234806</c:v>
                </c:pt>
                <c:pt idx="43">
                  <c:v>1.5449167509816122</c:v>
                </c:pt>
                <c:pt idx="44">
                  <c:v>1.4087429729895526</c:v>
                </c:pt>
                <c:pt idx="45">
                  <c:v>1.2885061205359716</c:v>
                </c:pt>
                <c:pt idx="46">
                  <c:v>1.1810944520327769</c:v>
                </c:pt>
                <c:pt idx="47">
                  <c:v>1.0747973797628696</c:v>
                </c:pt>
                <c:pt idx="48">
                  <c:v>0.9778797537569458</c:v>
                </c:pt>
                <c:pt idx="49">
                  <c:v>0.90281364135808828</c:v>
                </c:pt>
                <c:pt idx="50">
                  <c:v>0.81833134190630974</c:v>
                </c:pt>
                <c:pt idx="51">
                  <c:v>0.75050789758130565</c:v>
                </c:pt>
                <c:pt idx="52">
                  <c:v>0.68522191894949602</c:v>
                </c:pt>
                <c:pt idx="53">
                  <c:v>0.62617320891809569</c:v>
                </c:pt>
                <c:pt idx="54">
                  <c:v>0.57363397262694793</c:v>
                </c:pt>
                <c:pt idx="55">
                  <c:v>0.52720996631498607</c:v>
                </c:pt>
                <c:pt idx="56">
                  <c:v>0.47802361171325547</c:v>
                </c:pt>
                <c:pt idx="57">
                  <c:v>0.43566962206045462</c:v>
                </c:pt>
                <c:pt idx="58">
                  <c:v>0.39853435003667398</c:v>
                </c:pt>
                <c:pt idx="59">
                  <c:v>0.36454548062004027</c:v>
                </c:pt>
                <c:pt idx="60">
                  <c:v>0.33358127738781618</c:v>
                </c:pt>
                <c:pt idx="61">
                  <c:v>0.30396187098504079</c:v>
                </c:pt>
                <c:pt idx="62">
                  <c:v>0.27887732505432777</c:v>
                </c:pt>
                <c:pt idx="63">
                  <c:v>0.255109409499919</c:v>
                </c:pt>
                <c:pt idx="64">
                  <c:v>0.23277917288670857</c:v>
                </c:pt>
                <c:pt idx="65">
                  <c:v>0.21335546738206659</c:v>
                </c:pt>
                <c:pt idx="66">
                  <c:v>0.19437738176420538</c:v>
                </c:pt>
                <c:pt idx="67">
                  <c:v>0.17808868433959235</c:v>
                </c:pt>
                <c:pt idx="68">
                  <c:v>0.16219944379727513</c:v>
                </c:pt>
                <c:pt idx="69">
                  <c:v>0.14856635782802288</c:v>
                </c:pt>
                <c:pt idx="70">
                  <c:v>0.13577982390581522</c:v>
                </c:pt>
                <c:pt idx="71">
                  <c:v>0.1243362427377811</c:v>
                </c:pt>
                <c:pt idx="72">
                  <c:v>0.11333542830346993</c:v>
                </c:pt>
                <c:pt idx="73">
                  <c:v>0.10428460034123785</c:v>
                </c:pt>
                <c:pt idx="74">
                  <c:v>9.5176186422167297E-2</c:v>
                </c:pt>
                <c:pt idx="75">
                  <c:v>8.6844724308491855E-2</c:v>
                </c:pt>
                <c:pt idx="76">
                  <c:v>7.9298057819687087E-2</c:v>
                </c:pt>
                <c:pt idx="77">
                  <c:v>7.2496422865300586E-2</c:v>
                </c:pt>
                <c:pt idx="78">
                  <c:v>6.6265969179444786E-2</c:v>
                </c:pt>
                <c:pt idx="79">
                  <c:v>6.0371887689211014E-2</c:v>
                </c:pt>
                <c:pt idx="80">
                  <c:v>5.5212146869247351E-2</c:v>
                </c:pt>
                <c:pt idx="81">
                  <c:v>5.0604823666206777E-2</c:v>
                </c:pt>
                <c:pt idx="82">
                  <c:v>4.6124859360437316E-2</c:v>
                </c:pt>
                <c:pt idx="83">
                  <c:v>4.2199939142443563E-2</c:v>
                </c:pt>
                <c:pt idx="84">
                  <c:v>3.8605783766158371E-2</c:v>
                </c:pt>
                <c:pt idx="85">
                  <c:v>3.5250328461990603E-2</c:v>
                </c:pt>
                <c:pt idx="86">
                  <c:v>3.2237145064467225E-2</c:v>
                </c:pt>
                <c:pt idx="87">
                  <c:v>2.9459380698161338E-2</c:v>
                </c:pt>
                <c:pt idx="88">
                  <c:v>2.6908937940665626E-2</c:v>
                </c:pt>
                <c:pt idx="89">
                  <c:v>2.4619605451223006E-2</c:v>
                </c:pt>
                <c:pt idx="90">
                  <c:v>2.2539424474256321E-2</c:v>
                </c:pt>
                <c:pt idx="91">
                  <c:v>2.0581813513890813E-2</c:v>
                </c:pt>
                <c:pt idx="92">
                  <c:v>1.8811482268895431E-2</c:v>
                </c:pt>
                <c:pt idx="93">
                  <c:v>1.7183361918673711E-2</c:v>
                </c:pt>
                <c:pt idx="94">
                  <c:v>1.5724884582937599E-2</c:v>
                </c:pt>
                <c:pt idx="95">
                  <c:v>1.436154293714934E-2</c:v>
                </c:pt>
                <c:pt idx="96">
                  <c:v>1.3133524256094906E-2</c:v>
                </c:pt>
                <c:pt idx="97">
                  <c:v>1.2006590883682548E-2</c:v>
                </c:pt>
                <c:pt idx="98">
                  <c:v>1.0970354509434361E-2</c:v>
                </c:pt>
                <c:pt idx="99">
                  <c:v>1.0024275993738275E-2</c:v>
                </c:pt>
                <c:pt idx="100">
                  <c:v>9.182314629690989E-3</c:v>
                </c:pt>
                <c:pt idx="101">
                  <c:v>8.4047553538629804E-3</c:v>
                </c:pt>
                <c:pt idx="102">
                  <c:v>7.6404641881677718E-3</c:v>
                </c:pt>
                <c:pt idx="103">
                  <c:v>7.0039441116063837E-3</c:v>
                </c:pt>
                <c:pt idx="104">
                  <c:v>6.3889599978042607E-3</c:v>
                </c:pt>
                <c:pt idx="105">
                  <c:v>5.8426729516028193E-3</c:v>
                </c:pt>
                <c:pt idx="106">
                  <c:v>5.3555682693370767E-3</c:v>
                </c:pt>
                <c:pt idx="107">
                  <c:v>4.89886701986114E-3</c:v>
                </c:pt>
                <c:pt idx="108">
                  <c:v>4.4771721458257332E-3</c:v>
                </c:pt>
                <c:pt idx="109">
                  <c:v>4.0910117402937814E-3</c:v>
                </c:pt>
                <c:pt idx="110">
                  <c:v>3.7283673612884408E-3</c:v>
                </c:pt>
                <c:pt idx="111">
                  <c:v>3.4140379495652047E-3</c:v>
                </c:pt>
                <c:pt idx="112">
                  <c:v>3.1217406119539745E-3</c:v>
                </c:pt>
                <c:pt idx="113">
                  <c:v>2.8527228078511148E-3</c:v>
                </c:pt>
                <c:pt idx="114">
                  <c:v>2.6076406391057232E-3</c:v>
                </c:pt>
                <c:pt idx="115">
                  <c:v>2.3858674412480089E-3</c:v>
                </c:pt>
                <c:pt idx="116">
                  <c:v>2.1811001060599929E-3</c:v>
                </c:pt>
                <c:pt idx="117">
                  <c:v>1.9940895994064126E-3</c:v>
                </c:pt>
                <c:pt idx="118">
                  <c:v>1.8369412971279782E-3</c:v>
                </c:pt>
              </c:numCache>
            </c:numRef>
          </c:yVal>
          <c:smooth val="0"/>
        </c:ser>
        <c:ser>
          <c:idx val="0"/>
          <c:order val="1"/>
          <c:tx>
            <c:v>Conformance Corrected</c:v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Table!$B$18:$B$136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1.2331268849311344E-3</c:v>
                </c:pt>
                <c:pt idx="24">
                  <c:v>3.8119477478850568E-3</c:v>
                </c:pt>
                <c:pt idx="25">
                  <c:v>1.5883014449972411E-2</c:v>
                </c:pt>
                <c:pt idx="26">
                  <c:v>5.9458877752718554E-2</c:v>
                </c:pt>
                <c:pt idx="27">
                  <c:v>0.18357148407654392</c:v>
                </c:pt>
                <c:pt idx="28">
                  <c:v>0.29385647021123773</c:v>
                </c:pt>
                <c:pt idx="29">
                  <c:v>0.36049081351257811</c:v>
                </c:pt>
                <c:pt idx="30">
                  <c:v>0.40320706721959076</c:v>
                </c:pt>
                <c:pt idx="31">
                  <c:v>0.43587022860791608</c:v>
                </c:pt>
                <c:pt idx="32">
                  <c:v>0.45855502649298285</c:v>
                </c:pt>
                <c:pt idx="33">
                  <c:v>0.47619483057254908</c:v>
                </c:pt>
                <c:pt idx="34">
                  <c:v>0.49308657894431951</c:v>
                </c:pt>
                <c:pt idx="35">
                  <c:v>0.5090851726215837</c:v>
                </c:pt>
                <c:pt idx="36">
                  <c:v>0.52447776693962456</c:v>
                </c:pt>
                <c:pt idx="37">
                  <c:v>0.53937596572011293</c:v>
                </c:pt>
                <c:pt idx="38">
                  <c:v>0.55364851300973317</c:v>
                </c:pt>
                <c:pt idx="39">
                  <c:v>0.56728734594712837</c:v>
                </c:pt>
                <c:pt idx="40">
                  <c:v>0.57958973250231927</c:v>
                </c:pt>
                <c:pt idx="41">
                  <c:v>0.5910020169607404</c:v>
                </c:pt>
                <c:pt idx="42">
                  <c:v>0.60226874885704396</c:v>
                </c:pt>
                <c:pt idx="43">
                  <c:v>0.61278043317675912</c:v>
                </c:pt>
                <c:pt idx="44">
                  <c:v>0.62165660370701947</c:v>
                </c:pt>
                <c:pt idx="45">
                  <c:v>0.62961782170307534</c:v>
                </c:pt>
                <c:pt idx="46">
                  <c:v>0.63816368427616743</c:v>
                </c:pt>
                <c:pt idx="47">
                  <c:v>0.64616917662300011</c:v>
                </c:pt>
                <c:pt idx="48">
                  <c:v>0.65372761467189988</c:v>
                </c:pt>
                <c:pt idx="49">
                  <c:v>0.66052887510671654</c:v>
                </c:pt>
                <c:pt idx="50">
                  <c:v>0.66774057348063398</c:v>
                </c:pt>
                <c:pt idx="51">
                  <c:v>0.67473571804262</c:v>
                </c:pt>
                <c:pt idx="52">
                  <c:v>0.68190400422379427</c:v>
                </c:pt>
                <c:pt idx="53">
                  <c:v>0.68895873912044536</c:v>
                </c:pt>
                <c:pt idx="54">
                  <c:v>0.69579555089534728</c:v>
                </c:pt>
                <c:pt idx="55">
                  <c:v>0.70299183185501934</c:v>
                </c:pt>
                <c:pt idx="56">
                  <c:v>0.71032864457414391</c:v>
                </c:pt>
                <c:pt idx="57">
                  <c:v>0.71769568353961766</c:v>
                </c:pt>
                <c:pt idx="58">
                  <c:v>0.72494044820987669</c:v>
                </c:pt>
                <c:pt idx="59">
                  <c:v>0.73244604104284372</c:v>
                </c:pt>
                <c:pt idx="60">
                  <c:v>0.74018152577967122</c:v>
                </c:pt>
                <c:pt idx="61">
                  <c:v>0.74785057363274465</c:v>
                </c:pt>
                <c:pt idx="62">
                  <c:v>0.75574150039148535</c:v>
                </c:pt>
                <c:pt idx="63">
                  <c:v>0.76376362731684566</c:v>
                </c:pt>
                <c:pt idx="64">
                  <c:v>0.77164223028722589</c:v>
                </c:pt>
                <c:pt idx="65">
                  <c:v>0.77960679548505885</c:v>
                </c:pt>
                <c:pt idx="66">
                  <c:v>0.78792367902750238</c:v>
                </c:pt>
                <c:pt idx="67">
                  <c:v>0.79594697240196688</c:v>
                </c:pt>
                <c:pt idx="68">
                  <c:v>0.80413940089652292</c:v>
                </c:pt>
                <c:pt idx="69">
                  <c:v>0.81229100367243601</c:v>
                </c:pt>
                <c:pt idx="70">
                  <c:v>0.82039670921186281</c:v>
                </c:pt>
                <c:pt idx="71">
                  <c:v>0.82849257600667237</c:v>
                </c:pt>
                <c:pt idx="72">
                  <c:v>0.83674139977965167</c:v>
                </c:pt>
                <c:pt idx="73">
                  <c:v>0.84420383399576771</c:v>
                </c:pt>
                <c:pt idx="74">
                  <c:v>0.85237029631896333</c:v>
                </c:pt>
                <c:pt idx="75">
                  <c:v>0.86029114503298254</c:v>
                </c:pt>
                <c:pt idx="76">
                  <c:v>0.86838533822690378</c:v>
                </c:pt>
                <c:pt idx="77">
                  <c:v>0.87607238996832271</c:v>
                </c:pt>
                <c:pt idx="78">
                  <c:v>0.88347842890601547</c:v>
                </c:pt>
                <c:pt idx="79">
                  <c:v>0.89125053000167531</c:v>
                </c:pt>
                <c:pt idx="80">
                  <c:v>0.89877301098906226</c:v>
                </c:pt>
                <c:pt idx="81">
                  <c:v>0.90577069130997023</c:v>
                </c:pt>
                <c:pt idx="82">
                  <c:v>0.91277719607192653</c:v>
                </c:pt>
                <c:pt idx="83">
                  <c:v>0.91926224736918083</c:v>
                </c:pt>
                <c:pt idx="84">
                  <c:v>0.92552952769022134</c:v>
                </c:pt>
                <c:pt idx="85">
                  <c:v>0.93206600417841212</c:v>
                </c:pt>
                <c:pt idx="86">
                  <c:v>0.93752113163194262</c:v>
                </c:pt>
                <c:pt idx="87">
                  <c:v>0.94286498998397972</c:v>
                </c:pt>
                <c:pt idx="88">
                  <c:v>0.94792027897070319</c:v>
                </c:pt>
                <c:pt idx="89">
                  <c:v>0.95296796068066103</c:v>
                </c:pt>
                <c:pt idx="90">
                  <c:v>0.95751254782051143</c:v>
                </c:pt>
                <c:pt idx="91">
                  <c:v>0.9616865084363353</c:v>
                </c:pt>
                <c:pt idx="92">
                  <c:v>0.96605602678021696</c:v>
                </c:pt>
                <c:pt idx="93">
                  <c:v>0.96999801616986436</c:v>
                </c:pt>
                <c:pt idx="94">
                  <c:v>0.97406172198776342</c:v>
                </c:pt>
                <c:pt idx="95">
                  <c:v>0.97756695226070067</c:v>
                </c:pt>
                <c:pt idx="96">
                  <c:v>0.98004367871491049</c:v>
                </c:pt>
                <c:pt idx="97">
                  <c:v>0.9826077367063909</c:v>
                </c:pt>
                <c:pt idx="98">
                  <c:v>0.98480279105955471</c:v>
                </c:pt>
                <c:pt idx="99">
                  <c:v>0.9868283552863778</c:v>
                </c:pt>
                <c:pt idx="100">
                  <c:v>0.98876557367236162</c:v>
                </c:pt>
                <c:pt idx="101">
                  <c:v>0.98995940897279766</c:v>
                </c:pt>
                <c:pt idx="102">
                  <c:v>0.99081730693125891</c:v>
                </c:pt>
                <c:pt idx="103">
                  <c:v>0.99137405816015389</c:v>
                </c:pt>
                <c:pt idx="104">
                  <c:v>0.99313306340910568</c:v>
                </c:pt>
                <c:pt idx="105">
                  <c:v>0.9942290184151561</c:v>
                </c:pt>
                <c:pt idx="106">
                  <c:v>0.99486549390455592</c:v>
                </c:pt>
                <c:pt idx="107">
                  <c:v>0.99543583680127234</c:v>
                </c:pt>
                <c:pt idx="108">
                  <c:v>0.99635266579707871</c:v>
                </c:pt>
                <c:pt idx="109">
                  <c:v>0.99759681055452565</c:v>
                </c:pt>
                <c:pt idx="110">
                  <c:v>0.99775869340410051</c:v>
                </c:pt>
                <c:pt idx="111">
                  <c:v>0.99860441971973657</c:v>
                </c:pt>
                <c:pt idx="112">
                  <c:v>0.99965016669913309</c:v>
                </c:pt>
                <c:pt idx="113">
                  <c:v>0.99965016669913309</c:v>
                </c:pt>
                <c:pt idx="114">
                  <c:v>0.99965016669913309</c:v>
                </c:pt>
                <c:pt idx="115">
                  <c:v>0.99965016669913309</c:v>
                </c:pt>
                <c:pt idx="116">
                  <c:v>0.99973100669356352</c:v>
                </c:pt>
                <c:pt idx="117">
                  <c:v>0.99973100669356352</c:v>
                </c:pt>
                <c:pt idx="118">
                  <c:v>1</c:v>
                </c:pt>
              </c:numCache>
            </c:numRef>
          </c:xVal>
          <c:yVal>
            <c:numRef>
              <c:f>Table!$E$18:$E$136</c:f>
              <c:numCache>
                <c:formatCode>???0.000</c:formatCode>
                <c:ptCount val="119"/>
                <c:pt idx="0">
                  <c:v>72.286537145508575</c:v>
                </c:pt>
                <c:pt idx="1">
                  <c:v>68.750620075039478</c:v>
                </c:pt>
                <c:pt idx="2">
                  <c:v>60.654068692373613</c:v>
                </c:pt>
                <c:pt idx="3">
                  <c:v>54.520780522342882</c:v>
                </c:pt>
                <c:pt idx="4">
                  <c:v>50.56559122021995</c:v>
                </c:pt>
                <c:pt idx="5">
                  <c:v>46.328551172863165</c:v>
                </c:pt>
                <c:pt idx="6">
                  <c:v>42.524923817929988</c:v>
                </c:pt>
                <c:pt idx="7">
                  <c:v>38.892081662770181</c:v>
                </c:pt>
                <c:pt idx="8">
                  <c:v>35.317125925188783</c:v>
                </c:pt>
                <c:pt idx="9">
                  <c:v>32.311233638100141</c:v>
                </c:pt>
                <c:pt idx="10">
                  <c:v>29.42549730357587</c:v>
                </c:pt>
                <c:pt idx="11">
                  <c:v>26.987923271319225</c:v>
                </c:pt>
                <c:pt idx="12">
                  <c:v>24.687339938587478</c:v>
                </c:pt>
                <c:pt idx="13">
                  <c:v>22.699139169644518</c:v>
                </c:pt>
                <c:pt idx="14">
                  <c:v>20.716429040360243</c:v>
                </c:pt>
                <c:pt idx="15">
                  <c:v>18.918249488732712</c:v>
                </c:pt>
                <c:pt idx="16">
                  <c:v>17.310231777436726</c:v>
                </c:pt>
                <c:pt idx="17">
                  <c:v>15.829447535962005</c:v>
                </c:pt>
                <c:pt idx="18">
                  <c:v>14.469378063153094</c:v>
                </c:pt>
                <c:pt idx="19">
                  <c:v>13.228605988744606</c:v>
                </c:pt>
                <c:pt idx="20">
                  <c:v>12.084659016269589</c:v>
                </c:pt>
                <c:pt idx="21">
                  <c:v>11.045986921147863</c:v>
                </c:pt>
                <c:pt idx="22">
                  <c:v>10.120146624726701</c:v>
                </c:pt>
                <c:pt idx="23">
                  <c:v>9.1874817932378487</c:v>
                </c:pt>
                <c:pt idx="24">
                  <c:v>8.4747626031927741</c:v>
                </c:pt>
                <c:pt idx="25">
                  <c:v>7.6997972324929096</c:v>
                </c:pt>
                <c:pt idx="26">
                  <c:v>7.0543252632692992</c:v>
                </c:pt>
                <c:pt idx="27">
                  <c:v>6.4724517396568633</c:v>
                </c:pt>
                <c:pt idx="28">
                  <c:v>5.9125247569610604</c:v>
                </c:pt>
                <c:pt idx="29">
                  <c:v>5.3896153798000288</c:v>
                </c:pt>
                <c:pt idx="30">
                  <c:v>4.9288994400518895</c:v>
                </c:pt>
                <c:pt idx="31">
                  <c:v>4.4936021189789104</c:v>
                </c:pt>
                <c:pt idx="32">
                  <c:v>4.1049087302341585</c:v>
                </c:pt>
                <c:pt idx="33">
                  <c:v>3.7655926612690176</c:v>
                </c:pt>
                <c:pt idx="34">
                  <c:v>3.6534855881602222</c:v>
                </c:pt>
                <c:pt idx="35">
                  <c:v>3.0979896727832084</c:v>
                </c:pt>
                <c:pt idx="36">
                  <c:v>2.9094795312373183</c:v>
                </c:pt>
                <c:pt idx="37">
                  <c:v>2.6724317958522392</c:v>
                </c:pt>
                <c:pt idx="38">
                  <c:v>2.4074275943982211</c:v>
                </c:pt>
                <c:pt idx="39">
                  <c:v>2.2614893125016686</c:v>
                </c:pt>
                <c:pt idx="40">
                  <c:v>2.0077106588861491</c:v>
                </c:pt>
                <c:pt idx="41">
                  <c:v>1.8542124717843895</c:v>
                </c:pt>
                <c:pt idx="42">
                  <c:v>1.6899684630234806</c:v>
                </c:pt>
                <c:pt idx="43">
                  <c:v>1.5449167509816122</c:v>
                </c:pt>
                <c:pt idx="44">
                  <c:v>1.4087429729895526</c:v>
                </c:pt>
                <c:pt idx="45">
                  <c:v>1.2885061205359716</c:v>
                </c:pt>
                <c:pt idx="46">
                  <c:v>1.1810944520327769</c:v>
                </c:pt>
                <c:pt idx="47">
                  <c:v>1.0747973797628696</c:v>
                </c:pt>
                <c:pt idx="48">
                  <c:v>0.9778797537569458</c:v>
                </c:pt>
                <c:pt idx="49">
                  <c:v>0.90281364135808828</c:v>
                </c:pt>
                <c:pt idx="50">
                  <c:v>0.81833134190630974</c:v>
                </c:pt>
                <c:pt idx="51">
                  <c:v>0.75050789758130565</c:v>
                </c:pt>
                <c:pt idx="52">
                  <c:v>0.68522191894949602</c:v>
                </c:pt>
                <c:pt idx="53">
                  <c:v>0.62617320891809569</c:v>
                </c:pt>
                <c:pt idx="54">
                  <c:v>0.57363397262694793</c:v>
                </c:pt>
                <c:pt idx="55">
                  <c:v>0.52720996631498607</c:v>
                </c:pt>
                <c:pt idx="56">
                  <c:v>0.47802361171325547</c:v>
                </c:pt>
                <c:pt idx="57">
                  <c:v>0.43566962206045462</c:v>
                </c:pt>
                <c:pt idx="58">
                  <c:v>0.39853435003667398</c:v>
                </c:pt>
                <c:pt idx="59">
                  <c:v>0.36454548062004027</c:v>
                </c:pt>
                <c:pt idx="60">
                  <c:v>0.33358127738781618</c:v>
                </c:pt>
                <c:pt idx="61">
                  <c:v>0.30396187098504079</c:v>
                </c:pt>
                <c:pt idx="62">
                  <c:v>0.27887732505432777</c:v>
                </c:pt>
                <c:pt idx="63">
                  <c:v>0.255109409499919</c:v>
                </c:pt>
                <c:pt idx="64">
                  <c:v>0.23277917288670857</c:v>
                </c:pt>
                <c:pt idx="65">
                  <c:v>0.21335546738206659</c:v>
                </c:pt>
                <c:pt idx="66">
                  <c:v>0.19437738176420538</c:v>
                </c:pt>
                <c:pt idx="67">
                  <c:v>0.17808868433959235</c:v>
                </c:pt>
                <c:pt idx="68">
                  <c:v>0.16219944379727513</c:v>
                </c:pt>
                <c:pt idx="69">
                  <c:v>0.14856635782802288</c:v>
                </c:pt>
                <c:pt idx="70">
                  <c:v>0.13577982390581522</c:v>
                </c:pt>
                <c:pt idx="71">
                  <c:v>0.1243362427377811</c:v>
                </c:pt>
                <c:pt idx="72">
                  <c:v>0.11333542830346993</c:v>
                </c:pt>
                <c:pt idx="73">
                  <c:v>0.10428460034123785</c:v>
                </c:pt>
                <c:pt idx="74">
                  <c:v>9.5176186422167297E-2</c:v>
                </c:pt>
                <c:pt idx="75">
                  <c:v>8.6844724308491855E-2</c:v>
                </c:pt>
                <c:pt idx="76">
                  <c:v>7.9298057819687087E-2</c:v>
                </c:pt>
                <c:pt idx="77">
                  <c:v>7.2496422865300586E-2</c:v>
                </c:pt>
                <c:pt idx="78">
                  <c:v>6.6265969179444786E-2</c:v>
                </c:pt>
                <c:pt idx="79">
                  <c:v>6.0371887689211014E-2</c:v>
                </c:pt>
                <c:pt idx="80">
                  <c:v>5.5212146869247351E-2</c:v>
                </c:pt>
                <c:pt idx="81">
                  <c:v>5.0604823666206777E-2</c:v>
                </c:pt>
                <c:pt idx="82">
                  <c:v>4.6124859360437316E-2</c:v>
                </c:pt>
                <c:pt idx="83">
                  <c:v>4.2199939142443563E-2</c:v>
                </c:pt>
                <c:pt idx="84">
                  <c:v>3.8605783766158371E-2</c:v>
                </c:pt>
                <c:pt idx="85">
                  <c:v>3.5250328461990603E-2</c:v>
                </c:pt>
                <c:pt idx="86">
                  <c:v>3.2237145064467225E-2</c:v>
                </c:pt>
                <c:pt idx="87">
                  <c:v>2.9459380698161338E-2</c:v>
                </c:pt>
                <c:pt idx="88">
                  <c:v>2.6908937940665626E-2</c:v>
                </c:pt>
                <c:pt idx="89">
                  <c:v>2.4619605451223006E-2</c:v>
                </c:pt>
                <c:pt idx="90">
                  <c:v>2.2539424474256321E-2</c:v>
                </c:pt>
                <c:pt idx="91">
                  <c:v>2.0581813513890813E-2</c:v>
                </c:pt>
                <c:pt idx="92">
                  <c:v>1.8811482268895431E-2</c:v>
                </c:pt>
                <c:pt idx="93">
                  <c:v>1.7183361918673711E-2</c:v>
                </c:pt>
                <c:pt idx="94">
                  <c:v>1.5724884582937599E-2</c:v>
                </c:pt>
                <c:pt idx="95">
                  <c:v>1.436154293714934E-2</c:v>
                </c:pt>
                <c:pt idx="96">
                  <c:v>1.3133524256094906E-2</c:v>
                </c:pt>
                <c:pt idx="97">
                  <c:v>1.2006590883682548E-2</c:v>
                </c:pt>
                <c:pt idx="98">
                  <c:v>1.0970354509434361E-2</c:v>
                </c:pt>
                <c:pt idx="99">
                  <c:v>1.0024275993738275E-2</c:v>
                </c:pt>
                <c:pt idx="100">
                  <c:v>9.182314629690989E-3</c:v>
                </c:pt>
                <c:pt idx="101">
                  <c:v>8.4047553538629804E-3</c:v>
                </c:pt>
                <c:pt idx="102">
                  <c:v>7.6404641881677718E-3</c:v>
                </c:pt>
                <c:pt idx="103">
                  <c:v>7.0039441116063837E-3</c:v>
                </c:pt>
                <c:pt idx="104">
                  <c:v>6.3889599978042607E-3</c:v>
                </c:pt>
                <c:pt idx="105">
                  <c:v>5.8426729516028193E-3</c:v>
                </c:pt>
                <c:pt idx="106">
                  <c:v>5.3555682693370767E-3</c:v>
                </c:pt>
                <c:pt idx="107">
                  <c:v>4.89886701986114E-3</c:v>
                </c:pt>
                <c:pt idx="108">
                  <c:v>4.4771721458257332E-3</c:v>
                </c:pt>
                <c:pt idx="109">
                  <c:v>4.0910117402937814E-3</c:v>
                </c:pt>
                <c:pt idx="110">
                  <c:v>3.7283673612884408E-3</c:v>
                </c:pt>
                <c:pt idx="111">
                  <c:v>3.4140379495652047E-3</c:v>
                </c:pt>
                <c:pt idx="112">
                  <c:v>3.1217406119539745E-3</c:v>
                </c:pt>
                <c:pt idx="113">
                  <c:v>2.8527228078511148E-3</c:v>
                </c:pt>
                <c:pt idx="114">
                  <c:v>2.6076406391057232E-3</c:v>
                </c:pt>
                <c:pt idx="115">
                  <c:v>2.3858674412480089E-3</c:v>
                </c:pt>
                <c:pt idx="116">
                  <c:v>2.1811001060599929E-3</c:v>
                </c:pt>
                <c:pt idx="117">
                  <c:v>1.9940895994064126E-3</c:v>
                </c:pt>
                <c:pt idx="118">
                  <c:v>1.8369412971279782E-3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28672"/>
        <c:axId val="152903680"/>
      </c:scatterChart>
      <c:valAx>
        <c:axId val="152028672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Mercury Saturation, fraction pore space</a:t>
                </a:r>
              </a:p>
            </c:rich>
          </c:tx>
          <c:layout>
            <c:manualLayout>
              <c:xMode val="edge"/>
              <c:yMode val="edge"/>
              <c:x val="0.26547320428824939"/>
              <c:y val="0.94071717207034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52903680"/>
        <c:crossesAt val="1.0000000000000041E-3"/>
        <c:crossBetween val="midCat"/>
        <c:majorUnit val="0.2"/>
        <c:minorUnit val="0.1"/>
      </c:valAx>
      <c:valAx>
        <c:axId val="152903680"/>
        <c:scaling>
          <c:logBase val="10"/>
          <c:orientation val="minMax"/>
          <c:max val="1000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Pore Throat Radius, microns.</a:t>
                </a:r>
              </a:p>
            </c:rich>
          </c:tx>
          <c:layout>
            <c:manualLayout>
              <c:xMode val="edge"/>
              <c:yMode val="edge"/>
              <c:x val="1.7605633802816906E-2"/>
              <c:y val="0.288590956331800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52028672"/>
        <c:crosses val="max"/>
        <c:crossBetween val="midCat"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901411284906759"/>
          <c:y val="6.0402679443359433E-2"/>
          <c:w val="0.4260563032526869"/>
          <c:h val="9.39597296336340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505"/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3175">
      <a:solidFill>
        <a:sysClr val="windowText" lastClr="000000"/>
      </a:solidFill>
    </a:ln>
  </c:spPr>
  <c:txPr>
    <a:bodyPr/>
    <a:lstStyle/>
    <a:p>
      <a:pPr>
        <a:defRPr sz="600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Normalized Data V.S. Pore Size Distrubition</a:t>
            </a:r>
          </a:p>
        </c:rich>
      </c:tx>
      <c:layout>
        <c:manualLayout>
          <c:xMode val="edge"/>
          <c:yMode val="edge"/>
          <c:x val="0.30823972597678045"/>
          <c:y val="5.7352337884121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384661626489"/>
          <c:y val="0.16126507112319541"/>
          <c:w val="0.81528794194843257"/>
          <c:h val="0.67664041994752278"/>
        </c:manualLayout>
      </c:layout>
      <c:scatterChart>
        <c:scatterStyle val="lineMarker"/>
        <c:varyColors val="0"/>
        <c:ser>
          <c:idx val="0"/>
          <c:order val="0"/>
          <c:tx>
            <c:v>Normalized Pore Size Distribution</c:v>
          </c:tx>
          <c:spPr>
            <a:ln w="15875">
              <a:solidFill>
                <a:schemeClr val="dk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75000"/>
                </a:schemeClr>
              </a:solidFill>
              <a:ln>
                <a:solidFill>
                  <a:schemeClr val="dk2">
                    <a:lumMod val="75000"/>
                  </a:schemeClr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72.286537145508575</c:v>
                </c:pt>
                <c:pt idx="1">
                  <c:v>68.750620075039478</c:v>
                </c:pt>
                <c:pt idx="2">
                  <c:v>60.654068692373613</c:v>
                </c:pt>
                <c:pt idx="3">
                  <c:v>54.520780522342882</c:v>
                </c:pt>
                <c:pt idx="4">
                  <c:v>50.56559122021995</c:v>
                </c:pt>
                <c:pt idx="5">
                  <c:v>46.328551172863165</c:v>
                </c:pt>
                <c:pt idx="6">
                  <c:v>42.524923817929988</c:v>
                </c:pt>
                <c:pt idx="7">
                  <c:v>38.892081662770181</c:v>
                </c:pt>
                <c:pt idx="8">
                  <c:v>35.317125925188783</c:v>
                </c:pt>
                <c:pt idx="9">
                  <c:v>32.311233638100141</c:v>
                </c:pt>
                <c:pt idx="10">
                  <c:v>29.42549730357587</c:v>
                </c:pt>
                <c:pt idx="11">
                  <c:v>26.987923271319225</c:v>
                </c:pt>
                <c:pt idx="12">
                  <c:v>24.687339938587478</c:v>
                </c:pt>
                <c:pt idx="13">
                  <c:v>22.699139169644518</c:v>
                </c:pt>
                <c:pt idx="14">
                  <c:v>20.716429040360243</c:v>
                </c:pt>
                <c:pt idx="15">
                  <c:v>18.918249488732712</c:v>
                </c:pt>
                <c:pt idx="16">
                  <c:v>17.310231777436726</c:v>
                </c:pt>
                <c:pt idx="17">
                  <c:v>15.829447535962005</c:v>
                </c:pt>
                <c:pt idx="18">
                  <c:v>14.469378063153094</c:v>
                </c:pt>
                <c:pt idx="19">
                  <c:v>13.228605988744606</c:v>
                </c:pt>
                <c:pt idx="20">
                  <c:v>12.084659016269589</c:v>
                </c:pt>
                <c:pt idx="21">
                  <c:v>11.045986921147863</c:v>
                </c:pt>
                <c:pt idx="22">
                  <c:v>10.120146624726701</c:v>
                </c:pt>
                <c:pt idx="23">
                  <c:v>9.1874817932378487</c:v>
                </c:pt>
                <c:pt idx="24">
                  <c:v>8.4747626031927741</c:v>
                </c:pt>
                <c:pt idx="25">
                  <c:v>7.6997972324929096</c:v>
                </c:pt>
                <c:pt idx="26">
                  <c:v>7.0543252632692992</c:v>
                </c:pt>
                <c:pt idx="27">
                  <c:v>6.4724517396568633</c:v>
                </c:pt>
                <c:pt idx="28">
                  <c:v>5.9125247569610604</c:v>
                </c:pt>
                <c:pt idx="29">
                  <c:v>5.3896153798000288</c:v>
                </c:pt>
                <c:pt idx="30">
                  <c:v>4.9288994400518895</c:v>
                </c:pt>
                <c:pt idx="31">
                  <c:v>4.4936021189789104</c:v>
                </c:pt>
                <c:pt idx="32">
                  <c:v>4.1049087302341585</c:v>
                </c:pt>
                <c:pt idx="33">
                  <c:v>3.7655926612690176</c:v>
                </c:pt>
                <c:pt idx="34">
                  <c:v>3.6534855881602222</c:v>
                </c:pt>
                <c:pt idx="35">
                  <c:v>3.0979896727832084</c:v>
                </c:pt>
                <c:pt idx="36">
                  <c:v>2.9094795312373183</c:v>
                </c:pt>
                <c:pt idx="37">
                  <c:v>2.6724317958522392</c:v>
                </c:pt>
                <c:pt idx="38">
                  <c:v>2.4074275943982211</c:v>
                </c:pt>
                <c:pt idx="39">
                  <c:v>2.2614893125016686</c:v>
                </c:pt>
                <c:pt idx="40">
                  <c:v>2.0077106588861491</c:v>
                </c:pt>
                <c:pt idx="41">
                  <c:v>1.8542124717843895</c:v>
                </c:pt>
                <c:pt idx="42">
                  <c:v>1.6899684630234806</c:v>
                </c:pt>
                <c:pt idx="43">
                  <c:v>1.5449167509816122</c:v>
                </c:pt>
                <c:pt idx="44">
                  <c:v>1.4087429729895526</c:v>
                </c:pt>
                <c:pt idx="45">
                  <c:v>1.2885061205359716</c:v>
                </c:pt>
                <c:pt idx="46">
                  <c:v>1.1810944520327769</c:v>
                </c:pt>
                <c:pt idx="47">
                  <c:v>1.0747973797628696</c:v>
                </c:pt>
                <c:pt idx="48">
                  <c:v>0.9778797537569458</c:v>
                </c:pt>
                <c:pt idx="49">
                  <c:v>0.90281364135808828</c:v>
                </c:pt>
                <c:pt idx="50">
                  <c:v>0.81833134190630974</c:v>
                </c:pt>
                <c:pt idx="51">
                  <c:v>0.75050789758130565</c:v>
                </c:pt>
                <c:pt idx="52">
                  <c:v>0.68522191894949602</c:v>
                </c:pt>
                <c:pt idx="53">
                  <c:v>0.62617320891809569</c:v>
                </c:pt>
                <c:pt idx="54">
                  <c:v>0.57363397262694793</c:v>
                </c:pt>
                <c:pt idx="55">
                  <c:v>0.52720996631498607</c:v>
                </c:pt>
                <c:pt idx="56">
                  <c:v>0.47802361171325547</c:v>
                </c:pt>
                <c:pt idx="57">
                  <c:v>0.43566962206045462</c:v>
                </c:pt>
                <c:pt idx="58">
                  <c:v>0.39853435003667398</c:v>
                </c:pt>
                <c:pt idx="59">
                  <c:v>0.36454548062004027</c:v>
                </c:pt>
                <c:pt idx="60">
                  <c:v>0.33358127738781618</c:v>
                </c:pt>
                <c:pt idx="61">
                  <c:v>0.30396187098504079</c:v>
                </c:pt>
                <c:pt idx="62">
                  <c:v>0.27887732505432777</c:v>
                </c:pt>
                <c:pt idx="63">
                  <c:v>0.255109409499919</c:v>
                </c:pt>
                <c:pt idx="64">
                  <c:v>0.23277917288670857</c:v>
                </c:pt>
                <c:pt idx="65">
                  <c:v>0.21335546738206659</c:v>
                </c:pt>
                <c:pt idx="66">
                  <c:v>0.19437738176420538</c:v>
                </c:pt>
                <c:pt idx="67">
                  <c:v>0.17808868433959235</c:v>
                </c:pt>
                <c:pt idx="68">
                  <c:v>0.16219944379727513</c:v>
                </c:pt>
                <c:pt idx="69">
                  <c:v>0.14856635782802288</c:v>
                </c:pt>
                <c:pt idx="70">
                  <c:v>0.13577982390581522</c:v>
                </c:pt>
                <c:pt idx="71">
                  <c:v>0.1243362427377811</c:v>
                </c:pt>
                <c:pt idx="72">
                  <c:v>0.11333542830346993</c:v>
                </c:pt>
                <c:pt idx="73">
                  <c:v>0.10428460034123785</c:v>
                </c:pt>
                <c:pt idx="74">
                  <c:v>9.5176186422167297E-2</c:v>
                </c:pt>
                <c:pt idx="75">
                  <c:v>8.6844724308491855E-2</c:v>
                </c:pt>
                <c:pt idx="76">
                  <c:v>7.9298057819687087E-2</c:v>
                </c:pt>
                <c:pt idx="77">
                  <c:v>7.2496422865300586E-2</c:v>
                </c:pt>
                <c:pt idx="78">
                  <c:v>6.6265969179444786E-2</c:v>
                </c:pt>
                <c:pt idx="79">
                  <c:v>6.0371887689211014E-2</c:v>
                </c:pt>
                <c:pt idx="80">
                  <c:v>5.5212146869247351E-2</c:v>
                </c:pt>
                <c:pt idx="81">
                  <c:v>5.0604823666206777E-2</c:v>
                </c:pt>
                <c:pt idx="82">
                  <c:v>4.6124859360437316E-2</c:v>
                </c:pt>
                <c:pt idx="83">
                  <c:v>4.2199939142443563E-2</c:v>
                </c:pt>
                <c:pt idx="84">
                  <c:v>3.8605783766158371E-2</c:v>
                </c:pt>
                <c:pt idx="85">
                  <c:v>3.5250328461990603E-2</c:v>
                </c:pt>
                <c:pt idx="86">
                  <c:v>3.2237145064467225E-2</c:v>
                </c:pt>
                <c:pt idx="87">
                  <c:v>2.9459380698161338E-2</c:v>
                </c:pt>
                <c:pt idx="88">
                  <c:v>2.6908937940665626E-2</c:v>
                </c:pt>
                <c:pt idx="89">
                  <c:v>2.4619605451223006E-2</c:v>
                </c:pt>
                <c:pt idx="90">
                  <c:v>2.2539424474256321E-2</c:v>
                </c:pt>
                <c:pt idx="91">
                  <c:v>2.0581813513890813E-2</c:v>
                </c:pt>
                <c:pt idx="92">
                  <c:v>1.8811482268895431E-2</c:v>
                </c:pt>
                <c:pt idx="93">
                  <c:v>1.7183361918673711E-2</c:v>
                </c:pt>
                <c:pt idx="94">
                  <c:v>1.5724884582937599E-2</c:v>
                </c:pt>
                <c:pt idx="95">
                  <c:v>1.436154293714934E-2</c:v>
                </c:pt>
                <c:pt idx="96">
                  <c:v>1.3133524256094906E-2</c:v>
                </c:pt>
                <c:pt idx="97">
                  <c:v>1.2006590883682548E-2</c:v>
                </c:pt>
                <c:pt idx="98">
                  <c:v>1.0970354509434361E-2</c:v>
                </c:pt>
                <c:pt idx="99">
                  <c:v>1.0024275993738275E-2</c:v>
                </c:pt>
                <c:pt idx="100">
                  <c:v>9.182314629690989E-3</c:v>
                </c:pt>
                <c:pt idx="101">
                  <c:v>8.4047553538629804E-3</c:v>
                </c:pt>
                <c:pt idx="102">
                  <c:v>7.6404641881677718E-3</c:v>
                </c:pt>
                <c:pt idx="103">
                  <c:v>7.0039441116063837E-3</c:v>
                </c:pt>
                <c:pt idx="104">
                  <c:v>6.3889599978042607E-3</c:v>
                </c:pt>
                <c:pt idx="105">
                  <c:v>5.8426729516028193E-3</c:v>
                </c:pt>
                <c:pt idx="106">
                  <c:v>5.3555682693370767E-3</c:v>
                </c:pt>
                <c:pt idx="107">
                  <c:v>4.89886701986114E-3</c:v>
                </c:pt>
                <c:pt idx="108">
                  <c:v>4.4771721458257332E-3</c:v>
                </c:pt>
                <c:pt idx="109">
                  <c:v>4.0910117402937814E-3</c:v>
                </c:pt>
                <c:pt idx="110">
                  <c:v>3.7283673612884408E-3</c:v>
                </c:pt>
                <c:pt idx="111">
                  <c:v>3.4140379495652047E-3</c:v>
                </c:pt>
                <c:pt idx="112">
                  <c:v>3.1217406119539745E-3</c:v>
                </c:pt>
                <c:pt idx="113">
                  <c:v>2.8527228078511148E-3</c:v>
                </c:pt>
                <c:pt idx="114">
                  <c:v>2.6076406391057232E-3</c:v>
                </c:pt>
                <c:pt idx="115">
                  <c:v>2.3858674412480089E-3</c:v>
                </c:pt>
                <c:pt idx="116">
                  <c:v>2.1811001060599929E-3</c:v>
                </c:pt>
                <c:pt idx="117">
                  <c:v>1.9940895994064126E-3</c:v>
                </c:pt>
                <c:pt idx="118">
                  <c:v>1.8369412971279782E-3</c:v>
                </c:pt>
              </c:numCache>
            </c:numRef>
          </c:xVal>
          <c:yVal>
            <c:numRef>
              <c:f>Table!$S$18:$S$136</c:f>
              <c:numCache>
                <c:formatCode>????0.000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9.9355490264522485E-3</c:v>
                </c:pt>
                <c:pt idx="24">
                  <c:v>2.0778073552218019E-2</c:v>
                </c:pt>
                <c:pt idx="25">
                  <c:v>9.7258989716100433E-2</c:v>
                </c:pt>
                <c:pt idx="26">
                  <c:v>0.35109941361678637</c:v>
                </c:pt>
                <c:pt idx="27">
                  <c:v>1</c:v>
                </c:pt>
                <c:pt idx="28">
                  <c:v>0.88858810882551642</c:v>
                </c:pt>
                <c:pt idx="29">
                  <c:v>0.53688618162995483</c:v>
                </c:pt>
                <c:pt idx="30">
                  <c:v>0.34417336781696922</c:v>
                </c:pt>
                <c:pt idx="31">
                  <c:v>0.26317359981227872</c:v>
                </c:pt>
                <c:pt idx="32">
                  <c:v>0.18277593676406481</c:v>
                </c:pt>
                <c:pt idx="33">
                  <c:v>0.14212741640073015</c:v>
                </c:pt>
                <c:pt idx="34">
                  <c:v>0.13610018250440845</c:v>
                </c:pt>
                <c:pt idx="35">
                  <c:v>0.12890385715953667</c:v>
                </c:pt>
                <c:pt idx="36">
                  <c:v>0.12402119957000696</c:v>
                </c:pt>
                <c:pt idx="37">
                  <c:v>0.1200377562100106</c:v>
                </c:pt>
                <c:pt idx="38">
                  <c:v>0.11499675747990799</c:v>
                </c:pt>
                <c:pt idx="39">
                  <c:v>0.10989079466923593</c:v>
                </c:pt>
                <c:pt idx="40">
                  <c:v>9.9122779865668281E-2</c:v>
                </c:pt>
                <c:pt idx="41">
                  <c:v>9.1951049909024113E-2</c:v>
                </c:pt>
                <c:pt idx="42">
                  <c:v>9.0778303913038802E-2</c:v>
                </c:pt>
                <c:pt idx="43">
                  <c:v>8.4694735136645674E-2</c:v>
                </c:pt>
                <c:pt idx="44">
                  <c:v>7.1517074640277151E-2</c:v>
                </c:pt>
                <c:pt idx="45">
                  <c:v>6.414511975748903E-2</c:v>
                </c:pt>
                <c:pt idx="46">
                  <c:v>6.8855717611753797E-2</c:v>
                </c:pt>
                <c:pt idx="47">
                  <c:v>6.450184702386591E-2</c:v>
                </c:pt>
                <c:pt idx="48">
                  <c:v>6.0899841464765153E-2</c:v>
                </c:pt>
                <c:pt idx="49">
                  <c:v>5.4799110551842868E-2</c:v>
                </c:pt>
                <c:pt idx="50">
                  <c:v>5.8106090811607121E-2</c:v>
                </c:pt>
                <c:pt idx="51">
                  <c:v>5.636127359806474E-2</c:v>
                </c:pt>
                <c:pt idx="52">
                  <c:v>5.7756310124302018E-2</c:v>
                </c:pt>
                <c:pt idx="53">
                  <c:v>5.6841404798513413E-2</c:v>
                </c:pt>
                <c:pt idx="54">
                  <c:v>5.5085554782918815E-2</c:v>
                </c:pt>
                <c:pt idx="55">
                  <c:v>5.798186963293691E-2</c:v>
                </c:pt>
                <c:pt idx="56">
                  <c:v>5.9114162021397715E-2</c:v>
                </c:pt>
                <c:pt idx="57">
                  <c:v>5.9357700911156594E-2</c:v>
                </c:pt>
                <c:pt idx="58">
                  <c:v>5.837251255006707E-2</c:v>
                </c:pt>
                <c:pt idx="59">
                  <c:v>6.0474057029984533E-2</c:v>
                </c:pt>
                <c:pt idx="60">
                  <c:v>6.2326341907965835E-2</c:v>
                </c:pt>
                <c:pt idx="61">
                  <c:v>6.1791046697254277E-2</c:v>
                </c:pt>
                <c:pt idx="62">
                  <c:v>6.3578769252111936E-2</c:v>
                </c:pt>
                <c:pt idx="63">
                  <c:v>6.4635875137692061E-2</c:v>
                </c:pt>
                <c:pt idx="64">
                  <c:v>6.3479474033636588E-2</c:v>
                </c:pt>
                <c:pt idx="65">
                  <c:v>6.4172088829175022E-2</c:v>
                </c:pt>
                <c:pt idx="66">
                  <c:v>6.7010787935141244E-2</c:v>
                </c:pt>
                <c:pt idx="67">
                  <c:v>6.464527345055282E-2</c:v>
                </c:pt>
                <c:pt idx="68">
                  <c:v>6.6008028815227382E-2</c:v>
                </c:pt>
                <c:pt idx="69">
                  <c:v>6.5679087865132227E-2</c:v>
                </c:pt>
                <c:pt idx="70">
                  <c:v>6.5309284685215588E-2</c:v>
                </c:pt>
                <c:pt idx="71">
                  <c:v>6.5230011959352671E-2</c:v>
                </c:pt>
                <c:pt idx="72">
                  <c:v>6.646241681088455E-2</c:v>
                </c:pt>
                <c:pt idx="73">
                  <c:v>6.0126319454170546E-2</c:v>
                </c:pt>
                <c:pt idx="74">
                  <c:v>6.5798814198521433E-2</c:v>
                </c:pt>
                <c:pt idx="75">
                  <c:v>6.3819856408080938E-2</c:v>
                </c:pt>
                <c:pt idx="76">
                  <c:v>6.5216527423511458E-2</c:v>
                </c:pt>
                <c:pt idx="77">
                  <c:v>6.1936107613133541E-2</c:v>
                </c:pt>
                <c:pt idx="78">
                  <c:v>5.9671931458513371E-2</c:v>
                </c:pt>
                <c:pt idx="79">
                  <c:v>6.2621367207304129E-2</c:v>
                </c:pt>
                <c:pt idx="80">
                  <c:v>6.0610128255302695E-2</c:v>
                </c:pt>
                <c:pt idx="81">
                  <c:v>5.6381704712977716E-2</c:v>
                </c:pt>
                <c:pt idx="82">
                  <c:v>5.6452804992874375E-2</c:v>
                </c:pt>
                <c:pt idx="83">
                  <c:v>5.2251350522234487E-2</c:v>
                </c:pt>
                <c:pt idx="84">
                  <c:v>5.0496726373535278E-2</c:v>
                </c:pt>
                <c:pt idx="85">
                  <c:v>5.2665693532664128E-2</c:v>
                </c:pt>
                <c:pt idx="86">
                  <c:v>4.3953048889307685E-2</c:v>
                </c:pt>
                <c:pt idx="87">
                  <c:v>4.3056531566940941E-2</c:v>
                </c:pt>
                <c:pt idx="88">
                  <c:v>4.0731470689879708E-2</c:v>
                </c:pt>
                <c:pt idx="89">
                  <c:v>4.0670177345142569E-2</c:v>
                </c:pt>
                <c:pt idx="90">
                  <c:v>3.6616644146469694E-2</c:v>
                </c:pt>
                <c:pt idx="91">
                  <c:v>3.3630432390836122E-2</c:v>
                </c:pt>
                <c:pt idx="92">
                  <c:v>3.5206079972900095E-2</c:v>
                </c:pt>
                <c:pt idx="93">
                  <c:v>3.1761393998626208E-2</c:v>
                </c:pt>
                <c:pt idx="94">
                  <c:v>3.2742087514432951E-2</c:v>
                </c:pt>
                <c:pt idx="95">
                  <c:v>2.8242338766069165E-2</c:v>
                </c:pt>
                <c:pt idx="96">
                  <c:v>1.995547855749424E-2</c:v>
                </c:pt>
                <c:pt idx="97">
                  <c:v>2.0659126155085788E-2</c:v>
                </c:pt>
                <c:pt idx="98">
                  <c:v>1.7685990312995548E-2</c:v>
                </c:pt>
                <c:pt idx="99">
                  <c:v>1.6320374592232349E-2</c:v>
                </c:pt>
                <c:pt idx="100">
                  <c:v>1.5608554548676327E-2</c:v>
                </c:pt>
                <c:pt idx="101">
                  <c:v>9.6189689008800219E-3</c:v>
                </c:pt>
                <c:pt idx="102">
                  <c:v>6.9122547972515196E-3</c:v>
                </c:pt>
                <c:pt idx="103">
                  <c:v>4.4858555902238225E-3</c:v>
                </c:pt>
                <c:pt idx="104">
                  <c:v>1.4172655792613993E-2</c:v>
                </c:pt>
                <c:pt idx="105">
                  <c:v>8.8303278652527486E-3</c:v>
                </c:pt>
                <c:pt idx="106">
                  <c:v>5.1282098430773361E-3</c:v>
                </c:pt>
                <c:pt idx="107">
                  <c:v>4.5953663661556553E-3</c:v>
                </c:pt>
                <c:pt idx="108">
                  <c:v>7.3870739078207778E-3</c:v>
                </c:pt>
                <c:pt idx="109">
                  <c:v>1.0024322220748562E-2</c:v>
                </c:pt>
                <c:pt idx="110">
                  <c:v>1.304322376024272E-3</c:v>
                </c:pt>
                <c:pt idx="111">
                  <c:v>6.8141854456706666E-3</c:v>
                </c:pt>
                <c:pt idx="112">
                  <c:v>8.4257917899817295E-3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6.5134394341461507E-4</c:v>
                </c:pt>
                <c:pt idx="117">
                  <c:v>0</c:v>
                </c:pt>
                <c:pt idx="118">
                  <c:v>2.1673326699355997E-3</c:v>
                </c:pt>
              </c:numCache>
            </c:numRef>
          </c:yVal>
          <c:smooth val="0"/>
        </c:ser>
        <c:ser>
          <c:idx val="1"/>
          <c:order val="1"/>
          <c:tx>
            <c:v>Conformance Point</c:v>
          </c:tx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Table!$AE$17</c:f>
              <c:numCache>
                <c:formatCode>General</c:formatCode>
                <c:ptCount val="1"/>
                <c:pt idx="0">
                  <c:v>10.120146624726701</c:v>
                </c:pt>
              </c:numCache>
            </c:numRef>
          </c:xVal>
          <c:yVal>
            <c:numRef>
              <c:f>Table!$AD$17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924544"/>
        <c:axId val="152926848"/>
      </c:scatterChart>
      <c:valAx>
        <c:axId val="152924544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40741869092575211"/>
              <c:y val="0.92577471756898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52926848"/>
        <c:crosses val="autoZero"/>
        <c:crossBetween val="midCat"/>
      </c:valAx>
      <c:valAx>
        <c:axId val="15292684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Dristubition Function</a:t>
                </a:r>
              </a:p>
            </c:rich>
          </c:tx>
          <c:layout>
            <c:manualLayout>
              <c:xMode val="edge"/>
              <c:yMode val="edge"/>
              <c:x val="3.5392202272293852E-2"/>
              <c:y val="0.30886858206270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52924544"/>
        <c:crossesAt val="1.0000000000000041E-3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dk1"/>
      </a:solidFill>
    </a:ln>
  </c:spPr>
  <c:txPr>
    <a:bodyPr/>
    <a:lstStyle/>
    <a:p>
      <a:pPr>
        <a:defRPr sz="8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844" r="0.75000000000000844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Saturation vs Pore Throat Size</a:t>
            </a:r>
          </a:p>
        </c:rich>
      </c:tx>
      <c:layout>
        <c:manualLayout>
          <c:xMode val="edge"/>
          <c:yMode val="edge"/>
          <c:x val="0.33093532012654897"/>
          <c:y val="3.1042222084444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64490420478818"/>
          <c:y val="0.10419268510258722"/>
          <c:w val="0.79829436705027268"/>
          <c:h val="0.76090414211159918"/>
        </c:manualLayout>
      </c:layout>
      <c:scatterChart>
        <c:scatterStyle val="smoothMarker"/>
        <c:varyColors val="0"/>
        <c:ser>
          <c:idx val="0"/>
          <c:order val="0"/>
          <c:tx>
            <c:v>Sat. (Frac)</c:v>
          </c:tx>
          <c:spPr>
            <a:ln w="12700">
              <a:solidFill>
                <a:srgbClr val="800080"/>
              </a:solidFill>
            </a:ln>
          </c:spPr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72.286537145508575</c:v>
                </c:pt>
                <c:pt idx="1">
                  <c:v>68.750620075039478</c:v>
                </c:pt>
                <c:pt idx="2">
                  <c:v>60.654068692373613</c:v>
                </c:pt>
                <c:pt idx="3">
                  <c:v>54.520780522342882</c:v>
                </c:pt>
                <c:pt idx="4">
                  <c:v>50.56559122021995</c:v>
                </c:pt>
                <c:pt idx="5">
                  <c:v>46.328551172863165</c:v>
                </c:pt>
                <c:pt idx="6">
                  <c:v>42.524923817929988</c:v>
                </c:pt>
                <c:pt idx="7">
                  <c:v>38.892081662770181</c:v>
                </c:pt>
                <c:pt idx="8">
                  <c:v>35.317125925188783</c:v>
                </c:pt>
                <c:pt idx="9">
                  <c:v>32.311233638100141</c:v>
                </c:pt>
                <c:pt idx="10">
                  <c:v>29.42549730357587</c:v>
                </c:pt>
                <c:pt idx="11">
                  <c:v>26.987923271319225</c:v>
                </c:pt>
                <c:pt idx="12">
                  <c:v>24.687339938587478</c:v>
                </c:pt>
                <c:pt idx="13">
                  <c:v>22.699139169644518</c:v>
                </c:pt>
                <c:pt idx="14">
                  <c:v>20.716429040360243</c:v>
                </c:pt>
                <c:pt idx="15">
                  <c:v>18.918249488732712</c:v>
                </c:pt>
                <c:pt idx="16">
                  <c:v>17.310231777436726</c:v>
                </c:pt>
                <c:pt idx="17">
                  <c:v>15.829447535962005</c:v>
                </c:pt>
                <c:pt idx="18">
                  <c:v>14.469378063153094</c:v>
                </c:pt>
                <c:pt idx="19">
                  <c:v>13.228605988744606</c:v>
                </c:pt>
                <c:pt idx="20">
                  <c:v>12.084659016269589</c:v>
                </c:pt>
                <c:pt idx="21">
                  <c:v>11.045986921147863</c:v>
                </c:pt>
                <c:pt idx="22">
                  <c:v>10.120146624726701</c:v>
                </c:pt>
                <c:pt idx="23">
                  <c:v>9.1874817932378487</c:v>
                </c:pt>
                <c:pt idx="24">
                  <c:v>8.4747626031927741</c:v>
                </c:pt>
                <c:pt idx="25">
                  <c:v>7.6997972324929096</c:v>
                </c:pt>
                <c:pt idx="26">
                  <c:v>7.0543252632692992</c:v>
                </c:pt>
                <c:pt idx="27">
                  <c:v>6.4724517396568633</c:v>
                </c:pt>
                <c:pt idx="28">
                  <c:v>5.9125247569610604</c:v>
                </c:pt>
                <c:pt idx="29">
                  <c:v>5.3896153798000288</c:v>
                </c:pt>
                <c:pt idx="30">
                  <c:v>4.9288994400518895</c:v>
                </c:pt>
                <c:pt idx="31">
                  <c:v>4.4936021189789104</c:v>
                </c:pt>
                <c:pt idx="32">
                  <c:v>4.1049087302341585</c:v>
                </c:pt>
                <c:pt idx="33">
                  <c:v>3.7655926612690176</c:v>
                </c:pt>
                <c:pt idx="34">
                  <c:v>3.6534855881602222</c:v>
                </c:pt>
                <c:pt idx="35">
                  <c:v>3.0979896727832084</c:v>
                </c:pt>
                <c:pt idx="36">
                  <c:v>2.9094795312373183</c:v>
                </c:pt>
                <c:pt idx="37">
                  <c:v>2.6724317958522392</c:v>
                </c:pt>
                <c:pt idx="38">
                  <c:v>2.4074275943982211</c:v>
                </c:pt>
                <c:pt idx="39">
                  <c:v>2.2614893125016686</c:v>
                </c:pt>
                <c:pt idx="40">
                  <c:v>2.0077106588861491</c:v>
                </c:pt>
                <c:pt idx="41">
                  <c:v>1.8542124717843895</c:v>
                </c:pt>
                <c:pt idx="42">
                  <c:v>1.6899684630234806</c:v>
                </c:pt>
                <c:pt idx="43">
                  <c:v>1.5449167509816122</c:v>
                </c:pt>
                <c:pt idx="44">
                  <c:v>1.4087429729895526</c:v>
                </c:pt>
                <c:pt idx="45">
                  <c:v>1.2885061205359716</c:v>
                </c:pt>
                <c:pt idx="46">
                  <c:v>1.1810944520327769</c:v>
                </c:pt>
                <c:pt idx="47">
                  <c:v>1.0747973797628696</c:v>
                </c:pt>
                <c:pt idx="48">
                  <c:v>0.9778797537569458</c:v>
                </c:pt>
                <c:pt idx="49">
                  <c:v>0.90281364135808828</c:v>
                </c:pt>
                <c:pt idx="50">
                  <c:v>0.81833134190630974</c:v>
                </c:pt>
                <c:pt idx="51">
                  <c:v>0.75050789758130565</c:v>
                </c:pt>
                <c:pt idx="52">
                  <c:v>0.68522191894949602</c:v>
                </c:pt>
                <c:pt idx="53">
                  <c:v>0.62617320891809569</c:v>
                </c:pt>
                <c:pt idx="54">
                  <c:v>0.57363397262694793</c:v>
                </c:pt>
                <c:pt idx="55">
                  <c:v>0.52720996631498607</c:v>
                </c:pt>
                <c:pt idx="56">
                  <c:v>0.47802361171325547</c:v>
                </c:pt>
                <c:pt idx="57">
                  <c:v>0.43566962206045462</c:v>
                </c:pt>
                <c:pt idx="58">
                  <c:v>0.39853435003667398</c:v>
                </c:pt>
                <c:pt idx="59">
                  <c:v>0.36454548062004027</c:v>
                </c:pt>
                <c:pt idx="60">
                  <c:v>0.33358127738781618</c:v>
                </c:pt>
                <c:pt idx="61">
                  <c:v>0.30396187098504079</c:v>
                </c:pt>
                <c:pt idx="62">
                  <c:v>0.27887732505432777</c:v>
                </c:pt>
                <c:pt idx="63">
                  <c:v>0.255109409499919</c:v>
                </c:pt>
                <c:pt idx="64">
                  <c:v>0.23277917288670857</c:v>
                </c:pt>
                <c:pt idx="65">
                  <c:v>0.21335546738206659</c:v>
                </c:pt>
                <c:pt idx="66">
                  <c:v>0.19437738176420538</c:v>
                </c:pt>
                <c:pt idx="67">
                  <c:v>0.17808868433959235</c:v>
                </c:pt>
                <c:pt idx="68">
                  <c:v>0.16219944379727513</c:v>
                </c:pt>
                <c:pt idx="69">
                  <c:v>0.14856635782802288</c:v>
                </c:pt>
                <c:pt idx="70">
                  <c:v>0.13577982390581522</c:v>
                </c:pt>
                <c:pt idx="71">
                  <c:v>0.1243362427377811</c:v>
                </c:pt>
                <c:pt idx="72">
                  <c:v>0.11333542830346993</c:v>
                </c:pt>
                <c:pt idx="73">
                  <c:v>0.10428460034123785</c:v>
                </c:pt>
                <c:pt idx="74">
                  <c:v>9.5176186422167297E-2</c:v>
                </c:pt>
                <c:pt idx="75">
                  <c:v>8.6844724308491855E-2</c:v>
                </c:pt>
                <c:pt idx="76">
                  <c:v>7.9298057819687087E-2</c:v>
                </c:pt>
                <c:pt idx="77">
                  <c:v>7.2496422865300586E-2</c:v>
                </c:pt>
                <c:pt idx="78">
                  <c:v>6.6265969179444786E-2</c:v>
                </c:pt>
                <c:pt idx="79">
                  <c:v>6.0371887689211014E-2</c:v>
                </c:pt>
                <c:pt idx="80">
                  <c:v>5.5212146869247351E-2</c:v>
                </c:pt>
                <c:pt idx="81">
                  <c:v>5.0604823666206777E-2</c:v>
                </c:pt>
                <c:pt idx="82">
                  <c:v>4.6124859360437316E-2</c:v>
                </c:pt>
                <c:pt idx="83">
                  <c:v>4.2199939142443563E-2</c:v>
                </c:pt>
                <c:pt idx="84">
                  <c:v>3.8605783766158371E-2</c:v>
                </c:pt>
                <c:pt idx="85">
                  <c:v>3.5250328461990603E-2</c:v>
                </c:pt>
                <c:pt idx="86">
                  <c:v>3.2237145064467225E-2</c:v>
                </c:pt>
                <c:pt idx="87">
                  <c:v>2.9459380698161338E-2</c:v>
                </c:pt>
                <c:pt idx="88">
                  <c:v>2.6908937940665626E-2</c:v>
                </c:pt>
                <c:pt idx="89">
                  <c:v>2.4619605451223006E-2</c:v>
                </c:pt>
                <c:pt idx="90">
                  <c:v>2.2539424474256321E-2</c:v>
                </c:pt>
                <c:pt idx="91">
                  <c:v>2.0581813513890813E-2</c:v>
                </c:pt>
                <c:pt idx="92">
                  <c:v>1.8811482268895431E-2</c:v>
                </c:pt>
                <c:pt idx="93">
                  <c:v>1.7183361918673711E-2</c:v>
                </c:pt>
                <c:pt idx="94">
                  <c:v>1.5724884582937599E-2</c:v>
                </c:pt>
                <c:pt idx="95">
                  <c:v>1.436154293714934E-2</c:v>
                </c:pt>
                <c:pt idx="96">
                  <c:v>1.3133524256094906E-2</c:v>
                </c:pt>
                <c:pt idx="97">
                  <c:v>1.2006590883682548E-2</c:v>
                </c:pt>
                <c:pt idx="98">
                  <c:v>1.0970354509434361E-2</c:v>
                </c:pt>
                <c:pt idx="99">
                  <c:v>1.0024275993738275E-2</c:v>
                </c:pt>
                <c:pt idx="100">
                  <c:v>9.182314629690989E-3</c:v>
                </c:pt>
                <c:pt idx="101">
                  <c:v>8.4047553538629804E-3</c:v>
                </c:pt>
                <c:pt idx="102">
                  <c:v>7.6404641881677718E-3</c:v>
                </c:pt>
                <c:pt idx="103">
                  <c:v>7.0039441116063837E-3</c:v>
                </c:pt>
                <c:pt idx="104">
                  <c:v>6.3889599978042607E-3</c:v>
                </c:pt>
                <c:pt idx="105">
                  <c:v>5.8426729516028193E-3</c:v>
                </c:pt>
                <c:pt idx="106">
                  <c:v>5.3555682693370767E-3</c:v>
                </c:pt>
                <c:pt idx="107">
                  <c:v>4.89886701986114E-3</c:v>
                </c:pt>
                <c:pt idx="108">
                  <c:v>4.4771721458257332E-3</c:v>
                </c:pt>
                <c:pt idx="109">
                  <c:v>4.0910117402937814E-3</c:v>
                </c:pt>
                <c:pt idx="110">
                  <c:v>3.7283673612884408E-3</c:v>
                </c:pt>
                <c:pt idx="111">
                  <c:v>3.4140379495652047E-3</c:v>
                </c:pt>
                <c:pt idx="112">
                  <c:v>3.1217406119539745E-3</c:v>
                </c:pt>
                <c:pt idx="113">
                  <c:v>2.8527228078511148E-3</c:v>
                </c:pt>
                <c:pt idx="114">
                  <c:v>2.6076406391057232E-3</c:v>
                </c:pt>
                <c:pt idx="115">
                  <c:v>2.3858674412480089E-3</c:v>
                </c:pt>
                <c:pt idx="116">
                  <c:v>2.1811001060599929E-3</c:v>
                </c:pt>
                <c:pt idx="117">
                  <c:v>1.9940895994064126E-3</c:v>
                </c:pt>
                <c:pt idx="118">
                  <c:v>1.8369412971279782E-3</c:v>
                </c:pt>
              </c:numCache>
            </c:numRef>
          </c:xVal>
          <c:yVal>
            <c:numRef>
              <c:f>'Raw Data'!$E$18:$E$136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1.2331268849311344E-3</c:v>
                </c:pt>
                <c:pt idx="24">
                  <c:v>3.8119477478850568E-3</c:v>
                </c:pt>
                <c:pt idx="25">
                  <c:v>1.5883014449972411E-2</c:v>
                </c:pt>
                <c:pt idx="26">
                  <c:v>5.9458877752718554E-2</c:v>
                </c:pt>
                <c:pt idx="27">
                  <c:v>0.18357148407654392</c:v>
                </c:pt>
                <c:pt idx="28">
                  <c:v>0.29385647021123773</c:v>
                </c:pt>
                <c:pt idx="29">
                  <c:v>0.36049081351257811</c:v>
                </c:pt>
                <c:pt idx="30">
                  <c:v>0.40320706721959076</c:v>
                </c:pt>
                <c:pt idx="31">
                  <c:v>0.43587022860791608</c:v>
                </c:pt>
                <c:pt idx="32">
                  <c:v>0.45855502649298285</c:v>
                </c:pt>
                <c:pt idx="33">
                  <c:v>0.47619483057254908</c:v>
                </c:pt>
                <c:pt idx="34">
                  <c:v>0.49308657894431951</c:v>
                </c:pt>
                <c:pt idx="35">
                  <c:v>0.5090851726215837</c:v>
                </c:pt>
                <c:pt idx="36">
                  <c:v>0.52447776693962456</c:v>
                </c:pt>
                <c:pt idx="37">
                  <c:v>0.53937596572011293</c:v>
                </c:pt>
                <c:pt idx="38">
                  <c:v>0.55364851300973317</c:v>
                </c:pt>
                <c:pt idx="39">
                  <c:v>0.56728734594712837</c:v>
                </c:pt>
                <c:pt idx="40">
                  <c:v>0.57958973250231927</c:v>
                </c:pt>
                <c:pt idx="41">
                  <c:v>0.5910020169607404</c:v>
                </c:pt>
                <c:pt idx="42">
                  <c:v>0.60226874885704396</c:v>
                </c:pt>
                <c:pt idx="43">
                  <c:v>0.61278043317675912</c:v>
                </c:pt>
                <c:pt idx="44">
                  <c:v>0.62165660370701947</c:v>
                </c:pt>
                <c:pt idx="45">
                  <c:v>0.62961782170307534</c:v>
                </c:pt>
                <c:pt idx="46">
                  <c:v>0.63816368427616743</c:v>
                </c:pt>
                <c:pt idx="47">
                  <c:v>0.64616917662300011</c:v>
                </c:pt>
                <c:pt idx="48">
                  <c:v>0.65372761467189988</c:v>
                </c:pt>
                <c:pt idx="49">
                  <c:v>0.66052887510671654</c:v>
                </c:pt>
                <c:pt idx="50">
                  <c:v>0.66774057348063398</c:v>
                </c:pt>
                <c:pt idx="51">
                  <c:v>0.67473571804262</c:v>
                </c:pt>
                <c:pt idx="52">
                  <c:v>0.68190400422379427</c:v>
                </c:pt>
                <c:pt idx="53">
                  <c:v>0.68895873912044536</c:v>
                </c:pt>
                <c:pt idx="54">
                  <c:v>0.69579555089534728</c:v>
                </c:pt>
                <c:pt idx="55">
                  <c:v>0.70299183185501934</c:v>
                </c:pt>
                <c:pt idx="56">
                  <c:v>0.71032864457414391</c:v>
                </c:pt>
                <c:pt idx="57">
                  <c:v>0.71769568353961766</c:v>
                </c:pt>
                <c:pt idx="58">
                  <c:v>0.72494044820987669</c:v>
                </c:pt>
                <c:pt idx="59">
                  <c:v>0.73244604104284372</c:v>
                </c:pt>
                <c:pt idx="60">
                  <c:v>0.74018152577967122</c:v>
                </c:pt>
                <c:pt idx="61">
                  <c:v>0.74785057363274465</c:v>
                </c:pt>
                <c:pt idx="62">
                  <c:v>0.75574150039148535</c:v>
                </c:pt>
                <c:pt idx="63">
                  <c:v>0.76376362731684566</c:v>
                </c:pt>
                <c:pt idx="64">
                  <c:v>0.77164223028722589</c:v>
                </c:pt>
                <c:pt idx="65">
                  <c:v>0.77960679548505885</c:v>
                </c:pt>
                <c:pt idx="66">
                  <c:v>0.78792367902750238</c:v>
                </c:pt>
                <c:pt idx="67">
                  <c:v>0.79594697240196688</c:v>
                </c:pt>
                <c:pt idx="68">
                  <c:v>0.80413940089652292</c:v>
                </c:pt>
                <c:pt idx="69">
                  <c:v>0.81229100367243601</c:v>
                </c:pt>
                <c:pt idx="70">
                  <c:v>0.82039670921186281</c:v>
                </c:pt>
                <c:pt idx="71">
                  <c:v>0.82849257600667237</c:v>
                </c:pt>
                <c:pt idx="72">
                  <c:v>0.83674139977965167</c:v>
                </c:pt>
                <c:pt idx="73">
                  <c:v>0.84420383399576771</c:v>
                </c:pt>
                <c:pt idx="74">
                  <c:v>0.85237029631896333</c:v>
                </c:pt>
                <c:pt idx="75">
                  <c:v>0.86029114503298254</c:v>
                </c:pt>
                <c:pt idx="76">
                  <c:v>0.86838533822690378</c:v>
                </c:pt>
                <c:pt idx="77">
                  <c:v>0.87607238996832271</c:v>
                </c:pt>
                <c:pt idx="78">
                  <c:v>0.88347842890601547</c:v>
                </c:pt>
                <c:pt idx="79">
                  <c:v>0.89125053000167531</c:v>
                </c:pt>
                <c:pt idx="80">
                  <c:v>0.89877301098906226</c:v>
                </c:pt>
                <c:pt idx="81">
                  <c:v>0.90577069130997023</c:v>
                </c:pt>
                <c:pt idx="82">
                  <c:v>0.91277719607192653</c:v>
                </c:pt>
                <c:pt idx="83">
                  <c:v>0.91926224736918083</c:v>
                </c:pt>
                <c:pt idx="84">
                  <c:v>0.92552952769022134</c:v>
                </c:pt>
                <c:pt idx="85">
                  <c:v>0.93206600417841212</c:v>
                </c:pt>
                <c:pt idx="86">
                  <c:v>0.93752113163194262</c:v>
                </c:pt>
                <c:pt idx="87">
                  <c:v>0.94286498998397972</c:v>
                </c:pt>
                <c:pt idx="88">
                  <c:v>0.94792027897070319</c:v>
                </c:pt>
                <c:pt idx="89">
                  <c:v>0.95296796068066103</c:v>
                </c:pt>
                <c:pt idx="90">
                  <c:v>0.95751254782051143</c:v>
                </c:pt>
                <c:pt idx="91">
                  <c:v>0.9616865084363353</c:v>
                </c:pt>
                <c:pt idx="92">
                  <c:v>0.96605602678021696</c:v>
                </c:pt>
                <c:pt idx="93">
                  <c:v>0.96999801616986436</c:v>
                </c:pt>
                <c:pt idx="94">
                  <c:v>0.97406172198776342</c:v>
                </c:pt>
                <c:pt idx="95">
                  <c:v>0.97756695226070067</c:v>
                </c:pt>
                <c:pt idx="96">
                  <c:v>0.98004367871491049</c:v>
                </c:pt>
                <c:pt idx="97">
                  <c:v>0.9826077367063909</c:v>
                </c:pt>
                <c:pt idx="98">
                  <c:v>0.98480279105955471</c:v>
                </c:pt>
                <c:pt idx="99">
                  <c:v>0.9868283552863778</c:v>
                </c:pt>
                <c:pt idx="100">
                  <c:v>0.98876557367236162</c:v>
                </c:pt>
                <c:pt idx="101">
                  <c:v>0.98995940897279766</c:v>
                </c:pt>
                <c:pt idx="102">
                  <c:v>0.99081730693125891</c:v>
                </c:pt>
                <c:pt idx="103">
                  <c:v>0.99137405816015389</c:v>
                </c:pt>
                <c:pt idx="104">
                  <c:v>0.99313306340910568</c:v>
                </c:pt>
                <c:pt idx="105">
                  <c:v>0.9942290184151561</c:v>
                </c:pt>
                <c:pt idx="106">
                  <c:v>0.99486549390455592</c:v>
                </c:pt>
                <c:pt idx="107">
                  <c:v>0.99543583680127234</c:v>
                </c:pt>
                <c:pt idx="108">
                  <c:v>0.99635266579707871</c:v>
                </c:pt>
                <c:pt idx="109">
                  <c:v>0.99759681055452565</c:v>
                </c:pt>
                <c:pt idx="110">
                  <c:v>0.99775869340410051</c:v>
                </c:pt>
                <c:pt idx="111">
                  <c:v>0.99860441971973657</c:v>
                </c:pt>
                <c:pt idx="112">
                  <c:v>0.99965016669913309</c:v>
                </c:pt>
                <c:pt idx="113">
                  <c:v>0.99965016669913309</c:v>
                </c:pt>
                <c:pt idx="114">
                  <c:v>0.99965016669913309</c:v>
                </c:pt>
                <c:pt idx="115">
                  <c:v>0.99965016669913309</c:v>
                </c:pt>
                <c:pt idx="116">
                  <c:v>0.99973100669356352</c:v>
                </c:pt>
                <c:pt idx="117">
                  <c:v>0.99973100669356352</c:v>
                </c:pt>
                <c:pt idx="118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488960"/>
        <c:axId val="152495616"/>
      </c:scatterChart>
      <c:valAx>
        <c:axId val="152488960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9768561318499929"/>
              <c:y val="0.94279921086959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52495616"/>
        <c:crosses val="autoZero"/>
        <c:crossBetween val="midCat"/>
      </c:valAx>
      <c:valAx>
        <c:axId val="15249561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Mercury Saturation, fractional</a:t>
                </a:r>
              </a:p>
            </c:rich>
          </c:tx>
          <c:layout>
            <c:manualLayout>
              <c:xMode val="edge"/>
              <c:yMode val="edge"/>
              <c:x val="1.7213682297809941E-2"/>
              <c:y val="0.331670401146337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52488960"/>
        <c:crossesAt val="1.0000000000000041E-3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ysClr val="windowText" lastClr="000000"/>
      </a:solidFill>
    </a:ln>
  </c:spPr>
  <c:txPr>
    <a:bodyPr/>
    <a:lstStyle/>
    <a:p>
      <a:pPr>
        <a:defRPr sz="825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966" r="0.75000000000000966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d Sw / d Log Pore Throat Size vs Pore Throat Size</a:t>
            </a:r>
          </a:p>
        </c:rich>
      </c:tx>
      <c:layout>
        <c:manualLayout>
          <c:xMode val="edge"/>
          <c:yMode val="edge"/>
          <c:x val="0.2429618814204548"/>
          <c:y val="3.1012615102564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9448905544897"/>
          <c:y val="0.10031489965429066"/>
          <c:w val="0.81356164375743056"/>
          <c:h val="0.76537560680389582"/>
        </c:manualLayout>
      </c:layout>
      <c:scatterChart>
        <c:scatterStyle val="smoothMarker"/>
        <c:varyColors val="0"/>
        <c:ser>
          <c:idx val="0"/>
          <c:order val="0"/>
          <c:tx>
            <c:v>Sat. (Frac)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72.286537145508575</c:v>
                </c:pt>
                <c:pt idx="1">
                  <c:v>68.750620075039478</c:v>
                </c:pt>
                <c:pt idx="2">
                  <c:v>60.654068692373613</c:v>
                </c:pt>
                <c:pt idx="3">
                  <c:v>54.520780522342882</c:v>
                </c:pt>
                <c:pt idx="4">
                  <c:v>50.56559122021995</c:v>
                </c:pt>
                <c:pt idx="5">
                  <c:v>46.328551172863165</c:v>
                </c:pt>
                <c:pt idx="6">
                  <c:v>42.524923817929988</c:v>
                </c:pt>
                <c:pt idx="7">
                  <c:v>38.892081662770181</c:v>
                </c:pt>
                <c:pt idx="8">
                  <c:v>35.317125925188783</c:v>
                </c:pt>
                <c:pt idx="9">
                  <c:v>32.311233638100141</c:v>
                </c:pt>
                <c:pt idx="10">
                  <c:v>29.42549730357587</c:v>
                </c:pt>
                <c:pt idx="11">
                  <c:v>26.987923271319225</c:v>
                </c:pt>
                <c:pt idx="12">
                  <c:v>24.687339938587478</c:v>
                </c:pt>
                <c:pt idx="13">
                  <c:v>22.699139169644518</c:v>
                </c:pt>
                <c:pt idx="14">
                  <c:v>20.716429040360243</c:v>
                </c:pt>
                <c:pt idx="15">
                  <c:v>18.918249488732712</c:v>
                </c:pt>
                <c:pt idx="16">
                  <c:v>17.310231777436726</c:v>
                </c:pt>
                <c:pt idx="17">
                  <c:v>15.829447535962005</c:v>
                </c:pt>
                <c:pt idx="18">
                  <c:v>14.469378063153094</c:v>
                </c:pt>
                <c:pt idx="19">
                  <c:v>13.228605988744606</c:v>
                </c:pt>
                <c:pt idx="20">
                  <c:v>12.084659016269589</c:v>
                </c:pt>
                <c:pt idx="21">
                  <c:v>11.045986921147863</c:v>
                </c:pt>
                <c:pt idx="22">
                  <c:v>10.120146624726701</c:v>
                </c:pt>
                <c:pt idx="23">
                  <c:v>9.1874817932378487</c:v>
                </c:pt>
                <c:pt idx="24">
                  <c:v>8.4747626031927741</c:v>
                </c:pt>
                <c:pt idx="25">
                  <c:v>7.6997972324929096</c:v>
                </c:pt>
                <c:pt idx="26">
                  <c:v>7.0543252632692992</c:v>
                </c:pt>
                <c:pt idx="27">
                  <c:v>6.4724517396568633</c:v>
                </c:pt>
                <c:pt idx="28">
                  <c:v>5.9125247569610604</c:v>
                </c:pt>
                <c:pt idx="29">
                  <c:v>5.3896153798000288</c:v>
                </c:pt>
                <c:pt idx="30">
                  <c:v>4.9288994400518895</c:v>
                </c:pt>
                <c:pt idx="31">
                  <c:v>4.4936021189789104</c:v>
                </c:pt>
                <c:pt idx="32">
                  <c:v>4.1049087302341585</c:v>
                </c:pt>
                <c:pt idx="33">
                  <c:v>3.7655926612690176</c:v>
                </c:pt>
                <c:pt idx="34">
                  <c:v>3.6534855881602222</c:v>
                </c:pt>
                <c:pt idx="35">
                  <c:v>3.0979896727832084</c:v>
                </c:pt>
                <c:pt idx="36">
                  <c:v>2.9094795312373183</c:v>
                </c:pt>
                <c:pt idx="37">
                  <c:v>2.6724317958522392</c:v>
                </c:pt>
                <c:pt idx="38">
                  <c:v>2.4074275943982211</c:v>
                </c:pt>
                <c:pt idx="39">
                  <c:v>2.2614893125016686</c:v>
                </c:pt>
                <c:pt idx="40">
                  <c:v>2.0077106588861491</c:v>
                </c:pt>
                <c:pt idx="41">
                  <c:v>1.8542124717843895</c:v>
                </c:pt>
                <c:pt idx="42">
                  <c:v>1.6899684630234806</c:v>
                </c:pt>
                <c:pt idx="43">
                  <c:v>1.5449167509816122</c:v>
                </c:pt>
                <c:pt idx="44">
                  <c:v>1.4087429729895526</c:v>
                </c:pt>
                <c:pt idx="45">
                  <c:v>1.2885061205359716</c:v>
                </c:pt>
                <c:pt idx="46">
                  <c:v>1.1810944520327769</c:v>
                </c:pt>
                <c:pt idx="47">
                  <c:v>1.0747973797628696</c:v>
                </c:pt>
                <c:pt idx="48">
                  <c:v>0.9778797537569458</c:v>
                </c:pt>
                <c:pt idx="49">
                  <c:v>0.90281364135808828</c:v>
                </c:pt>
                <c:pt idx="50">
                  <c:v>0.81833134190630974</c:v>
                </c:pt>
                <c:pt idx="51">
                  <c:v>0.75050789758130565</c:v>
                </c:pt>
                <c:pt idx="52">
                  <c:v>0.68522191894949602</c:v>
                </c:pt>
                <c:pt idx="53">
                  <c:v>0.62617320891809569</c:v>
                </c:pt>
                <c:pt idx="54">
                  <c:v>0.57363397262694793</c:v>
                </c:pt>
                <c:pt idx="55">
                  <c:v>0.52720996631498607</c:v>
                </c:pt>
                <c:pt idx="56">
                  <c:v>0.47802361171325547</c:v>
                </c:pt>
                <c:pt idx="57">
                  <c:v>0.43566962206045462</c:v>
                </c:pt>
                <c:pt idx="58">
                  <c:v>0.39853435003667398</c:v>
                </c:pt>
                <c:pt idx="59">
                  <c:v>0.36454548062004027</c:v>
                </c:pt>
                <c:pt idx="60">
                  <c:v>0.33358127738781618</c:v>
                </c:pt>
                <c:pt idx="61">
                  <c:v>0.30396187098504079</c:v>
                </c:pt>
                <c:pt idx="62">
                  <c:v>0.27887732505432777</c:v>
                </c:pt>
                <c:pt idx="63">
                  <c:v>0.255109409499919</c:v>
                </c:pt>
                <c:pt idx="64">
                  <c:v>0.23277917288670857</c:v>
                </c:pt>
                <c:pt idx="65">
                  <c:v>0.21335546738206659</c:v>
                </c:pt>
                <c:pt idx="66">
                  <c:v>0.19437738176420538</c:v>
                </c:pt>
                <c:pt idx="67">
                  <c:v>0.17808868433959235</c:v>
                </c:pt>
                <c:pt idx="68">
                  <c:v>0.16219944379727513</c:v>
                </c:pt>
                <c:pt idx="69">
                  <c:v>0.14856635782802288</c:v>
                </c:pt>
                <c:pt idx="70">
                  <c:v>0.13577982390581522</c:v>
                </c:pt>
                <c:pt idx="71">
                  <c:v>0.1243362427377811</c:v>
                </c:pt>
                <c:pt idx="72">
                  <c:v>0.11333542830346993</c:v>
                </c:pt>
                <c:pt idx="73">
                  <c:v>0.10428460034123785</c:v>
                </c:pt>
                <c:pt idx="74">
                  <c:v>9.5176186422167297E-2</c:v>
                </c:pt>
                <c:pt idx="75">
                  <c:v>8.6844724308491855E-2</c:v>
                </c:pt>
                <c:pt idx="76">
                  <c:v>7.9298057819687087E-2</c:v>
                </c:pt>
                <c:pt idx="77">
                  <c:v>7.2496422865300586E-2</c:v>
                </c:pt>
                <c:pt idx="78">
                  <c:v>6.6265969179444786E-2</c:v>
                </c:pt>
                <c:pt idx="79">
                  <c:v>6.0371887689211014E-2</c:v>
                </c:pt>
                <c:pt idx="80">
                  <c:v>5.5212146869247351E-2</c:v>
                </c:pt>
                <c:pt idx="81">
                  <c:v>5.0604823666206777E-2</c:v>
                </c:pt>
                <c:pt idx="82">
                  <c:v>4.6124859360437316E-2</c:v>
                </c:pt>
                <c:pt idx="83">
                  <c:v>4.2199939142443563E-2</c:v>
                </c:pt>
                <c:pt idx="84">
                  <c:v>3.8605783766158371E-2</c:v>
                </c:pt>
                <c:pt idx="85">
                  <c:v>3.5250328461990603E-2</c:v>
                </c:pt>
                <c:pt idx="86">
                  <c:v>3.2237145064467225E-2</c:v>
                </c:pt>
                <c:pt idx="87">
                  <c:v>2.9459380698161338E-2</c:v>
                </c:pt>
                <c:pt idx="88">
                  <c:v>2.6908937940665626E-2</c:v>
                </c:pt>
                <c:pt idx="89">
                  <c:v>2.4619605451223006E-2</c:v>
                </c:pt>
                <c:pt idx="90">
                  <c:v>2.2539424474256321E-2</c:v>
                </c:pt>
                <c:pt idx="91">
                  <c:v>2.0581813513890813E-2</c:v>
                </c:pt>
                <c:pt idx="92">
                  <c:v>1.8811482268895431E-2</c:v>
                </c:pt>
                <c:pt idx="93">
                  <c:v>1.7183361918673711E-2</c:v>
                </c:pt>
                <c:pt idx="94">
                  <c:v>1.5724884582937599E-2</c:v>
                </c:pt>
                <c:pt idx="95">
                  <c:v>1.436154293714934E-2</c:v>
                </c:pt>
                <c:pt idx="96">
                  <c:v>1.3133524256094906E-2</c:v>
                </c:pt>
                <c:pt idx="97">
                  <c:v>1.2006590883682548E-2</c:v>
                </c:pt>
                <c:pt idx="98">
                  <c:v>1.0970354509434361E-2</c:v>
                </c:pt>
                <c:pt idx="99">
                  <c:v>1.0024275993738275E-2</c:v>
                </c:pt>
                <c:pt idx="100">
                  <c:v>9.182314629690989E-3</c:v>
                </c:pt>
                <c:pt idx="101">
                  <c:v>8.4047553538629804E-3</c:v>
                </c:pt>
                <c:pt idx="102">
                  <c:v>7.6404641881677718E-3</c:v>
                </c:pt>
                <c:pt idx="103">
                  <c:v>7.0039441116063837E-3</c:v>
                </c:pt>
                <c:pt idx="104">
                  <c:v>6.3889599978042607E-3</c:v>
                </c:pt>
                <c:pt idx="105">
                  <c:v>5.8426729516028193E-3</c:v>
                </c:pt>
                <c:pt idx="106">
                  <c:v>5.3555682693370767E-3</c:v>
                </c:pt>
                <c:pt idx="107">
                  <c:v>4.89886701986114E-3</c:v>
                </c:pt>
                <c:pt idx="108">
                  <c:v>4.4771721458257332E-3</c:v>
                </c:pt>
                <c:pt idx="109">
                  <c:v>4.0910117402937814E-3</c:v>
                </c:pt>
                <c:pt idx="110">
                  <c:v>3.7283673612884408E-3</c:v>
                </c:pt>
                <c:pt idx="111">
                  <c:v>3.4140379495652047E-3</c:v>
                </c:pt>
                <c:pt idx="112">
                  <c:v>3.1217406119539745E-3</c:v>
                </c:pt>
                <c:pt idx="113">
                  <c:v>2.8527228078511148E-3</c:v>
                </c:pt>
                <c:pt idx="114">
                  <c:v>2.6076406391057232E-3</c:v>
                </c:pt>
                <c:pt idx="115">
                  <c:v>2.3858674412480089E-3</c:v>
                </c:pt>
                <c:pt idx="116">
                  <c:v>2.1811001060599929E-3</c:v>
                </c:pt>
                <c:pt idx="117">
                  <c:v>1.9940895994064126E-3</c:v>
                </c:pt>
                <c:pt idx="118">
                  <c:v>1.8369412971279782E-3</c:v>
                </c:pt>
              </c:numCache>
            </c:numRef>
          </c:xVal>
          <c:yVal>
            <c:numRef>
              <c:f>Table!$J$18:$J$136</c:f>
              <c:numCache>
                <c:formatCode>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2.9366936973077257E-2</c:v>
                </c:pt>
                <c:pt idx="24">
                  <c:v>7.3535730785872264E-2</c:v>
                </c:pt>
                <c:pt idx="25">
                  <c:v>0.28983368685220084</c:v>
                </c:pt>
                <c:pt idx="26">
                  <c:v>1.1460152312887404</c:v>
                </c:pt>
                <c:pt idx="27">
                  <c:v>3.3197030174320821</c:v>
                </c:pt>
                <c:pt idx="28">
                  <c:v>2.8065302025912064</c:v>
                </c:pt>
                <c:pt idx="29">
                  <c:v>1.6569442810537711</c:v>
                </c:pt>
                <c:pt idx="30">
                  <c:v>1.1007126447695381</c:v>
                </c:pt>
                <c:pt idx="31">
                  <c:v>0.81342007595920574</c:v>
                </c:pt>
                <c:pt idx="32">
                  <c:v>0.5773519173514845</c:v>
                </c:pt>
                <c:pt idx="33">
                  <c:v>0.4707693016464457</c:v>
                </c:pt>
                <c:pt idx="34">
                  <c:v>1.2868981488750986</c:v>
                </c:pt>
                <c:pt idx="35">
                  <c:v>0.22335846817248908</c:v>
                </c:pt>
                <c:pt idx="36">
                  <c:v>0.56456213277035694</c:v>
                </c:pt>
                <c:pt idx="37">
                  <c:v>0.40365031773487903</c:v>
                </c:pt>
                <c:pt idx="38">
                  <c:v>0.31469633005361836</c:v>
                </c:pt>
                <c:pt idx="39">
                  <c:v>0.50219029962747641</c:v>
                </c:pt>
                <c:pt idx="40">
                  <c:v>0.23798749903248709</c:v>
                </c:pt>
                <c:pt idx="41">
                  <c:v>0.33039221163276339</c:v>
                </c:pt>
                <c:pt idx="42">
                  <c:v>0.27970409151285258</c:v>
                </c:pt>
                <c:pt idx="43">
                  <c:v>0.26971350889518575</c:v>
                </c:pt>
                <c:pt idx="44">
                  <c:v>0.22149826046239265</c:v>
                </c:pt>
                <c:pt idx="45">
                  <c:v>0.20547583170540876</c:v>
                </c:pt>
                <c:pt idx="46">
                  <c:v>0.2260699182878981</c:v>
                </c:pt>
                <c:pt idx="47">
                  <c:v>0.19545598871472003</c:v>
                </c:pt>
                <c:pt idx="48">
                  <c:v>0.18416733108090841</c:v>
                </c:pt>
                <c:pt idx="49">
                  <c:v>0.19607326644866557</c:v>
                </c:pt>
                <c:pt idx="50">
                  <c:v>0.16901522404290248</c:v>
                </c:pt>
                <c:pt idx="51">
                  <c:v>0.18617021852539573</c:v>
                </c:pt>
                <c:pt idx="52">
                  <c:v>0.18136531148837248</c:v>
                </c:pt>
                <c:pt idx="53">
                  <c:v>0.18025851076717112</c:v>
                </c:pt>
                <c:pt idx="54">
                  <c:v>0.17963427049170666</c:v>
                </c:pt>
                <c:pt idx="55">
                  <c:v>0.19634474941149002</c:v>
                </c:pt>
                <c:pt idx="56">
                  <c:v>0.1724918281024326</c:v>
                </c:pt>
                <c:pt idx="57">
                  <c:v>0.18284091574279376</c:v>
                </c:pt>
                <c:pt idx="58">
                  <c:v>0.18724425380103041</c:v>
                </c:pt>
                <c:pt idx="59">
                  <c:v>0.19387262679050407</c:v>
                </c:pt>
                <c:pt idx="60">
                  <c:v>0.20066081654537488</c:v>
                </c:pt>
                <c:pt idx="61">
                  <c:v>0.18990990592518781</c:v>
                </c:pt>
                <c:pt idx="62">
                  <c:v>0.21095403962752393</c:v>
                </c:pt>
                <c:pt idx="63">
                  <c:v>0.20736122254849584</c:v>
                </c:pt>
                <c:pt idx="64">
                  <c:v>0.19804264019354623</c:v>
                </c:pt>
                <c:pt idx="65">
                  <c:v>0.21047813780133845</c:v>
                </c:pt>
                <c:pt idx="66">
                  <c:v>0.20556808478013366</c:v>
                </c:pt>
                <c:pt idx="67">
                  <c:v>0.21108706947376774</c:v>
                </c:pt>
                <c:pt idx="68">
                  <c:v>0.20184875908260769</c:v>
                </c:pt>
                <c:pt idx="69">
                  <c:v>0.21379075143203774</c:v>
                </c:pt>
                <c:pt idx="70">
                  <c:v>0.20738535776368303</c:v>
                </c:pt>
                <c:pt idx="71">
                  <c:v>0.21172583070314061</c:v>
                </c:pt>
                <c:pt idx="72">
                  <c:v>0.20503116098546686</c:v>
                </c:pt>
                <c:pt idx="73">
                  <c:v>0.2064553633918004</c:v>
                </c:pt>
                <c:pt idx="74">
                  <c:v>0.20574641312212305</c:v>
                </c:pt>
                <c:pt idx="75">
                  <c:v>0.19909204230717104</c:v>
                </c:pt>
                <c:pt idx="76">
                  <c:v>0.20501546840992904</c:v>
                </c:pt>
                <c:pt idx="77">
                  <c:v>0.19737732117213372</c:v>
                </c:pt>
                <c:pt idx="78">
                  <c:v>0.18977180358304438</c:v>
                </c:pt>
                <c:pt idx="79">
                  <c:v>0.19211340133687591</c:v>
                </c:pt>
                <c:pt idx="80">
                  <c:v>0.19387777197916856</c:v>
                </c:pt>
                <c:pt idx="81">
                  <c:v>0.18491484130221716</c:v>
                </c:pt>
                <c:pt idx="82">
                  <c:v>0.17404498514244943</c:v>
                </c:pt>
                <c:pt idx="83">
                  <c:v>0.16790546120102814</c:v>
                </c:pt>
                <c:pt idx="84">
                  <c:v>0.16211508925832202</c:v>
                </c:pt>
                <c:pt idx="85">
                  <c:v>0.16552565103166714</c:v>
                </c:pt>
                <c:pt idx="86">
                  <c:v>0.14057217631294475</c:v>
                </c:pt>
                <c:pt idx="87">
                  <c:v>0.13655645388745685</c:v>
                </c:pt>
                <c:pt idx="88">
                  <c:v>0.12854481220673725</c:v>
                </c:pt>
                <c:pt idx="89">
                  <c:v>0.1307165735788903</c:v>
                </c:pt>
                <c:pt idx="90">
                  <c:v>0.11853919297185583</c:v>
                </c:pt>
                <c:pt idx="91">
                  <c:v>0.10577919336108106</c:v>
                </c:pt>
                <c:pt idx="92">
                  <c:v>0.1118650496952073</c:v>
                </c:pt>
                <c:pt idx="93">
                  <c:v>0.10026710933520259</c:v>
                </c:pt>
                <c:pt idx="94">
                  <c:v>0.10549416006578288</c:v>
                </c:pt>
                <c:pt idx="95">
                  <c:v>8.8996032675945178E-2</c:v>
                </c:pt>
                <c:pt idx="96">
                  <c:v>6.3800564355492667E-2</c:v>
                </c:pt>
                <c:pt idx="97">
                  <c:v>6.5809928315409785E-2</c:v>
                </c:pt>
                <c:pt idx="98">
                  <c:v>5.5997640924316042E-2</c:v>
                </c:pt>
                <c:pt idx="99">
                  <c:v>5.1715239366466749E-2</c:v>
                </c:pt>
                <c:pt idx="100">
                  <c:v>5.0844498336392638E-2</c:v>
                </c:pt>
                <c:pt idx="101">
                  <c:v>3.106754119116991E-2</c:v>
                </c:pt>
                <c:pt idx="102">
                  <c:v>2.0719504388430458E-2</c:v>
                </c:pt>
                <c:pt idx="103">
                  <c:v>1.4737807662011744E-2</c:v>
                </c:pt>
                <c:pt idx="104">
                  <c:v>4.4071534415695529E-2</c:v>
                </c:pt>
                <c:pt idx="105">
                  <c:v>2.82327346446451E-2</c:v>
                </c:pt>
                <c:pt idx="106">
                  <c:v>1.6835295974409119E-2</c:v>
                </c:pt>
                <c:pt idx="107">
                  <c:v>1.4733769970630049E-2</c:v>
                </c:pt>
                <c:pt idx="108">
                  <c:v>2.3453196014031501E-2</c:v>
                </c:pt>
                <c:pt idx="109">
                  <c:v>3.1760207748309621E-2</c:v>
                </c:pt>
                <c:pt idx="110">
                  <c:v>4.0157455735841249E-3</c:v>
                </c:pt>
                <c:pt idx="111">
                  <c:v>2.2110287788504022E-2</c:v>
                </c:pt>
                <c:pt idx="112">
                  <c:v>2.6902645200264523E-2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2.0743781886991175E-3</c:v>
                </c:pt>
                <c:pt idx="117">
                  <c:v>0</c:v>
                </c:pt>
                <c:pt idx="118">
                  <c:v>7.5455232929908462E-3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384640"/>
        <c:axId val="152386944"/>
      </c:scatterChart>
      <c:valAx>
        <c:axId val="152384640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7010695397441207"/>
              <c:y val="0.94084587941074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52386944"/>
        <c:crosses val="autoZero"/>
        <c:crossBetween val="midCat"/>
      </c:valAx>
      <c:valAx>
        <c:axId val="1523869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 Sw / d LOG Pore Throat Rad.</a:t>
                </a:r>
              </a:p>
            </c:rich>
          </c:tx>
          <c:layout>
            <c:manualLayout>
              <c:xMode val="edge"/>
              <c:yMode val="edge"/>
              <c:x val="2.6667382486280127E-2"/>
              <c:y val="0.307192675084412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52384640"/>
        <c:crossesAt val="1.0000000000000041E-3"/>
        <c:crossBetween val="midCat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solidFill>
        <a:sysClr val="windowText" lastClr="000000"/>
      </a:solidFill>
    </a:ln>
  </c:spPr>
  <c:txPr>
    <a:bodyPr/>
    <a:lstStyle/>
    <a:p>
      <a:pPr>
        <a:defRPr sz="9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966" r="0.75000000000000966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Normalized Pore Size Distribution VS Normalized Permeability</a:t>
            </a:r>
          </a:p>
        </c:rich>
      </c:tx>
      <c:layout>
        <c:manualLayout>
          <c:xMode val="edge"/>
          <c:yMode val="edge"/>
          <c:x val="0.2255588553160959"/>
          <c:y val="4.4207902105882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384661626489"/>
          <c:y val="0.16126507112319541"/>
          <c:w val="0.81528794194843257"/>
          <c:h val="0.67664041994752322"/>
        </c:manualLayout>
      </c:layout>
      <c:scatterChart>
        <c:scatterStyle val="smoothMarker"/>
        <c:varyColors val="0"/>
        <c:ser>
          <c:idx val="0"/>
          <c:order val="0"/>
          <c:tx>
            <c:v>Normalized Pore Size Distribution</c:v>
          </c:tx>
          <c:spPr>
            <a:ln w="15875">
              <a:solidFill>
                <a:schemeClr val="dk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75000"/>
                </a:schemeClr>
              </a:solidFill>
              <a:ln>
                <a:solidFill>
                  <a:schemeClr val="dk2">
                    <a:lumMod val="75000"/>
                  </a:schemeClr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72.286537145508575</c:v>
                </c:pt>
                <c:pt idx="1">
                  <c:v>68.750620075039478</c:v>
                </c:pt>
                <c:pt idx="2">
                  <c:v>60.654068692373613</c:v>
                </c:pt>
                <c:pt idx="3">
                  <c:v>54.520780522342882</c:v>
                </c:pt>
                <c:pt idx="4">
                  <c:v>50.56559122021995</c:v>
                </c:pt>
                <c:pt idx="5">
                  <c:v>46.328551172863165</c:v>
                </c:pt>
                <c:pt idx="6">
                  <c:v>42.524923817929988</c:v>
                </c:pt>
                <c:pt idx="7">
                  <c:v>38.892081662770181</c:v>
                </c:pt>
                <c:pt idx="8">
                  <c:v>35.317125925188783</c:v>
                </c:pt>
                <c:pt idx="9">
                  <c:v>32.311233638100141</c:v>
                </c:pt>
                <c:pt idx="10">
                  <c:v>29.42549730357587</c:v>
                </c:pt>
                <c:pt idx="11">
                  <c:v>26.987923271319225</c:v>
                </c:pt>
                <c:pt idx="12">
                  <c:v>24.687339938587478</c:v>
                </c:pt>
                <c:pt idx="13">
                  <c:v>22.699139169644518</c:v>
                </c:pt>
                <c:pt idx="14">
                  <c:v>20.716429040360243</c:v>
                </c:pt>
                <c:pt idx="15">
                  <c:v>18.918249488732712</c:v>
                </c:pt>
                <c:pt idx="16">
                  <c:v>17.310231777436726</c:v>
                </c:pt>
                <c:pt idx="17">
                  <c:v>15.829447535962005</c:v>
                </c:pt>
                <c:pt idx="18">
                  <c:v>14.469378063153094</c:v>
                </c:pt>
                <c:pt idx="19">
                  <c:v>13.228605988744606</c:v>
                </c:pt>
                <c:pt idx="20">
                  <c:v>12.084659016269589</c:v>
                </c:pt>
                <c:pt idx="21">
                  <c:v>11.045986921147863</c:v>
                </c:pt>
                <c:pt idx="22">
                  <c:v>10.120146624726701</c:v>
                </c:pt>
                <c:pt idx="23">
                  <c:v>9.1874817932378487</c:v>
                </c:pt>
                <c:pt idx="24">
                  <c:v>8.4747626031927741</c:v>
                </c:pt>
                <c:pt idx="25">
                  <c:v>7.6997972324929096</c:v>
                </c:pt>
                <c:pt idx="26">
                  <c:v>7.0543252632692992</c:v>
                </c:pt>
                <c:pt idx="27">
                  <c:v>6.4724517396568633</c:v>
                </c:pt>
                <c:pt idx="28">
                  <c:v>5.9125247569610604</c:v>
                </c:pt>
                <c:pt idx="29">
                  <c:v>5.3896153798000288</c:v>
                </c:pt>
                <c:pt idx="30">
                  <c:v>4.9288994400518895</c:v>
                </c:pt>
                <c:pt idx="31">
                  <c:v>4.4936021189789104</c:v>
                </c:pt>
                <c:pt idx="32">
                  <c:v>4.1049087302341585</c:v>
                </c:pt>
                <c:pt idx="33">
                  <c:v>3.7655926612690176</c:v>
                </c:pt>
                <c:pt idx="34">
                  <c:v>3.6534855881602222</c:v>
                </c:pt>
                <c:pt idx="35">
                  <c:v>3.0979896727832084</c:v>
                </c:pt>
                <c:pt idx="36">
                  <c:v>2.9094795312373183</c:v>
                </c:pt>
                <c:pt idx="37">
                  <c:v>2.6724317958522392</c:v>
                </c:pt>
                <c:pt idx="38">
                  <c:v>2.4074275943982211</c:v>
                </c:pt>
                <c:pt idx="39">
                  <c:v>2.2614893125016686</c:v>
                </c:pt>
                <c:pt idx="40">
                  <c:v>2.0077106588861491</c:v>
                </c:pt>
                <c:pt idx="41">
                  <c:v>1.8542124717843895</c:v>
                </c:pt>
                <c:pt idx="42">
                  <c:v>1.6899684630234806</c:v>
                </c:pt>
                <c:pt idx="43">
                  <c:v>1.5449167509816122</c:v>
                </c:pt>
                <c:pt idx="44">
                  <c:v>1.4087429729895526</c:v>
                </c:pt>
                <c:pt idx="45">
                  <c:v>1.2885061205359716</c:v>
                </c:pt>
                <c:pt idx="46">
                  <c:v>1.1810944520327769</c:v>
                </c:pt>
                <c:pt idx="47">
                  <c:v>1.0747973797628696</c:v>
                </c:pt>
                <c:pt idx="48">
                  <c:v>0.9778797537569458</c:v>
                </c:pt>
                <c:pt idx="49">
                  <c:v>0.90281364135808828</c:v>
                </c:pt>
                <c:pt idx="50">
                  <c:v>0.81833134190630974</c:v>
                </c:pt>
                <c:pt idx="51">
                  <c:v>0.75050789758130565</c:v>
                </c:pt>
                <c:pt idx="52">
                  <c:v>0.68522191894949602</c:v>
                </c:pt>
                <c:pt idx="53">
                  <c:v>0.62617320891809569</c:v>
                </c:pt>
                <c:pt idx="54">
                  <c:v>0.57363397262694793</c:v>
                </c:pt>
                <c:pt idx="55">
                  <c:v>0.52720996631498607</c:v>
                </c:pt>
                <c:pt idx="56">
                  <c:v>0.47802361171325547</c:v>
                </c:pt>
                <c:pt idx="57">
                  <c:v>0.43566962206045462</c:v>
                </c:pt>
                <c:pt idx="58">
                  <c:v>0.39853435003667398</c:v>
                </c:pt>
                <c:pt idx="59">
                  <c:v>0.36454548062004027</c:v>
                </c:pt>
                <c:pt idx="60">
                  <c:v>0.33358127738781618</c:v>
                </c:pt>
                <c:pt idx="61">
                  <c:v>0.30396187098504079</c:v>
                </c:pt>
                <c:pt idx="62">
                  <c:v>0.27887732505432777</c:v>
                </c:pt>
                <c:pt idx="63">
                  <c:v>0.255109409499919</c:v>
                </c:pt>
                <c:pt idx="64">
                  <c:v>0.23277917288670857</c:v>
                </c:pt>
                <c:pt idx="65">
                  <c:v>0.21335546738206659</c:v>
                </c:pt>
                <c:pt idx="66">
                  <c:v>0.19437738176420538</c:v>
                </c:pt>
                <c:pt idx="67">
                  <c:v>0.17808868433959235</c:v>
                </c:pt>
                <c:pt idx="68">
                  <c:v>0.16219944379727513</c:v>
                </c:pt>
                <c:pt idx="69">
                  <c:v>0.14856635782802288</c:v>
                </c:pt>
                <c:pt idx="70">
                  <c:v>0.13577982390581522</c:v>
                </c:pt>
                <c:pt idx="71">
                  <c:v>0.1243362427377811</c:v>
                </c:pt>
                <c:pt idx="72">
                  <c:v>0.11333542830346993</c:v>
                </c:pt>
                <c:pt idx="73">
                  <c:v>0.10428460034123785</c:v>
                </c:pt>
                <c:pt idx="74">
                  <c:v>9.5176186422167297E-2</c:v>
                </c:pt>
                <c:pt idx="75">
                  <c:v>8.6844724308491855E-2</c:v>
                </c:pt>
                <c:pt idx="76">
                  <c:v>7.9298057819687087E-2</c:v>
                </c:pt>
                <c:pt idx="77">
                  <c:v>7.2496422865300586E-2</c:v>
                </c:pt>
                <c:pt idx="78">
                  <c:v>6.6265969179444786E-2</c:v>
                </c:pt>
                <c:pt idx="79">
                  <c:v>6.0371887689211014E-2</c:v>
                </c:pt>
                <c:pt idx="80">
                  <c:v>5.5212146869247351E-2</c:v>
                </c:pt>
                <c:pt idx="81">
                  <c:v>5.0604823666206777E-2</c:v>
                </c:pt>
                <c:pt idx="82">
                  <c:v>4.6124859360437316E-2</c:v>
                </c:pt>
                <c:pt idx="83">
                  <c:v>4.2199939142443563E-2</c:v>
                </c:pt>
                <c:pt idx="84">
                  <c:v>3.8605783766158371E-2</c:v>
                </c:pt>
                <c:pt idx="85">
                  <c:v>3.5250328461990603E-2</c:v>
                </c:pt>
                <c:pt idx="86">
                  <c:v>3.2237145064467225E-2</c:v>
                </c:pt>
                <c:pt idx="87">
                  <c:v>2.9459380698161338E-2</c:v>
                </c:pt>
                <c:pt idx="88">
                  <c:v>2.6908937940665626E-2</c:v>
                </c:pt>
                <c:pt idx="89">
                  <c:v>2.4619605451223006E-2</c:v>
                </c:pt>
                <c:pt idx="90">
                  <c:v>2.2539424474256321E-2</c:v>
                </c:pt>
                <c:pt idx="91">
                  <c:v>2.0581813513890813E-2</c:v>
                </c:pt>
                <c:pt idx="92">
                  <c:v>1.8811482268895431E-2</c:v>
                </c:pt>
                <c:pt idx="93">
                  <c:v>1.7183361918673711E-2</c:v>
                </c:pt>
                <c:pt idx="94">
                  <c:v>1.5724884582937599E-2</c:v>
                </c:pt>
                <c:pt idx="95">
                  <c:v>1.436154293714934E-2</c:v>
                </c:pt>
                <c:pt idx="96">
                  <c:v>1.3133524256094906E-2</c:v>
                </c:pt>
                <c:pt idx="97">
                  <c:v>1.2006590883682548E-2</c:v>
                </c:pt>
                <c:pt idx="98">
                  <c:v>1.0970354509434361E-2</c:v>
                </c:pt>
                <c:pt idx="99">
                  <c:v>1.0024275993738275E-2</c:v>
                </c:pt>
                <c:pt idx="100">
                  <c:v>9.182314629690989E-3</c:v>
                </c:pt>
                <c:pt idx="101">
                  <c:v>8.4047553538629804E-3</c:v>
                </c:pt>
                <c:pt idx="102">
                  <c:v>7.6404641881677718E-3</c:v>
                </c:pt>
                <c:pt idx="103">
                  <c:v>7.0039441116063837E-3</c:v>
                </c:pt>
                <c:pt idx="104">
                  <c:v>6.3889599978042607E-3</c:v>
                </c:pt>
                <c:pt idx="105">
                  <c:v>5.8426729516028193E-3</c:v>
                </c:pt>
                <c:pt idx="106">
                  <c:v>5.3555682693370767E-3</c:v>
                </c:pt>
                <c:pt idx="107">
                  <c:v>4.89886701986114E-3</c:v>
                </c:pt>
                <c:pt idx="108">
                  <c:v>4.4771721458257332E-3</c:v>
                </c:pt>
                <c:pt idx="109">
                  <c:v>4.0910117402937814E-3</c:v>
                </c:pt>
                <c:pt idx="110">
                  <c:v>3.7283673612884408E-3</c:v>
                </c:pt>
                <c:pt idx="111">
                  <c:v>3.4140379495652047E-3</c:v>
                </c:pt>
                <c:pt idx="112">
                  <c:v>3.1217406119539745E-3</c:v>
                </c:pt>
                <c:pt idx="113">
                  <c:v>2.8527228078511148E-3</c:v>
                </c:pt>
                <c:pt idx="114">
                  <c:v>2.6076406391057232E-3</c:v>
                </c:pt>
                <c:pt idx="115">
                  <c:v>2.3858674412480089E-3</c:v>
                </c:pt>
                <c:pt idx="116">
                  <c:v>2.1811001060599929E-3</c:v>
                </c:pt>
                <c:pt idx="117">
                  <c:v>1.9940895994064126E-3</c:v>
                </c:pt>
                <c:pt idx="118">
                  <c:v>1.8369412971279782E-3</c:v>
                </c:pt>
              </c:numCache>
            </c:numRef>
          </c:xVal>
          <c:yVal>
            <c:numRef>
              <c:f>Table!$S$18:$S$136</c:f>
              <c:numCache>
                <c:formatCode>????0.000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9.9355490264522485E-3</c:v>
                </c:pt>
                <c:pt idx="24">
                  <c:v>2.0778073552218019E-2</c:v>
                </c:pt>
                <c:pt idx="25">
                  <c:v>9.7258989716100433E-2</c:v>
                </c:pt>
                <c:pt idx="26">
                  <c:v>0.35109941361678637</c:v>
                </c:pt>
                <c:pt idx="27">
                  <c:v>1</c:v>
                </c:pt>
                <c:pt idx="28">
                  <c:v>0.88858810882551642</c:v>
                </c:pt>
                <c:pt idx="29">
                  <c:v>0.53688618162995483</c:v>
                </c:pt>
                <c:pt idx="30">
                  <c:v>0.34417336781696922</c:v>
                </c:pt>
                <c:pt idx="31">
                  <c:v>0.26317359981227872</c:v>
                </c:pt>
                <c:pt idx="32">
                  <c:v>0.18277593676406481</c:v>
                </c:pt>
                <c:pt idx="33">
                  <c:v>0.14212741640073015</c:v>
                </c:pt>
                <c:pt idx="34">
                  <c:v>0.13610018250440845</c:v>
                </c:pt>
                <c:pt idx="35">
                  <c:v>0.12890385715953667</c:v>
                </c:pt>
                <c:pt idx="36">
                  <c:v>0.12402119957000696</c:v>
                </c:pt>
                <c:pt idx="37">
                  <c:v>0.1200377562100106</c:v>
                </c:pt>
                <c:pt idx="38">
                  <c:v>0.11499675747990799</c:v>
                </c:pt>
                <c:pt idx="39">
                  <c:v>0.10989079466923593</c:v>
                </c:pt>
                <c:pt idx="40">
                  <c:v>9.9122779865668281E-2</c:v>
                </c:pt>
                <c:pt idx="41">
                  <c:v>9.1951049909024113E-2</c:v>
                </c:pt>
                <c:pt idx="42">
                  <c:v>9.0778303913038802E-2</c:v>
                </c:pt>
                <c:pt idx="43">
                  <c:v>8.4694735136645674E-2</c:v>
                </c:pt>
                <c:pt idx="44">
                  <c:v>7.1517074640277151E-2</c:v>
                </c:pt>
                <c:pt idx="45">
                  <c:v>6.414511975748903E-2</c:v>
                </c:pt>
                <c:pt idx="46">
                  <c:v>6.8855717611753797E-2</c:v>
                </c:pt>
                <c:pt idx="47">
                  <c:v>6.450184702386591E-2</c:v>
                </c:pt>
                <c:pt idx="48">
                  <c:v>6.0899841464765153E-2</c:v>
                </c:pt>
                <c:pt idx="49">
                  <c:v>5.4799110551842868E-2</c:v>
                </c:pt>
                <c:pt idx="50">
                  <c:v>5.8106090811607121E-2</c:v>
                </c:pt>
                <c:pt idx="51">
                  <c:v>5.636127359806474E-2</c:v>
                </c:pt>
                <c:pt idx="52">
                  <c:v>5.7756310124302018E-2</c:v>
                </c:pt>
                <c:pt idx="53">
                  <c:v>5.6841404798513413E-2</c:v>
                </c:pt>
                <c:pt idx="54">
                  <c:v>5.5085554782918815E-2</c:v>
                </c:pt>
                <c:pt idx="55">
                  <c:v>5.798186963293691E-2</c:v>
                </c:pt>
                <c:pt idx="56">
                  <c:v>5.9114162021397715E-2</c:v>
                </c:pt>
                <c:pt idx="57">
                  <c:v>5.9357700911156594E-2</c:v>
                </c:pt>
                <c:pt idx="58">
                  <c:v>5.837251255006707E-2</c:v>
                </c:pt>
                <c:pt idx="59">
                  <c:v>6.0474057029984533E-2</c:v>
                </c:pt>
                <c:pt idx="60">
                  <c:v>6.2326341907965835E-2</c:v>
                </c:pt>
                <c:pt idx="61">
                  <c:v>6.1791046697254277E-2</c:v>
                </c:pt>
                <c:pt idx="62">
                  <c:v>6.3578769252111936E-2</c:v>
                </c:pt>
                <c:pt idx="63">
                  <c:v>6.4635875137692061E-2</c:v>
                </c:pt>
                <c:pt idx="64">
                  <c:v>6.3479474033636588E-2</c:v>
                </c:pt>
                <c:pt idx="65">
                  <c:v>6.4172088829175022E-2</c:v>
                </c:pt>
                <c:pt idx="66">
                  <c:v>6.7010787935141244E-2</c:v>
                </c:pt>
                <c:pt idx="67">
                  <c:v>6.464527345055282E-2</c:v>
                </c:pt>
                <c:pt idx="68">
                  <c:v>6.6008028815227382E-2</c:v>
                </c:pt>
                <c:pt idx="69">
                  <c:v>6.5679087865132227E-2</c:v>
                </c:pt>
                <c:pt idx="70">
                  <c:v>6.5309284685215588E-2</c:v>
                </c:pt>
                <c:pt idx="71">
                  <c:v>6.5230011959352671E-2</c:v>
                </c:pt>
                <c:pt idx="72">
                  <c:v>6.646241681088455E-2</c:v>
                </c:pt>
                <c:pt idx="73">
                  <c:v>6.0126319454170546E-2</c:v>
                </c:pt>
                <c:pt idx="74">
                  <c:v>6.5798814198521433E-2</c:v>
                </c:pt>
                <c:pt idx="75">
                  <c:v>6.3819856408080938E-2</c:v>
                </c:pt>
                <c:pt idx="76">
                  <c:v>6.5216527423511458E-2</c:v>
                </c:pt>
                <c:pt idx="77">
                  <c:v>6.1936107613133541E-2</c:v>
                </c:pt>
                <c:pt idx="78">
                  <c:v>5.9671931458513371E-2</c:v>
                </c:pt>
                <c:pt idx="79">
                  <c:v>6.2621367207304129E-2</c:v>
                </c:pt>
                <c:pt idx="80">
                  <c:v>6.0610128255302695E-2</c:v>
                </c:pt>
                <c:pt idx="81">
                  <c:v>5.6381704712977716E-2</c:v>
                </c:pt>
                <c:pt idx="82">
                  <c:v>5.6452804992874375E-2</c:v>
                </c:pt>
                <c:pt idx="83">
                  <c:v>5.2251350522234487E-2</c:v>
                </c:pt>
                <c:pt idx="84">
                  <c:v>5.0496726373535278E-2</c:v>
                </c:pt>
                <c:pt idx="85">
                  <c:v>5.2665693532664128E-2</c:v>
                </c:pt>
                <c:pt idx="86">
                  <c:v>4.3953048889307685E-2</c:v>
                </c:pt>
                <c:pt idx="87">
                  <c:v>4.3056531566940941E-2</c:v>
                </c:pt>
                <c:pt idx="88">
                  <c:v>4.0731470689879708E-2</c:v>
                </c:pt>
                <c:pt idx="89">
                  <c:v>4.0670177345142569E-2</c:v>
                </c:pt>
                <c:pt idx="90">
                  <c:v>3.6616644146469694E-2</c:v>
                </c:pt>
                <c:pt idx="91">
                  <c:v>3.3630432390836122E-2</c:v>
                </c:pt>
                <c:pt idx="92">
                  <c:v>3.5206079972900095E-2</c:v>
                </c:pt>
                <c:pt idx="93">
                  <c:v>3.1761393998626208E-2</c:v>
                </c:pt>
                <c:pt idx="94">
                  <c:v>3.2742087514432951E-2</c:v>
                </c:pt>
                <c:pt idx="95">
                  <c:v>2.8242338766069165E-2</c:v>
                </c:pt>
                <c:pt idx="96">
                  <c:v>1.995547855749424E-2</c:v>
                </c:pt>
                <c:pt idx="97">
                  <c:v>2.0659126155085788E-2</c:v>
                </c:pt>
                <c:pt idx="98">
                  <c:v>1.7685990312995548E-2</c:v>
                </c:pt>
                <c:pt idx="99">
                  <c:v>1.6320374592232349E-2</c:v>
                </c:pt>
                <c:pt idx="100">
                  <c:v>1.5608554548676327E-2</c:v>
                </c:pt>
                <c:pt idx="101">
                  <c:v>9.6189689008800219E-3</c:v>
                </c:pt>
                <c:pt idx="102">
                  <c:v>6.9122547972515196E-3</c:v>
                </c:pt>
                <c:pt idx="103">
                  <c:v>4.4858555902238225E-3</c:v>
                </c:pt>
                <c:pt idx="104">
                  <c:v>1.4172655792613993E-2</c:v>
                </c:pt>
                <c:pt idx="105">
                  <c:v>8.8303278652527486E-3</c:v>
                </c:pt>
                <c:pt idx="106">
                  <c:v>5.1282098430773361E-3</c:v>
                </c:pt>
                <c:pt idx="107">
                  <c:v>4.5953663661556553E-3</c:v>
                </c:pt>
                <c:pt idx="108">
                  <c:v>7.3870739078207778E-3</c:v>
                </c:pt>
                <c:pt idx="109">
                  <c:v>1.0024322220748562E-2</c:v>
                </c:pt>
                <c:pt idx="110">
                  <c:v>1.304322376024272E-3</c:v>
                </c:pt>
                <c:pt idx="111">
                  <c:v>6.8141854456706666E-3</c:v>
                </c:pt>
                <c:pt idx="112">
                  <c:v>8.4257917899817295E-3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6.5134394341461507E-4</c:v>
                </c:pt>
                <c:pt idx="117">
                  <c:v>0</c:v>
                </c:pt>
                <c:pt idx="118">
                  <c:v>2.1673326699355997E-3</c:v>
                </c:pt>
              </c:numCache>
            </c:numRef>
          </c:yVal>
          <c:smooth val="1"/>
        </c:ser>
        <c:ser>
          <c:idx val="1"/>
          <c:order val="1"/>
          <c:tx>
            <c:v>Normalized Permeability</c:v>
          </c:tx>
          <c:marker>
            <c:symbol val="circle"/>
            <c:size val="5"/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72.286537145508575</c:v>
                </c:pt>
                <c:pt idx="1">
                  <c:v>68.750620075039478</c:v>
                </c:pt>
                <c:pt idx="2">
                  <c:v>60.654068692373613</c:v>
                </c:pt>
                <c:pt idx="3">
                  <c:v>54.520780522342882</c:v>
                </c:pt>
                <c:pt idx="4">
                  <c:v>50.56559122021995</c:v>
                </c:pt>
                <c:pt idx="5">
                  <c:v>46.328551172863165</c:v>
                </c:pt>
                <c:pt idx="6">
                  <c:v>42.524923817929988</c:v>
                </c:pt>
                <c:pt idx="7">
                  <c:v>38.892081662770181</c:v>
                </c:pt>
                <c:pt idx="8">
                  <c:v>35.317125925188783</c:v>
                </c:pt>
                <c:pt idx="9">
                  <c:v>32.311233638100141</c:v>
                </c:pt>
                <c:pt idx="10">
                  <c:v>29.42549730357587</c:v>
                </c:pt>
                <c:pt idx="11">
                  <c:v>26.987923271319225</c:v>
                </c:pt>
                <c:pt idx="12">
                  <c:v>24.687339938587478</c:v>
                </c:pt>
                <c:pt idx="13">
                  <c:v>22.699139169644518</c:v>
                </c:pt>
                <c:pt idx="14">
                  <c:v>20.716429040360243</c:v>
                </c:pt>
                <c:pt idx="15">
                  <c:v>18.918249488732712</c:v>
                </c:pt>
                <c:pt idx="16">
                  <c:v>17.310231777436726</c:v>
                </c:pt>
                <c:pt idx="17">
                  <c:v>15.829447535962005</c:v>
                </c:pt>
                <c:pt idx="18">
                  <c:v>14.469378063153094</c:v>
                </c:pt>
                <c:pt idx="19">
                  <c:v>13.228605988744606</c:v>
                </c:pt>
                <c:pt idx="20">
                  <c:v>12.084659016269589</c:v>
                </c:pt>
                <c:pt idx="21">
                  <c:v>11.045986921147863</c:v>
                </c:pt>
                <c:pt idx="22">
                  <c:v>10.120146624726701</c:v>
                </c:pt>
                <c:pt idx="23">
                  <c:v>9.1874817932378487</c:v>
                </c:pt>
                <c:pt idx="24">
                  <c:v>8.4747626031927741</c:v>
                </c:pt>
                <c:pt idx="25">
                  <c:v>7.6997972324929096</c:v>
                </c:pt>
                <c:pt idx="26">
                  <c:v>7.0543252632692992</c:v>
                </c:pt>
                <c:pt idx="27">
                  <c:v>6.4724517396568633</c:v>
                </c:pt>
                <c:pt idx="28">
                  <c:v>5.9125247569610604</c:v>
                </c:pt>
                <c:pt idx="29">
                  <c:v>5.3896153798000288</c:v>
                </c:pt>
                <c:pt idx="30">
                  <c:v>4.9288994400518895</c:v>
                </c:pt>
                <c:pt idx="31">
                  <c:v>4.4936021189789104</c:v>
                </c:pt>
                <c:pt idx="32">
                  <c:v>4.1049087302341585</c:v>
                </c:pt>
                <c:pt idx="33">
                  <c:v>3.7655926612690176</c:v>
                </c:pt>
                <c:pt idx="34">
                  <c:v>3.6534855881602222</c:v>
                </c:pt>
                <c:pt idx="35">
                  <c:v>3.0979896727832084</c:v>
                </c:pt>
                <c:pt idx="36">
                  <c:v>2.9094795312373183</c:v>
                </c:pt>
                <c:pt idx="37">
                  <c:v>2.6724317958522392</c:v>
                </c:pt>
                <c:pt idx="38">
                  <c:v>2.4074275943982211</c:v>
                </c:pt>
                <c:pt idx="39">
                  <c:v>2.2614893125016686</c:v>
                </c:pt>
                <c:pt idx="40">
                  <c:v>2.0077106588861491</c:v>
                </c:pt>
                <c:pt idx="41">
                  <c:v>1.8542124717843895</c:v>
                </c:pt>
                <c:pt idx="42">
                  <c:v>1.6899684630234806</c:v>
                </c:pt>
                <c:pt idx="43">
                  <c:v>1.5449167509816122</c:v>
                </c:pt>
                <c:pt idx="44">
                  <c:v>1.4087429729895526</c:v>
                </c:pt>
                <c:pt idx="45">
                  <c:v>1.2885061205359716</c:v>
                </c:pt>
                <c:pt idx="46">
                  <c:v>1.1810944520327769</c:v>
                </c:pt>
                <c:pt idx="47">
                  <c:v>1.0747973797628696</c:v>
                </c:pt>
                <c:pt idx="48">
                  <c:v>0.9778797537569458</c:v>
                </c:pt>
                <c:pt idx="49">
                  <c:v>0.90281364135808828</c:v>
                </c:pt>
                <c:pt idx="50">
                  <c:v>0.81833134190630974</c:v>
                </c:pt>
                <c:pt idx="51">
                  <c:v>0.75050789758130565</c:v>
                </c:pt>
                <c:pt idx="52">
                  <c:v>0.68522191894949602</c:v>
                </c:pt>
                <c:pt idx="53">
                  <c:v>0.62617320891809569</c:v>
                </c:pt>
                <c:pt idx="54">
                  <c:v>0.57363397262694793</c:v>
                </c:pt>
                <c:pt idx="55">
                  <c:v>0.52720996631498607</c:v>
                </c:pt>
                <c:pt idx="56">
                  <c:v>0.47802361171325547</c:v>
                </c:pt>
                <c:pt idx="57">
                  <c:v>0.43566962206045462</c:v>
                </c:pt>
                <c:pt idx="58">
                  <c:v>0.39853435003667398</c:v>
                </c:pt>
                <c:pt idx="59">
                  <c:v>0.36454548062004027</c:v>
                </c:pt>
                <c:pt idx="60">
                  <c:v>0.33358127738781618</c:v>
                </c:pt>
                <c:pt idx="61">
                  <c:v>0.30396187098504079</c:v>
                </c:pt>
                <c:pt idx="62">
                  <c:v>0.27887732505432777</c:v>
                </c:pt>
                <c:pt idx="63">
                  <c:v>0.255109409499919</c:v>
                </c:pt>
                <c:pt idx="64">
                  <c:v>0.23277917288670857</c:v>
                </c:pt>
                <c:pt idx="65">
                  <c:v>0.21335546738206659</c:v>
                </c:pt>
                <c:pt idx="66">
                  <c:v>0.19437738176420538</c:v>
                </c:pt>
                <c:pt idx="67">
                  <c:v>0.17808868433959235</c:v>
                </c:pt>
                <c:pt idx="68">
                  <c:v>0.16219944379727513</c:v>
                </c:pt>
                <c:pt idx="69">
                  <c:v>0.14856635782802288</c:v>
                </c:pt>
                <c:pt idx="70">
                  <c:v>0.13577982390581522</c:v>
                </c:pt>
                <c:pt idx="71">
                  <c:v>0.1243362427377811</c:v>
                </c:pt>
                <c:pt idx="72">
                  <c:v>0.11333542830346993</c:v>
                </c:pt>
                <c:pt idx="73">
                  <c:v>0.10428460034123785</c:v>
                </c:pt>
                <c:pt idx="74">
                  <c:v>9.5176186422167297E-2</c:v>
                </c:pt>
                <c:pt idx="75">
                  <c:v>8.6844724308491855E-2</c:v>
                </c:pt>
                <c:pt idx="76">
                  <c:v>7.9298057819687087E-2</c:v>
                </c:pt>
                <c:pt idx="77">
                  <c:v>7.2496422865300586E-2</c:v>
                </c:pt>
                <c:pt idx="78">
                  <c:v>6.6265969179444786E-2</c:v>
                </c:pt>
                <c:pt idx="79">
                  <c:v>6.0371887689211014E-2</c:v>
                </c:pt>
                <c:pt idx="80">
                  <c:v>5.5212146869247351E-2</c:v>
                </c:pt>
                <c:pt idx="81">
                  <c:v>5.0604823666206777E-2</c:v>
                </c:pt>
                <c:pt idx="82">
                  <c:v>4.6124859360437316E-2</c:v>
                </c:pt>
                <c:pt idx="83">
                  <c:v>4.2199939142443563E-2</c:v>
                </c:pt>
                <c:pt idx="84">
                  <c:v>3.8605783766158371E-2</c:v>
                </c:pt>
                <c:pt idx="85">
                  <c:v>3.5250328461990603E-2</c:v>
                </c:pt>
                <c:pt idx="86">
                  <c:v>3.2237145064467225E-2</c:v>
                </c:pt>
                <c:pt idx="87">
                  <c:v>2.9459380698161338E-2</c:v>
                </c:pt>
                <c:pt idx="88">
                  <c:v>2.6908937940665626E-2</c:v>
                </c:pt>
                <c:pt idx="89">
                  <c:v>2.4619605451223006E-2</c:v>
                </c:pt>
                <c:pt idx="90">
                  <c:v>2.2539424474256321E-2</c:v>
                </c:pt>
                <c:pt idx="91">
                  <c:v>2.0581813513890813E-2</c:v>
                </c:pt>
                <c:pt idx="92">
                  <c:v>1.8811482268895431E-2</c:v>
                </c:pt>
                <c:pt idx="93">
                  <c:v>1.7183361918673711E-2</c:v>
                </c:pt>
                <c:pt idx="94">
                  <c:v>1.5724884582937599E-2</c:v>
                </c:pt>
                <c:pt idx="95">
                  <c:v>1.436154293714934E-2</c:v>
                </c:pt>
                <c:pt idx="96">
                  <c:v>1.3133524256094906E-2</c:v>
                </c:pt>
                <c:pt idx="97">
                  <c:v>1.2006590883682548E-2</c:v>
                </c:pt>
                <c:pt idx="98">
                  <c:v>1.0970354509434361E-2</c:v>
                </c:pt>
                <c:pt idx="99">
                  <c:v>1.0024275993738275E-2</c:v>
                </c:pt>
                <c:pt idx="100">
                  <c:v>9.182314629690989E-3</c:v>
                </c:pt>
                <c:pt idx="101">
                  <c:v>8.4047553538629804E-3</c:v>
                </c:pt>
                <c:pt idx="102">
                  <c:v>7.6404641881677718E-3</c:v>
                </c:pt>
                <c:pt idx="103">
                  <c:v>7.0039441116063837E-3</c:v>
                </c:pt>
                <c:pt idx="104">
                  <c:v>6.3889599978042607E-3</c:v>
                </c:pt>
                <c:pt idx="105">
                  <c:v>5.8426729516028193E-3</c:v>
                </c:pt>
                <c:pt idx="106">
                  <c:v>5.3555682693370767E-3</c:v>
                </c:pt>
                <c:pt idx="107">
                  <c:v>4.89886701986114E-3</c:v>
                </c:pt>
                <c:pt idx="108">
                  <c:v>4.4771721458257332E-3</c:v>
                </c:pt>
                <c:pt idx="109">
                  <c:v>4.0910117402937814E-3</c:v>
                </c:pt>
                <c:pt idx="110">
                  <c:v>3.7283673612884408E-3</c:v>
                </c:pt>
                <c:pt idx="111">
                  <c:v>3.4140379495652047E-3</c:v>
                </c:pt>
                <c:pt idx="112">
                  <c:v>3.1217406119539745E-3</c:v>
                </c:pt>
                <c:pt idx="113">
                  <c:v>2.8527228078511148E-3</c:v>
                </c:pt>
                <c:pt idx="114">
                  <c:v>2.6076406391057232E-3</c:v>
                </c:pt>
                <c:pt idx="115">
                  <c:v>2.3858674412480089E-3</c:v>
                </c:pt>
                <c:pt idx="116">
                  <c:v>2.1811001060599929E-3</c:v>
                </c:pt>
                <c:pt idx="117">
                  <c:v>1.9940895994064126E-3</c:v>
                </c:pt>
                <c:pt idx="118">
                  <c:v>1.8369412971279782E-3</c:v>
                </c:pt>
              </c:numCache>
            </c:numRef>
          </c:xVal>
          <c:yVal>
            <c:numRef>
              <c:f>Table!$T$18:$T$136</c:f>
              <c:numCache>
                <c:formatCode>????0.000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0.99405286114746438</c:v>
                </c:pt>
                <c:pt idx="24">
                  <c:v>0.98347047542933852</c:v>
                </c:pt>
                <c:pt idx="25">
                  <c:v>0.94258099840933263</c:v>
                </c:pt>
                <c:pt idx="26">
                  <c:v>0.81868300016923035</c:v>
                </c:pt>
                <c:pt idx="27">
                  <c:v>0.52161158394942186</c:v>
                </c:pt>
                <c:pt idx="28">
                  <c:v>0.30133432357076029</c:v>
                </c:pt>
                <c:pt idx="29">
                  <c:v>0.19074301462172016</c:v>
                </c:pt>
                <c:pt idx="30">
                  <c:v>0.13145042730861189</c:v>
                </c:pt>
                <c:pt idx="31">
                  <c:v>9.3766619763534065E-2</c:v>
                </c:pt>
                <c:pt idx="32">
                  <c:v>7.192678974381006E-2</c:v>
                </c:pt>
                <c:pt idx="33">
                  <c:v>5.7635620443608593E-2</c:v>
                </c:pt>
                <c:pt idx="34">
                  <c:v>4.475322194046838E-2</c:v>
                </c:pt>
                <c:pt idx="35">
                  <c:v>3.5980202958051488E-2</c:v>
                </c:pt>
                <c:pt idx="36">
                  <c:v>2.8535459018630749E-2</c:v>
                </c:pt>
                <c:pt idx="37">
                  <c:v>2.2456148117853236E-2</c:v>
                </c:pt>
                <c:pt idx="38">
                  <c:v>1.7729913378311202E-2</c:v>
                </c:pt>
                <c:pt idx="39">
                  <c:v>1.3744497762541497E-2</c:v>
                </c:pt>
                <c:pt idx="40">
                  <c:v>1.091115610244564E-2</c:v>
                </c:pt>
                <c:pt idx="41">
                  <c:v>8.6693455296220634E-3</c:v>
                </c:pt>
                <c:pt idx="42">
                  <c:v>6.8308503758520711E-3</c:v>
                </c:pt>
                <c:pt idx="43">
                  <c:v>5.3973764319560358E-3</c:v>
                </c:pt>
                <c:pt idx="44">
                  <c:v>4.3909164953968016E-3</c:v>
                </c:pt>
                <c:pt idx="45">
                  <c:v>3.6357202592720572E-3</c:v>
                </c:pt>
                <c:pt idx="46">
                  <c:v>2.9545863639178771E-3</c:v>
                </c:pt>
                <c:pt idx="47">
                  <c:v>2.4262036833899714E-3</c:v>
                </c:pt>
                <c:pt idx="48">
                  <c:v>2.0132414881171012E-3</c:v>
                </c:pt>
                <c:pt idx="49">
                  <c:v>1.6965087469217321E-3</c:v>
                </c:pt>
                <c:pt idx="50">
                  <c:v>1.4205759944748708E-3</c:v>
                </c:pt>
                <c:pt idx="51">
                  <c:v>1.1954557475257754E-3</c:v>
                </c:pt>
                <c:pt idx="52">
                  <c:v>1.0031531466563326E-3</c:v>
                </c:pt>
                <c:pt idx="53">
                  <c:v>8.4510951818939084E-4</c:v>
                </c:pt>
                <c:pt idx="54">
                  <c:v>7.1657177210449063E-4</c:v>
                </c:pt>
                <c:pt idx="55">
                  <c:v>6.0228850090016106E-4</c:v>
                </c:pt>
                <c:pt idx="56">
                  <c:v>5.0649998156004905E-4</c:v>
                </c:pt>
                <c:pt idx="57">
                  <c:v>4.2660585487885871E-4</c:v>
                </c:pt>
                <c:pt idx="58">
                  <c:v>3.6086079409991534E-4</c:v>
                </c:pt>
                <c:pt idx="59">
                  <c:v>3.0387117333052771E-4</c:v>
                </c:pt>
                <c:pt idx="60">
                  <c:v>2.5469007793577081E-4</c:v>
                </c:pt>
                <c:pt idx="61">
                  <c:v>2.1420574433528294E-4</c:v>
                </c:pt>
                <c:pt idx="62">
                  <c:v>1.7914172075628176E-4</c:v>
                </c:pt>
                <c:pt idx="63">
                  <c:v>1.4931195705103484E-4</c:v>
                </c:pt>
                <c:pt idx="64">
                  <c:v>1.2492010450515512E-4</c:v>
                </c:pt>
                <c:pt idx="65">
                  <c:v>1.0420548532030782E-4</c:v>
                </c:pt>
                <c:pt idx="66">
                  <c:v>8.6251560377670344E-5</c:v>
                </c:pt>
                <c:pt idx="67">
                  <c:v>7.1712623444075696E-5</c:v>
                </c:pt>
                <c:pt idx="68">
                  <c:v>5.9398068812055449E-5</c:v>
                </c:pt>
                <c:pt idx="69">
                  <c:v>4.9118111985713142E-5</c:v>
                </c:pt>
                <c:pt idx="70">
                  <c:v>4.0579866560475075E-5</c:v>
                </c:pt>
                <c:pt idx="71">
                  <c:v>3.3428876705210442E-5</c:v>
                </c:pt>
                <c:pt idx="72">
                  <c:v>2.7375039543864332E-5</c:v>
                </c:pt>
                <c:pt idx="73">
                  <c:v>2.2738134450750458E-5</c:v>
                </c:pt>
                <c:pt idx="74">
                  <c:v>1.8511468840576306E-5</c:v>
                </c:pt>
                <c:pt idx="75">
                  <c:v>1.5098235892851974E-5</c:v>
                </c:pt>
                <c:pt idx="76">
                  <c:v>1.2190158258040817E-5</c:v>
                </c:pt>
                <c:pt idx="77">
                  <c:v>9.8818155358504356E-6</c:v>
                </c:pt>
                <c:pt idx="78">
                  <c:v>8.0236926668364461E-6</c:v>
                </c:pt>
                <c:pt idx="79">
                  <c:v>6.4051830618305772E-6</c:v>
                </c:pt>
                <c:pt idx="80">
                  <c:v>5.0949827544721771E-6</c:v>
                </c:pt>
                <c:pt idx="81">
                  <c:v>4.0711117141878361E-6</c:v>
                </c:pt>
                <c:pt idx="82">
                  <c:v>3.2194269846685941E-6</c:v>
                </c:pt>
                <c:pt idx="83">
                  <c:v>2.5595782410237078E-6</c:v>
                </c:pt>
                <c:pt idx="84">
                  <c:v>2.0258856217036936E-6</c:v>
                </c:pt>
                <c:pt idx="85">
                  <c:v>1.5618221672619725E-6</c:v>
                </c:pt>
                <c:pt idx="86">
                  <c:v>1.2379114049387852E-6</c:v>
                </c:pt>
                <c:pt idx="87">
                  <c:v>9.729336034602909E-7</c:v>
                </c:pt>
                <c:pt idx="88">
                  <c:v>7.6378911206820277E-7</c:v>
                </c:pt>
                <c:pt idx="89">
                  <c:v>5.8898104582372213E-7</c:v>
                </c:pt>
                <c:pt idx="90">
                  <c:v>4.5706810292145406E-7</c:v>
                </c:pt>
                <c:pt idx="91">
                  <c:v>3.5604447667925143E-7</c:v>
                </c:pt>
                <c:pt idx="92">
                  <c:v>2.6769846861451896E-7</c:v>
                </c:pt>
                <c:pt idx="93">
                  <c:v>2.0119580279587268E-7</c:v>
                </c:pt>
                <c:pt idx="94">
                  <c:v>1.4378355872590731E-7</c:v>
                </c:pt>
                <c:pt idx="95">
                  <c:v>1.0247632753479508E-7</c:v>
                </c:pt>
                <c:pt idx="96">
                  <c:v>7.8067442954576904E-8</c:v>
                </c:pt>
                <c:pt idx="97">
                  <c:v>5.6948382343158244E-8</c:v>
                </c:pt>
                <c:pt idx="98">
                  <c:v>4.1854744226021978E-8</c:v>
                </c:pt>
                <c:pt idx="99">
                  <c:v>3.0225288716323462E-8</c:v>
                </c:pt>
                <c:pt idx="100">
                  <c:v>2.089295525475876E-8</c:v>
                </c:pt>
                <c:pt idx="101">
                  <c:v>1.6074565789558903E-8</c:v>
                </c:pt>
                <c:pt idx="102">
                  <c:v>1.3213140248602429E-8</c:v>
                </c:pt>
                <c:pt idx="103">
                  <c:v>1.1652675935280854E-8</c:v>
                </c:pt>
                <c:pt idx="104">
                  <c:v>7.5503061580661779E-9</c:v>
                </c:pt>
                <c:pt idx="105">
                  <c:v>5.4127221593702757E-9</c:v>
                </c:pt>
                <c:pt idx="106">
                  <c:v>4.369684170058008E-9</c:v>
                </c:pt>
                <c:pt idx="107">
                  <c:v>3.5876338566609434E-9</c:v>
                </c:pt>
                <c:pt idx="108">
                  <c:v>2.5376001300259077E-9</c:v>
                </c:pt>
                <c:pt idx="109">
                  <c:v>1.3478939075994845E-9</c:v>
                </c:pt>
                <c:pt idx="110">
                  <c:v>1.219322087742114E-9</c:v>
                </c:pt>
                <c:pt idx="111">
                  <c:v>6.5610761268430906E-10</c:v>
                </c:pt>
                <c:pt idx="112">
                  <c:v>7.383338385125171E-11</c:v>
                </c:pt>
                <c:pt idx="113">
                  <c:v>7.383338385125171E-11</c:v>
                </c:pt>
                <c:pt idx="114">
                  <c:v>7.383338385125171E-11</c:v>
                </c:pt>
                <c:pt idx="115">
                  <c:v>7.383338385125171E-11</c:v>
                </c:pt>
                <c:pt idx="116">
                  <c:v>5.1860737926290312E-11</c:v>
                </c:pt>
                <c:pt idx="117">
                  <c:v>5.1860737926290312E-11</c:v>
                </c:pt>
                <c:pt idx="1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412544"/>
        <c:axId val="152414464"/>
      </c:scatterChart>
      <c:valAx>
        <c:axId val="152412544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7003231262758834"/>
              <c:y val="0.92577460224880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52414464"/>
        <c:crosses val="autoZero"/>
        <c:crossBetween val="midCat"/>
      </c:valAx>
      <c:valAx>
        <c:axId val="1524144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Distribution Function</a:t>
                </a:r>
              </a:p>
            </c:rich>
          </c:tx>
          <c:layout>
            <c:manualLayout>
              <c:xMode val="edge"/>
              <c:yMode val="edge"/>
              <c:x val="1.753793951647354E-2"/>
              <c:y val="0.414806277095512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52412544"/>
        <c:crossesAt val="1.0000000000000041E-3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89019071851826"/>
          <c:y val="0.17263747283432321"/>
          <c:w val="0.32571839409811765"/>
          <c:h val="0.20424665897106842"/>
        </c:manualLayout>
      </c:layout>
      <c:overlay val="0"/>
      <c:spPr>
        <a:solidFill>
          <a:srgbClr val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chemeClr val="lt2"/>
    </a:solidFill>
    <a:ln w="3175">
      <a:solidFill>
        <a:sysClr val="windowText" lastClr="000000"/>
      </a:solidFill>
    </a:ln>
  </c:spPr>
  <c:txPr>
    <a:bodyPr/>
    <a:lstStyle/>
    <a:p>
      <a:pPr>
        <a:defRPr sz="8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866" r="0.75000000000000866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/>
              <a:t>Incremental Intrusion %PV vs Pore Aperture Diameter</a:t>
            </a:r>
          </a:p>
        </c:rich>
      </c:tx>
      <c:layout>
        <c:manualLayout>
          <c:xMode val="edge"/>
          <c:yMode val="edge"/>
          <c:x val="0.1723981077147016"/>
          <c:y val="4.43625443625443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9498670579271"/>
          <c:y val="0.15326975675683863"/>
          <c:w val="0.82827901825522265"/>
          <c:h val="0.72458777553660758"/>
        </c:manualLayout>
      </c:layout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dk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60000"/>
                  <a:lumOff val="40000"/>
                </a:schemeClr>
              </a:solidFill>
              <a:ln>
                <a:solidFill>
                  <a:schemeClr val="dk2">
                    <a:lumMod val="50000"/>
                  </a:schemeClr>
                </a:solidFill>
              </a:ln>
            </c:spPr>
          </c:marker>
          <c:xVal>
            <c:numRef>
              <c:f>Table!$F$18:$F$136</c:f>
              <c:numCache>
                <c:formatCode>???0.000</c:formatCode>
                <c:ptCount val="119"/>
                <c:pt idx="0">
                  <c:v>144.57307429101715</c:v>
                </c:pt>
                <c:pt idx="1">
                  <c:v>137.50124015007896</c:v>
                </c:pt>
                <c:pt idx="2">
                  <c:v>121.30813738474723</c:v>
                </c:pt>
                <c:pt idx="3">
                  <c:v>109.04156104468576</c:v>
                </c:pt>
                <c:pt idx="4">
                  <c:v>101.1311824404399</c:v>
                </c:pt>
                <c:pt idx="5">
                  <c:v>92.657102345726329</c:v>
                </c:pt>
                <c:pt idx="6">
                  <c:v>85.049847635859976</c:v>
                </c:pt>
                <c:pt idx="7">
                  <c:v>77.784163325540362</c:v>
                </c:pt>
                <c:pt idx="8">
                  <c:v>70.634251850377566</c:v>
                </c:pt>
                <c:pt idx="9">
                  <c:v>64.622467276200283</c:v>
                </c:pt>
                <c:pt idx="10">
                  <c:v>58.85099460715174</c:v>
                </c:pt>
                <c:pt idx="11">
                  <c:v>53.97584654263845</c:v>
                </c:pt>
                <c:pt idx="12">
                  <c:v>49.374679877174955</c:v>
                </c:pt>
                <c:pt idx="13">
                  <c:v>45.398278339289035</c:v>
                </c:pt>
                <c:pt idx="14">
                  <c:v>41.432858080720486</c:v>
                </c:pt>
                <c:pt idx="15">
                  <c:v>37.836498977465425</c:v>
                </c:pt>
                <c:pt idx="16">
                  <c:v>34.620463554873453</c:v>
                </c:pt>
                <c:pt idx="17">
                  <c:v>31.658895071924011</c:v>
                </c:pt>
                <c:pt idx="18">
                  <c:v>28.938756126306188</c:v>
                </c:pt>
                <c:pt idx="19">
                  <c:v>26.457211977489212</c:v>
                </c:pt>
                <c:pt idx="20">
                  <c:v>24.169318032539177</c:v>
                </c:pt>
                <c:pt idx="21">
                  <c:v>22.091973842295726</c:v>
                </c:pt>
                <c:pt idx="22">
                  <c:v>20.240293249453401</c:v>
                </c:pt>
                <c:pt idx="23">
                  <c:v>18.374963586475697</c:v>
                </c:pt>
                <c:pt idx="24">
                  <c:v>16.949525206385548</c:v>
                </c:pt>
                <c:pt idx="25">
                  <c:v>15.399594464985819</c:v>
                </c:pt>
                <c:pt idx="26">
                  <c:v>14.108650526538598</c:v>
                </c:pt>
                <c:pt idx="27">
                  <c:v>12.944903479313727</c:v>
                </c:pt>
                <c:pt idx="28">
                  <c:v>11.825049513922121</c:v>
                </c:pt>
                <c:pt idx="29">
                  <c:v>10.779230759600058</c:v>
                </c:pt>
                <c:pt idx="30">
                  <c:v>9.857798880103779</c:v>
                </c:pt>
                <c:pt idx="31">
                  <c:v>8.9872042379578208</c:v>
                </c:pt>
                <c:pt idx="32">
                  <c:v>8.209817460468317</c:v>
                </c:pt>
                <c:pt idx="33">
                  <c:v>7.5311853225380352</c:v>
                </c:pt>
                <c:pt idx="34">
                  <c:v>7.3069711763204443</c:v>
                </c:pt>
                <c:pt idx="35">
                  <c:v>6.1959793455664167</c:v>
                </c:pt>
                <c:pt idx="36">
                  <c:v>5.8189590624746366</c:v>
                </c:pt>
                <c:pt idx="37">
                  <c:v>5.3448635917044784</c:v>
                </c:pt>
                <c:pt idx="38">
                  <c:v>4.8148551887964421</c:v>
                </c:pt>
                <c:pt idx="39">
                  <c:v>4.5229786250033372</c:v>
                </c:pt>
                <c:pt idx="40">
                  <c:v>4.0154213177722982</c:v>
                </c:pt>
                <c:pt idx="41">
                  <c:v>3.7084249435687791</c:v>
                </c:pt>
                <c:pt idx="42">
                  <c:v>3.3799369260469612</c:v>
                </c:pt>
                <c:pt idx="43">
                  <c:v>3.0898335019632244</c:v>
                </c:pt>
                <c:pt idx="44">
                  <c:v>2.8174859459791053</c:v>
                </c:pt>
                <c:pt idx="45">
                  <c:v>2.5770122410719432</c:v>
                </c:pt>
                <c:pt idx="46">
                  <c:v>2.3621889040655537</c:v>
                </c:pt>
                <c:pt idx="47">
                  <c:v>2.1495947595257392</c:v>
                </c:pt>
                <c:pt idx="48">
                  <c:v>1.9557595075138916</c:v>
                </c:pt>
                <c:pt idx="49">
                  <c:v>1.8056272827161766</c:v>
                </c:pt>
                <c:pt idx="50">
                  <c:v>1.6366626838126195</c:v>
                </c:pt>
                <c:pt idx="51">
                  <c:v>1.5010157951626113</c:v>
                </c:pt>
                <c:pt idx="52">
                  <c:v>1.370443837898992</c:v>
                </c:pt>
                <c:pt idx="53">
                  <c:v>1.2523464178361914</c:v>
                </c:pt>
                <c:pt idx="54">
                  <c:v>1.1472679452538959</c:v>
                </c:pt>
                <c:pt idx="55">
                  <c:v>1.0544199326299721</c:v>
                </c:pt>
                <c:pt idx="56">
                  <c:v>0.95604722342651094</c:v>
                </c:pt>
                <c:pt idx="57">
                  <c:v>0.87133924412090924</c:v>
                </c:pt>
                <c:pt idx="58">
                  <c:v>0.79706870007334796</c:v>
                </c:pt>
                <c:pt idx="59">
                  <c:v>0.72909096124008055</c:v>
                </c:pt>
                <c:pt idx="60">
                  <c:v>0.66716255477563235</c:v>
                </c:pt>
                <c:pt idx="61">
                  <c:v>0.60792374197008159</c:v>
                </c:pt>
                <c:pt idx="62">
                  <c:v>0.55775465010865555</c:v>
                </c:pt>
                <c:pt idx="63">
                  <c:v>0.51021881899983801</c:v>
                </c:pt>
                <c:pt idx="64">
                  <c:v>0.46555834577341715</c:v>
                </c:pt>
                <c:pt idx="65">
                  <c:v>0.42671093476413319</c:v>
                </c:pt>
                <c:pt idx="66">
                  <c:v>0.38875476352841076</c:v>
                </c:pt>
                <c:pt idx="67">
                  <c:v>0.3561773686791847</c:v>
                </c:pt>
                <c:pt idx="68">
                  <c:v>0.32439888759455027</c:v>
                </c:pt>
                <c:pt idx="69">
                  <c:v>0.29713271565604576</c:v>
                </c:pt>
                <c:pt idx="70">
                  <c:v>0.27155964781163044</c:v>
                </c:pt>
                <c:pt idx="71">
                  <c:v>0.2486724854755622</c:v>
                </c:pt>
                <c:pt idx="72">
                  <c:v>0.22667085660693986</c:v>
                </c:pt>
                <c:pt idx="73">
                  <c:v>0.2085692006824757</c:v>
                </c:pt>
                <c:pt idx="74">
                  <c:v>0.19035237284433459</c:v>
                </c:pt>
                <c:pt idx="75">
                  <c:v>0.17368944861698371</c:v>
                </c:pt>
                <c:pt idx="76">
                  <c:v>0.15859611563937417</c:v>
                </c:pt>
                <c:pt idx="77">
                  <c:v>0.14499284573060117</c:v>
                </c:pt>
                <c:pt idx="78">
                  <c:v>0.13253193835888957</c:v>
                </c:pt>
                <c:pt idx="79">
                  <c:v>0.12074377537842203</c:v>
                </c:pt>
                <c:pt idx="80">
                  <c:v>0.1104242937384947</c:v>
                </c:pt>
                <c:pt idx="81">
                  <c:v>0.10120964733241355</c:v>
                </c:pt>
                <c:pt idx="82">
                  <c:v>9.2249718720874632E-2</c:v>
                </c:pt>
                <c:pt idx="83">
                  <c:v>8.4399878284887125E-2</c:v>
                </c:pt>
                <c:pt idx="84">
                  <c:v>7.7211567532316741E-2</c:v>
                </c:pt>
                <c:pt idx="85">
                  <c:v>7.0500656923981206E-2</c:v>
                </c:pt>
                <c:pt idx="86">
                  <c:v>6.447429012893445E-2</c:v>
                </c:pt>
                <c:pt idx="87">
                  <c:v>5.8918761396322676E-2</c:v>
                </c:pt>
                <c:pt idx="88">
                  <c:v>5.3817875881331252E-2</c:v>
                </c:pt>
                <c:pt idx="89">
                  <c:v>4.9239210902446012E-2</c:v>
                </c:pt>
                <c:pt idx="90">
                  <c:v>4.5078848948512641E-2</c:v>
                </c:pt>
                <c:pt idx="91">
                  <c:v>4.1163627027781625E-2</c:v>
                </c:pt>
                <c:pt idx="92">
                  <c:v>3.7622964537790862E-2</c:v>
                </c:pt>
                <c:pt idx="93">
                  <c:v>3.4366723837347422E-2</c:v>
                </c:pt>
                <c:pt idx="94">
                  <c:v>3.1449769165875198E-2</c:v>
                </c:pt>
                <c:pt idx="95">
                  <c:v>2.8723085874298681E-2</c:v>
                </c:pt>
                <c:pt idx="96">
                  <c:v>2.6267048512189813E-2</c:v>
                </c:pt>
                <c:pt idx="97">
                  <c:v>2.4013181767365097E-2</c:v>
                </c:pt>
                <c:pt idx="98">
                  <c:v>2.1940709018868722E-2</c:v>
                </c:pt>
                <c:pt idx="99">
                  <c:v>2.004855198747655E-2</c:v>
                </c:pt>
                <c:pt idx="100">
                  <c:v>1.8364629259381978E-2</c:v>
                </c:pt>
                <c:pt idx="101">
                  <c:v>1.6809510707725961E-2</c:v>
                </c:pt>
                <c:pt idx="102">
                  <c:v>1.5280928376335544E-2</c:v>
                </c:pt>
                <c:pt idx="103">
                  <c:v>1.4007888223212767E-2</c:v>
                </c:pt>
                <c:pt idx="104">
                  <c:v>1.2777919995608521E-2</c:v>
                </c:pt>
                <c:pt idx="105">
                  <c:v>1.1685345903205639E-2</c:v>
                </c:pt>
                <c:pt idx="106">
                  <c:v>1.0711136538674153E-2</c:v>
                </c:pt>
                <c:pt idx="107">
                  <c:v>9.7977340397222799E-3</c:v>
                </c:pt>
                <c:pt idx="108">
                  <c:v>8.9543442916514664E-3</c:v>
                </c:pt>
                <c:pt idx="109">
                  <c:v>8.1820234805875629E-3</c:v>
                </c:pt>
                <c:pt idx="110">
                  <c:v>7.4567347225768816E-3</c:v>
                </c:pt>
                <c:pt idx="111">
                  <c:v>6.8280758991304093E-3</c:v>
                </c:pt>
                <c:pt idx="112">
                  <c:v>6.243481223907949E-3</c:v>
                </c:pt>
                <c:pt idx="113">
                  <c:v>5.7054456157022296E-3</c:v>
                </c:pt>
                <c:pt idx="114">
                  <c:v>5.2152812782114465E-3</c:v>
                </c:pt>
                <c:pt idx="115">
                  <c:v>4.7717348824960178E-3</c:v>
                </c:pt>
                <c:pt idx="116">
                  <c:v>4.3622002121199857E-3</c:v>
                </c:pt>
                <c:pt idx="117">
                  <c:v>3.9881791988128253E-3</c:v>
                </c:pt>
                <c:pt idx="118">
                  <c:v>3.6738825942559564E-3</c:v>
                </c:pt>
              </c:numCache>
            </c:numRef>
          </c:xVal>
          <c:yVal>
            <c:numRef>
              <c:f>Table!$H$18:$H$136</c:f>
              <c:numCache>
                <c:formatCode>????0.00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0.12331268849311344</c:v>
                </c:pt>
                <c:pt idx="24">
                  <c:v>0.25788208629539222</c:v>
                </c:pt>
                <c:pt idx="25">
                  <c:v>1.2071066702087354</c:v>
                </c:pt>
                <c:pt idx="26">
                  <c:v>4.3575863302746143</c:v>
                </c:pt>
                <c:pt idx="27">
                  <c:v>12.411260632382536</c:v>
                </c:pt>
                <c:pt idx="28">
                  <c:v>11.028498613469381</c:v>
                </c:pt>
                <c:pt idx="29">
                  <c:v>6.663434330134038</c:v>
                </c:pt>
                <c:pt idx="30">
                  <c:v>4.2716253707012655</c:v>
                </c:pt>
                <c:pt idx="31">
                  <c:v>3.2663161388325292</c:v>
                </c:pt>
                <c:pt idx="32">
                  <c:v>2.2684797885066814</c:v>
                </c:pt>
                <c:pt idx="33">
                  <c:v>1.7639804079566233</c:v>
                </c:pt>
                <c:pt idx="34">
                  <c:v>1.6891748371770419</c:v>
                </c:pt>
                <c:pt idx="35">
                  <c:v>1.5998593677264168</c:v>
                </c:pt>
                <c:pt idx="36">
                  <c:v>1.5392594318040835</c:v>
                </c:pt>
                <c:pt idx="37">
                  <c:v>1.4898198780488414</c:v>
                </c:pt>
                <c:pt idx="38">
                  <c:v>1.4272547289620192</c:v>
                </c:pt>
                <c:pt idx="39">
                  <c:v>1.3638832937395264</c:v>
                </c:pt>
                <c:pt idx="40">
                  <c:v>1.2302386555190878</c:v>
                </c:pt>
                <c:pt idx="41">
                  <c:v>1.1412284458421098</c:v>
                </c:pt>
                <c:pt idx="42">
                  <c:v>1.1266731896303597</c:v>
                </c:pt>
                <c:pt idx="43">
                  <c:v>1.0511684319715116</c:v>
                </c:pt>
                <c:pt idx="44">
                  <c:v>0.88761705302604099</c:v>
                </c:pt>
                <c:pt idx="45">
                  <c:v>0.79612179960558649</c:v>
                </c:pt>
                <c:pt idx="46">
                  <c:v>0.85458625730920801</c:v>
                </c:pt>
                <c:pt idx="47">
                  <c:v>0.80054923468326677</c:v>
                </c:pt>
                <c:pt idx="48">
                  <c:v>0.75584380488997738</c:v>
                </c:pt>
                <c:pt idx="49">
                  <c:v>0.68012604348166406</c:v>
                </c:pt>
                <c:pt idx="50">
                  <c:v>0.72116983739174145</c:v>
                </c:pt>
                <c:pt idx="51">
                  <c:v>0.69951445619859953</c:v>
                </c:pt>
                <c:pt idx="52">
                  <c:v>0.71682861811743237</c:v>
                </c:pt>
                <c:pt idx="53">
                  <c:v>0.70547348966510981</c:v>
                </c:pt>
                <c:pt idx="54">
                  <c:v>0.68368117749018609</c:v>
                </c:pt>
                <c:pt idx="55">
                  <c:v>0.71962809596720945</c:v>
                </c:pt>
                <c:pt idx="56">
                  <c:v>0.73368127191245947</c:v>
                </c:pt>
                <c:pt idx="57">
                  <c:v>0.73670389654736823</c:v>
                </c:pt>
                <c:pt idx="58">
                  <c:v>0.72447646702590873</c:v>
                </c:pt>
                <c:pt idx="59">
                  <c:v>0.75055928329670962</c:v>
                </c:pt>
                <c:pt idx="60">
                  <c:v>0.77354847368275159</c:v>
                </c:pt>
                <c:pt idx="61">
                  <c:v>0.7669047853073323</c:v>
                </c:pt>
                <c:pt idx="62">
                  <c:v>0.78909267587407328</c:v>
                </c:pt>
                <c:pt idx="63">
                  <c:v>0.80221269253603111</c:v>
                </c:pt>
                <c:pt idx="64">
                  <c:v>0.78786029703802285</c:v>
                </c:pt>
                <c:pt idx="65">
                  <c:v>0.79645651978329113</c:v>
                </c:pt>
                <c:pt idx="66">
                  <c:v>0.83168835424436338</c:v>
                </c:pt>
                <c:pt idx="67">
                  <c:v>0.80232933744645152</c:v>
                </c:pt>
                <c:pt idx="68">
                  <c:v>0.81924284945559123</c:v>
                </c:pt>
                <c:pt idx="69">
                  <c:v>0.81516027759131759</c:v>
                </c:pt>
                <c:pt idx="70">
                  <c:v>0.81057055394268218</c:v>
                </c:pt>
                <c:pt idx="71">
                  <c:v>0.80958667948095808</c:v>
                </c:pt>
                <c:pt idx="72">
                  <c:v>0.82488237729792502</c:v>
                </c:pt>
                <c:pt idx="73">
                  <c:v>0.74624342161159518</c:v>
                </c:pt>
                <c:pt idx="74">
                  <c:v>0.81664623231957023</c:v>
                </c:pt>
                <c:pt idx="75">
                  <c:v>0.79208487140192574</c:v>
                </c:pt>
                <c:pt idx="76">
                  <c:v>0.80941931939211997</c:v>
                </c:pt>
                <c:pt idx="77">
                  <c:v>0.76870517414188555</c:v>
                </c:pt>
                <c:pt idx="78">
                  <c:v>0.7406038937692756</c:v>
                </c:pt>
                <c:pt idx="79">
                  <c:v>0.77721010956598491</c:v>
                </c:pt>
                <c:pt idx="80">
                  <c:v>0.75224809873870413</c:v>
                </c:pt>
                <c:pt idx="81">
                  <c:v>0.69976803209078753</c:v>
                </c:pt>
                <c:pt idx="82">
                  <c:v>0.70065047619563359</c:v>
                </c:pt>
                <c:pt idx="83">
                  <c:v>0.64850512972543584</c:v>
                </c:pt>
                <c:pt idx="84">
                  <c:v>0.62672803210405448</c:v>
                </c:pt>
                <c:pt idx="85">
                  <c:v>0.65364764881907433</c:v>
                </c:pt>
                <c:pt idx="86">
                  <c:v>0.54551274535305083</c:v>
                </c:pt>
                <c:pt idx="87">
                  <c:v>0.53438583520370742</c:v>
                </c:pt>
                <c:pt idx="88">
                  <c:v>0.5055288986723383</c:v>
                </c:pt>
                <c:pt idx="89">
                  <c:v>0.50476817099578852</c:v>
                </c:pt>
                <c:pt idx="90">
                  <c:v>0.45445871398504778</c:v>
                </c:pt>
                <c:pt idx="91">
                  <c:v>0.41739606158238018</c:v>
                </c:pt>
                <c:pt idx="92">
                  <c:v>0.43695183438816798</c:v>
                </c:pt>
                <c:pt idx="93">
                  <c:v>0.39419893896473468</c:v>
                </c:pt>
                <c:pt idx="94">
                  <c:v>0.40637058178991481</c:v>
                </c:pt>
                <c:pt idx="95">
                  <c:v>0.35052302729371831</c:v>
                </c:pt>
                <c:pt idx="96">
                  <c:v>0.24767264542099099</c:v>
                </c:pt>
                <c:pt idx="97">
                  <c:v>0.25640579914804107</c:v>
                </c:pt>
                <c:pt idx="98">
                  <c:v>0.21950543531637834</c:v>
                </c:pt>
                <c:pt idx="99">
                  <c:v>0.20255642268230645</c:v>
                </c:pt>
                <c:pt idx="100">
                  <c:v>0.19372183859837833</c:v>
                </c:pt>
                <c:pt idx="101">
                  <c:v>0.11938353004360636</c:v>
                </c:pt>
                <c:pt idx="102">
                  <c:v>8.5789795846125116E-2</c:v>
                </c:pt>
                <c:pt idx="103">
                  <c:v>5.567512288949672E-2</c:v>
                </c:pt>
                <c:pt idx="104">
                  <c:v>0.17590052489518371</c:v>
                </c:pt>
                <c:pt idx="105">
                  <c:v>0.10959550060503886</c:v>
                </c:pt>
                <c:pt idx="106">
                  <c:v>6.3647548939982812E-2</c:v>
                </c:pt>
                <c:pt idx="107">
                  <c:v>5.7034289671634042E-2</c:v>
                </c:pt>
                <c:pt idx="108">
                  <c:v>9.1682899580646904E-2</c:v>
                </c:pt>
                <c:pt idx="109">
                  <c:v>0.12441447574468611</c:v>
                </c:pt>
                <c:pt idx="110">
                  <c:v>1.6188284957493693E-2</c:v>
                </c:pt>
                <c:pt idx="111">
                  <c:v>8.457263156360284E-2</c:v>
                </c:pt>
                <c:pt idx="112">
                  <c:v>0.10457469793965402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8.0839994430448314E-3</c:v>
                </c:pt>
                <c:pt idx="117">
                  <c:v>0</c:v>
                </c:pt>
                <c:pt idx="118">
                  <c:v>2.6899330643644248E-2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459520"/>
        <c:axId val="153027328"/>
      </c:scatterChart>
      <c:valAx>
        <c:axId val="152459520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gradFill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Pore Aperture Diameter (microns)</a:t>
                </a:r>
              </a:p>
            </c:rich>
          </c:tx>
          <c:layout>
            <c:manualLayout>
              <c:xMode val="edge"/>
              <c:yMode val="edge"/>
              <c:x val="0.36675497039079008"/>
              <c:y val="0.92355761574540307"/>
            </c:manualLayout>
          </c:layout>
          <c:overlay val="0"/>
          <c:spPr>
            <a:noFill/>
            <a:ln w="25400">
              <a:noFill/>
            </a:ln>
          </c:spPr>
        </c:title>
        <c:numFmt formatCode="??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/>
            </a:pPr>
            <a:endParaRPr lang="en-US"/>
          </a:p>
        </c:txPr>
        <c:crossAx val="153027328"/>
        <c:crosses val="autoZero"/>
        <c:crossBetween val="midCat"/>
        <c:majorUnit val="10"/>
        <c:minorUnit val="10"/>
      </c:valAx>
      <c:valAx>
        <c:axId val="1530273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Incremental Intrusion as Percent of Pore Volume</a:t>
                </a:r>
              </a:p>
            </c:rich>
          </c:tx>
          <c:layout>
            <c:manualLayout>
              <c:xMode val="edge"/>
              <c:yMode val="edge"/>
              <c:x val="1.0568979145875295E-2"/>
              <c:y val="0.21251221534951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/>
            </a:pPr>
            <a:endParaRPr lang="en-US"/>
          </a:p>
        </c:txPr>
        <c:crossAx val="152459520"/>
        <c:crossesAt val="1.0000000000000041E-3"/>
        <c:crossBetween val="midCat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1.jpeg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135890</xdr:rowOff>
    </xdr:to>
    <xdr:pic>
      <xdr:nvPicPr>
        <xdr:cNvPr id="4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161924</xdr:rowOff>
    </xdr:from>
    <xdr:to>
      <xdr:col>5</xdr:col>
      <xdr:colOff>19812</xdr:colOff>
      <xdr:row>26</xdr:row>
      <xdr:rowOff>2666</xdr:rowOff>
    </xdr:to>
    <xdr:graphicFrame macro="">
      <xdr:nvGraphicFramePr>
        <xdr:cNvPr id="2792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</xdr:colOff>
      <xdr:row>8</xdr:row>
      <xdr:rowOff>2666</xdr:rowOff>
    </xdr:from>
    <xdr:to>
      <xdr:col>10</xdr:col>
      <xdr:colOff>11049</xdr:colOff>
      <xdr:row>26</xdr:row>
      <xdr:rowOff>5333</xdr:rowOff>
    </xdr:to>
    <xdr:graphicFrame macro="">
      <xdr:nvGraphicFramePr>
        <xdr:cNvPr id="1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14</xdr:col>
      <xdr:colOff>540444</xdr:colOff>
      <xdr:row>26</xdr:row>
      <xdr:rowOff>2667</xdr:rowOff>
    </xdr:to>
    <xdr:graphicFrame macro="">
      <xdr:nvGraphicFramePr>
        <xdr:cNvPr id="2792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25</xdr:row>
      <xdr:rowOff>147759</xdr:rowOff>
    </xdr:from>
    <xdr:to>
      <xdr:col>5</xdr:col>
      <xdr:colOff>19812</xdr:colOff>
      <xdr:row>43</xdr:row>
      <xdr:rowOff>161924</xdr:rowOff>
    </xdr:to>
    <xdr:graphicFrame macro="">
      <xdr:nvGraphicFramePr>
        <xdr:cNvPr id="2792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540445</xdr:colOff>
      <xdr:row>25</xdr:row>
      <xdr:rowOff>147761</xdr:rowOff>
    </xdr:from>
    <xdr:to>
      <xdr:col>15</xdr:col>
      <xdr:colOff>0</xdr:colOff>
      <xdr:row>44</xdr:row>
      <xdr:rowOff>0</xdr:rowOff>
    </xdr:to>
    <xdr:graphicFrame macro="">
      <xdr:nvGraphicFramePr>
        <xdr:cNvPr id="10" name="Distribut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2</xdr:row>
      <xdr:rowOff>97790</xdr:rowOff>
    </xdr:to>
    <xdr:pic>
      <xdr:nvPicPr>
        <xdr:cNvPr id="8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14</xdr:col>
      <xdr:colOff>862742</xdr:colOff>
      <xdr:row>30</xdr:row>
      <xdr:rowOff>159258</xdr:rowOff>
    </xdr:to>
    <xdr:graphicFrame macro="">
      <xdr:nvGraphicFramePr>
        <xdr:cNvPr id="2983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983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320802</xdr:colOff>
      <xdr:row>53</xdr:row>
      <xdr:rowOff>159258</xdr:rowOff>
    </xdr:to>
    <xdr:graphicFrame macro="">
      <xdr:nvGraphicFramePr>
        <xdr:cNvPr id="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3048</xdr:colOff>
      <xdr:row>31</xdr:row>
      <xdr:rowOff>0</xdr:rowOff>
    </xdr:from>
    <xdr:to>
      <xdr:col>14</xdr:col>
      <xdr:colOff>866775</xdr:colOff>
      <xdr:row>53</xdr:row>
      <xdr:rowOff>159258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97790</xdr:rowOff>
    </xdr:to>
    <xdr:pic>
      <xdr:nvPicPr>
        <xdr:cNvPr id="8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2</xdr:row>
      <xdr:rowOff>135890</xdr:rowOff>
    </xdr:to>
    <xdr:pic>
      <xdr:nvPicPr>
        <xdr:cNvPr id="4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141"/>
  <sheetViews>
    <sheetView showGridLines="0" tabSelected="1" workbookViewId="0">
      <pane xSplit="2" ySplit="17" topLeftCell="C18" activePane="bottomRight" state="frozen"/>
      <selection activeCell="E35" sqref="E35"/>
      <selection pane="topRight" activeCell="E35" sqref="E35"/>
      <selection pane="bottomLeft" activeCell="E35" sqref="E35"/>
      <selection pane="bottomRight" activeCell="C8" sqref="C8"/>
    </sheetView>
  </sheetViews>
  <sheetFormatPr defaultColWidth="8.85546875" defaultRowHeight="12.75" x14ac:dyDescent="0.2"/>
  <cols>
    <col min="1" max="13" width="10.28515625" style="106" customWidth="1"/>
    <col min="14" max="14" width="9.5703125" style="106" customWidth="1"/>
    <col min="15" max="15" width="8.85546875" style="106"/>
    <col min="16" max="17" width="10.7109375" style="106" customWidth="1"/>
    <col min="18" max="19" width="8.85546875" style="106"/>
    <col min="20" max="20" width="9.5703125" style="106" bestFit="1" customWidth="1"/>
    <col min="21" max="21" width="8.85546875" style="106"/>
    <col min="22" max="22" width="7.5703125" style="106" customWidth="1"/>
    <col min="23" max="23" width="11.5703125" style="26" bestFit="1" customWidth="1"/>
    <col min="24" max="24" width="13" style="26" customWidth="1"/>
    <col min="25" max="37" width="8.85546875" style="26"/>
    <col min="38" max="38" width="15.85546875" style="26" customWidth="1"/>
    <col min="39" max="16384" width="8.85546875" style="26"/>
  </cols>
  <sheetData>
    <row r="1" spans="1:40" x14ac:dyDescent="0.2">
      <c r="X1" s="59"/>
      <c r="Y1" s="126"/>
      <c r="Z1" s="126"/>
      <c r="AA1" s="147"/>
      <c r="AB1" s="147"/>
    </row>
    <row r="2" spans="1:40" x14ac:dyDescent="0.2">
      <c r="X2" s="24"/>
      <c r="Y2" s="24"/>
      <c r="Z2" s="142"/>
      <c r="AA2" s="142"/>
      <c r="AB2" s="162"/>
      <c r="AC2" s="162"/>
    </row>
    <row r="3" spans="1:40" x14ac:dyDescent="0.2">
      <c r="X3" s="30"/>
      <c r="Y3" s="41"/>
      <c r="Z3" s="51"/>
      <c r="AA3" s="162"/>
      <c r="AB3" s="144"/>
      <c r="AC3" s="144"/>
    </row>
    <row r="4" spans="1:40" x14ac:dyDescent="0.2">
      <c r="X4" s="30"/>
      <c r="Y4" s="41"/>
      <c r="Z4" s="51"/>
      <c r="AA4" s="162"/>
      <c r="AB4" s="144"/>
      <c r="AC4" s="144"/>
      <c r="AL4" s="56"/>
      <c r="AM4" s="56"/>
      <c r="AN4" s="56"/>
    </row>
    <row r="5" spans="1:40" ht="15.75" x14ac:dyDescent="0.25">
      <c r="A5" s="165" t="s">
        <v>11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49"/>
      <c r="O5" s="149"/>
      <c r="P5" s="149"/>
      <c r="Q5" s="149"/>
      <c r="R5" s="149"/>
      <c r="S5" s="149"/>
      <c r="T5" s="50"/>
      <c r="U5" s="118"/>
      <c r="V5" s="118"/>
      <c r="W5" s="41"/>
      <c r="X5" s="30"/>
      <c r="Y5" s="41"/>
      <c r="Z5" s="162"/>
      <c r="AA5" s="14"/>
      <c r="AB5" s="14"/>
      <c r="AC5" s="14"/>
      <c r="AL5" s="56"/>
      <c r="AM5" s="56"/>
      <c r="AN5" s="56"/>
    </row>
    <row r="6" spans="1:40" x14ac:dyDescent="0.2">
      <c r="A6" s="105"/>
      <c r="B6" s="118"/>
      <c r="C6" s="118"/>
      <c r="D6" s="118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18"/>
      <c r="P6" s="118"/>
      <c r="Q6" s="118"/>
      <c r="R6" s="105"/>
      <c r="S6" s="118"/>
      <c r="T6" s="118"/>
      <c r="U6" s="118"/>
      <c r="V6" s="118"/>
      <c r="W6" s="41"/>
      <c r="X6" s="30"/>
      <c r="Y6" s="41"/>
      <c r="Z6" s="162"/>
      <c r="AA6" s="155"/>
      <c r="AB6" s="51"/>
      <c r="AC6" s="51"/>
      <c r="AL6" s="56"/>
      <c r="AM6" s="56"/>
      <c r="AN6" s="56"/>
    </row>
    <row r="7" spans="1:40" ht="12.4" customHeight="1" x14ac:dyDescent="0.2">
      <c r="A7" s="55" t="str">
        <f>Table!A7</f>
        <v>Shell Exploration &amp; Production Company</v>
      </c>
      <c r="B7" s="105"/>
      <c r="C7" s="105"/>
      <c r="D7" s="105"/>
      <c r="E7" s="118"/>
      <c r="F7" s="118"/>
      <c r="G7" s="118"/>
      <c r="H7" s="118"/>
      <c r="I7" s="106" t="str">
        <f>Table!L7</f>
        <v>Sample Number:</v>
      </c>
      <c r="M7" s="58" t="str">
        <f>Table!P7</f>
        <v>MC 13</v>
      </c>
      <c r="N7" s="118"/>
      <c r="O7" s="55"/>
      <c r="P7" s="137"/>
      <c r="Q7" s="24"/>
      <c r="R7" s="24"/>
      <c r="S7" s="142"/>
      <c r="T7" s="155"/>
      <c r="U7" s="28"/>
      <c r="V7" s="51"/>
      <c r="AE7" s="27"/>
      <c r="AF7" s="150"/>
      <c r="AG7" s="150"/>
    </row>
    <row r="8" spans="1:40" ht="12.4" customHeight="1" x14ac:dyDescent="0.2">
      <c r="A8" s="55" t="str">
        <f>Table!A8</f>
        <v>OCS-Y-2321 Burger J 001</v>
      </c>
      <c r="B8" s="105"/>
      <c r="C8" s="105"/>
      <c r="D8" s="105"/>
      <c r="E8" s="105"/>
      <c r="F8" s="105"/>
      <c r="G8" s="105"/>
      <c r="H8" s="105"/>
      <c r="I8" s="106" t="str">
        <f>Table!L8</f>
        <v>Sample Depth, feet:</v>
      </c>
      <c r="M8" s="160">
        <f>Table!P8</f>
        <v>0</v>
      </c>
      <c r="N8" s="118"/>
      <c r="O8" s="55"/>
      <c r="P8" s="137"/>
      <c r="Q8" s="24"/>
      <c r="R8" s="24"/>
      <c r="S8" s="142"/>
      <c r="T8" s="155"/>
      <c r="U8" s="28"/>
      <c r="V8" s="51"/>
      <c r="AE8" s="91"/>
      <c r="AF8" s="150"/>
      <c r="AG8" s="150"/>
    </row>
    <row r="9" spans="1:40" ht="12.4" customHeight="1" x14ac:dyDescent="0.2">
      <c r="A9" s="55" t="str">
        <f>Table!A9</f>
        <v>Offshore</v>
      </c>
      <c r="B9" s="105"/>
      <c r="C9" s="105"/>
      <c r="D9" s="105"/>
      <c r="E9" s="105"/>
      <c r="F9" s="105"/>
      <c r="G9" s="105"/>
      <c r="H9" s="105"/>
      <c r="I9" s="108" t="str">
        <f>Table!L9</f>
        <v>Permeability to Air (calc), mD:</v>
      </c>
      <c r="K9" s="105"/>
      <c r="L9" s="105"/>
      <c r="M9" s="163">
        <f>Table!P9</f>
        <v>129.0310883988123</v>
      </c>
      <c r="N9" s="118"/>
      <c r="O9" s="55" t="s">
        <v>38</v>
      </c>
      <c r="P9" s="137"/>
      <c r="Q9" s="41"/>
      <c r="R9" s="24"/>
      <c r="S9" s="24"/>
      <c r="T9" s="96"/>
      <c r="U9" s="96"/>
      <c r="V9" s="35"/>
      <c r="AE9" s="91"/>
      <c r="AF9" s="150"/>
      <c r="AG9" s="150"/>
    </row>
    <row r="10" spans="1:40" ht="12.4" customHeight="1" x14ac:dyDescent="0.2">
      <c r="A10" s="55" t="str">
        <f>Table!A10</f>
        <v>HH-77445</v>
      </c>
      <c r="B10" s="105"/>
      <c r="C10" s="105"/>
      <c r="D10" s="105"/>
      <c r="E10" s="118"/>
      <c r="F10" s="118"/>
      <c r="G10" s="118"/>
      <c r="H10" s="118"/>
      <c r="I10" s="108" t="str">
        <f>Table!L10</f>
        <v>Porosity, fraction:</v>
      </c>
      <c r="K10" s="105"/>
      <c r="L10" s="105"/>
      <c r="M10" s="133">
        <f>K23</f>
        <v>0.28192322762664823</v>
      </c>
      <c r="N10" s="118"/>
      <c r="O10" s="9" t="s">
        <v>38</v>
      </c>
      <c r="P10" s="94"/>
      <c r="Q10" s="41"/>
      <c r="R10" s="24"/>
      <c r="S10" s="24"/>
      <c r="T10" s="96"/>
      <c r="U10" s="142"/>
      <c r="V10" s="35"/>
      <c r="AE10" s="91"/>
      <c r="AF10" s="150"/>
      <c r="AG10" s="150"/>
    </row>
    <row r="11" spans="1:40" ht="12.4" customHeight="1" x14ac:dyDescent="0.2">
      <c r="A11" s="175" t="s">
        <v>96</v>
      </c>
      <c r="B11" s="105"/>
      <c r="C11" s="105"/>
      <c r="D11" s="105"/>
      <c r="E11" s="118"/>
      <c r="F11" s="118"/>
      <c r="G11" s="118"/>
      <c r="H11" s="105"/>
      <c r="I11" s="106" t="str">
        <f>Table!L11</f>
        <v>Grain Density, grams/cc:</v>
      </c>
      <c r="M11" s="75">
        <f>L23</f>
        <v>2.6724391219431127</v>
      </c>
      <c r="N11" s="118"/>
      <c r="O11" s="9" t="s">
        <v>38</v>
      </c>
      <c r="P11" s="94"/>
      <c r="Q11" s="24"/>
      <c r="R11" s="59"/>
      <c r="S11" s="126"/>
      <c r="T11" s="126"/>
      <c r="U11" s="153"/>
      <c r="V11" s="26"/>
      <c r="AE11" s="91"/>
      <c r="AF11" s="150"/>
      <c r="AG11" s="150"/>
    </row>
    <row r="12" spans="1:40" ht="12.4" customHeight="1" x14ac:dyDescent="0.2">
      <c r="A12" s="55"/>
      <c r="B12" s="105"/>
      <c r="C12" s="105"/>
      <c r="D12" s="105"/>
      <c r="E12" s="105"/>
      <c r="F12" s="105"/>
      <c r="G12" s="105"/>
      <c r="H12" s="105"/>
      <c r="I12" s="105"/>
      <c r="J12" s="108"/>
      <c r="K12" s="105"/>
      <c r="L12" s="105"/>
      <c r="M12" s="133"/>
      <c r="N12" s="118"/>
      <c r="O12" s="82"/>
      <c r="P12" s="162"/>
      <c r="Q12" s="24"/>
      <c r="R12" s="41"/>
      <c r="S12" s="24"/>
      <c r="T12" s="135"/>
      <c r="U12" s="41"/>
      <c r="V12" s="26"/>
      <c r="AE12" s="150"/>
      <c r="AF12" s="150"/>
      <c r="AG12" s="150"/>
    </row>
    <row r="13" spans="1:40" ht="12.4" customHeight="1" x14ac:dyDescent="0.2">
      <c r="A13" s="4"/>
      <c r="B13" s="4" t="s">
        <v>57</v>
      </c>
      <c r="C13" s="4" t="s">
        <v>56</v>
      </c>
      <c r="D13" s="4" t="s">
        <v>57</v>
      </c>
      <c r="E13" s="4" t="s">
        <v>56</v>
      </c>
      <c r="F13" s="4" t="s">
        <v>90</v>
      </c>
      <c r="G13" s="29"/>
      <c r="H13" s="29"/>
      <c r="N13" s="118"/>
      <c r="O13" s="82"/>
      <c r="P13" s="162"/>
      <c r="Q13" s="24"/>
      <c r="R13" s="24"/>
      <c r="S13" s="24"/>
      <c r="T13" s="135"/>
      <c r="U13" s="24"/>
      <c r="V13" s="26"/>
      <c r="AE13" s="150"/>
      <c r="AF13" s="150"/>
      <c r="AG13" s="150"/>
    </row>
    <row r="14" spans="1:40" ht="12.4" customHeight="1" x14ac:dyDescent="0.2">
      <c r="A14" s="40" t="s">
        <v>84</v>
      </c>
      <c r="B14" s="40" t="s">
        <v>62</v>
      </c>
      <c r="C14" s="40" t="s">
        <v>62</v>
      </c>
      <c r="D14" s="40" t="s">
        <v>62</v>
      </c>
      <c r="E14" s="40" t="s">
        <v>62</v>
      </c>
      <c r="F14" s="40" t="s">
        <v>49</v>
      </c>
      <c r="G14" s="29"/>
      <c r="H14" s="29"/>
      <c r="I14" s="16"/>
      <c r="J14" s="16"/>
      <c r="K14" s="16"/>
      <c r="L14" s="16"/>
      <c r="M14" s="16"/>
      <c r="N14" s="118"/>
      <c r="O14" s="82"/>
      <c r="P14" s="162"/>
      <c r="Q14" s="24"/>
      <c r="R14" s="24"/>
      <c r="S14" s="24"/>
      <c r="T14" s="135"/>
      <c r="U14" s="24"/>
      <c r="V14" s="26"/>
      <c r="AE14" s="150"/>
      <c r="AF14" s="150"/>
      <c r="AG14" s="150"/>
    </row>
    <row r="15" spans="1:40" ht="12.4" customHeight="1" x14ac:dyDescent="0.2">
      <c r="A15" s="40" t="s">
        <v>77</v>
      </c>
      <c r="B15" s="40" t="s">
        <v>3</v>
      </c>
      <c r="C15" s="40" t="s">
        <v>3</v>
      </c>
      <c r="D15" s="40" t="s">
        <v>5</v>
      </c>
      <c r="E15" s="40" t="s">
        <v>5</v>
      </c>
      <c r="F15" s="40" t="s">
        <v>5</v>
      </c>
      <c r="G15" s="29"/>
      <c r="H15" s="29"/>
      <c r="I15" s="29"/>
      <c r="J15" s="29"/>
      <c r="K15" s="29"/>
      <c r="L15" s="16"/>
      <c r="M15" s="16"/>
      <c r="N15" s="105"/>
      <c r="O15" s="82"/>
      <c r="P15" s="162"/>
      <c r="Q15" s="24"/>
      <c r="R15" s="24"/>
      <c r="S15" s="24"/>
      <c r="T15" s="135"/>
      <c r="U15" s="24"/>
      <c r="V15" s="26"/>
      <c r="AE15" s="150"/>
      <c r="AF15" s="150"/>
      <c r="AG15" s="150"/>
    </row>
    <row r="16" spans="1:40" ht="12.4" customHeight="1" x14ac:dyDescent="0.2">
      <c r="A16" s="47" t="s">
        <v>48</v>
      </c>
      <c r="B16" s="47" t="s">
        <v>35</v>
      </c>
      <c r="C16" s="47" t="s">
        <v>35</v>
      </c>
      <c r="D16" s="47" t="s">
        <v>25</v>
      </c>
      <c r="E16" s="47" t="s">
        <v>25</v>
      </c>
      <c r="F16" s="47" t="s">
        <v>25</v>
      </c>
      <c r="G16" s="29"/>
      <c r="H16" s="29"/>
      <c r="I16" s="29"/>
      <c r="J16" s="29"/>
      <c r="K16" s="29"/>
      <c r="L16" s="29"/>
      <c r="M16" s="29"/>
      <c r="N16" s="105"/>
      <c r="O16" s="162"/>
      <c r="P16" s="162"/>
      <c r="Q16" s="41"/>
      <c r="R16" s="26"/>
      <c r="S16" s="26"/>
      <c r="T16" s="26"/>
      <c r="U16" s="26"/>
      <c r="V16" s="26"/>
      <c r="AE16" s="150"/>
      <c r="AF16" s="150"/>
      <c r="AG16" s="150"/>
    </row>
    <row r="17" spans="1:35" ht="12.4" customHeight="1" x14ac:dyDescent="0.2">
      <c r="A17" s="118"/>
      <c r="B17" s="118"/>
      <c r="E17" s="118"/>
      <c r="F17" s="118"/>
      <c r="G17" s="118"/>
      <c r="H17" s="118"/>
      <c r="I17" s="118"/>
      <c r="J17" s="118"/>
      <c r="K17" s="118"/>
      <c r="L17" s="118"/>
      <c r="M17" s="118"/>
      <c r="N17" s="105"/>
      <c r="O17" s="162"/>
      <c r="P17" s="162"/>
      <c r="Q17" s="30"/>
      <c r="R17" s="41"/>
      <c r="S17" s="41"/>
      <c r="T17" s="151"/>
      <c r="U17" s="26"/>
      <c r="V17" s="26"/>
      <c r="AE17" s="150"/>
      <c r="AF17" s="150"/>
      <c r="AG17" s="150"/>
    </row>
    <row r="18" spans="1:35" ht="12.4" customHeight="1" x14ac:dyDescent="0.2">
      <c r="A18" s="157">
        <v>1.5110735893249512</v>
      </c>
      <c r="B18" s="8">
        <v>0</v>
      </c>
      <c r="C18" s="98">
        <f t="shared" ref="C18:C49" si="0">IF(B18-I$27&lt;0,0,B18-I$27)</f>
        <v>0</v>
      </c>
      <c r="D18" s="98">
        <f t="shared" ref="D18:D136" si="1">B18/$B$136</f>
        <v>0</v>
      </c>
      <c r="E18" s="98">
        <f t="shared" ref="E18:E49" si="2">C18/$H$23</f>
        <v>0</v>
      </c>
      <c r="F18" s="98">
        <f t="shared" ref="F18:F136" si="3">E18-E17</f>
        <v>0</v>
      </c>
      <c r="G18" s="98"/>
      <c r="H18" s="127" t="s">
        <v>76</v>
      </c>
      <c r="I18" s="12"/>
      <c r="J18" s="12"/>
      <c r="K18" s="12"/>
      <c r="L18" s="12"/>
      <c r="M18" s="22"/>
      <c r="O18" s="157"/>
      <c r="P18" s="162"/>
      <c r="Q18" s="122"/>
      <c r="R18" s="65"/>
      <c r="S18" s="52"/>
      <c r="T18" s="68"/>
      <c r="U18" s="68"/>
      <c r="V18" s="68"/>
      <c r="W18" s="85"/>
      <c r="X18" s="122"/>
      <c r="AG18" s="150"/>
      <c r="AH18" s="150"/>
      <c r="AI18" s="150"/>
    </row>
    <row r="19" spans="1:35" ht="12.4" customHeight="1" x14ac:dyDescent="0.2">
      <c r="A19" s="157">
        <v>1.588789701461792</v>
      </c>
      <c r="B19" s="8">
        <v>4.8652694504562529E-4</v>
      </c>
      <c r="C19" s="98">
        <f t="shared" si="0"/>
        <v>0</v>
      </c>
      <c r="D19" s="98">
        <f t="shared" si="1"/>
        <v>2.9978130919750651E-4</v>
      </c>
      <c r="E19" s="98">
        <f t="shared" si="2"/>
        <v>0</v>
      </c>
      <c r="F19" s="98">
        <f t="shared" si="3"/>
        <v>0</v>
      </c>
      <c r="G19" s="98"/>
      <c r="H19" s="4" t="s">
        <v>88</v>
      </c>
      <c r="I19" s="4" t="s">
        <v>2</v>
      </c>
      <c r="J19" s="4" t="s">
        <v>83</v>
      </c>
      <c r="K19" s="4"/>
      <c r="L19" s="4" t="s">
        <v>83</v>
      </c>
      <c r="M19" s="4" t="s">
        <v>15</v>
      </c>
      <c r="O19" s="157"/>
      <c r="P19" s="162"/>
      <c r="Q19" s="122"/>
      <c r="R19" s="65"/>
      <c r="S19" s="29"/>
      <c r="T19" s="29"/>
      <c r="U19" s="29"/>
      <c r="V19" s="29"/>
      <c r="W19" s="85"/>
      <c r="X19" s="122"/>
      <c r="AG19" s="150"/>
      <c r="AH19" s="150"/>
      <c r="AI19" s="150"/>
    </row>
    <row r="20" spans="1:35" ht="12.4" customHeight="1" x14ac:dyDescent="0.2">
      <c r="A20" s="157">
        <v>1.8008730411529541</v>
      </c>
      <c r="B20" s="8">
        <v>1.6039992940422962E-3</v>
      </c>
      <c r="C20" s="98">
        <f t="shared" si="0"/>
        <v>0</v>
      </c>
      <c r="D20" s="98">
        <f t="shared" si="1"/>
        <v>9.8832965618128902E-4</v>
      </c>
      <c r="E20" s="98">
        <f t="shared" si="2"/>
        <v>0</v>
      </c>
      <c r="F20" s="98">
        <f t="shared" si="3"/>
        <v>0</v>
      </c>
      <c r="G20" s="98"/>
      <c r="H20" s="40" t="s">
        <v>3</v>
      </c>
      <c r="I20" s="40" t="s">
        <v>3</v>
      </c>
      <c r="J20" s="40" t="s">
        <v>3</v>
      </c>
      <c r="K20" s="40" t="s">
        <v>61</v>
      </c>
      <c r="L20" s="40" t="s">
        <v>39</v>
      </c>
      <c r="M20" s="40" t="s">
        <v>9</v>
      </c>
      <c r="O20" s="157"/>
      <c r="P20" s="162"/>
      <c r="Q20" s="122"/>
      <c r="R20" s="65"/>
      <c r="S20" s="29"/>
      <c r="T20" s="29"/>
      <c r="U20" s="29"/>
      <c r="V20" s="29"/>
      <c r="W20" s="85"/>
      <c r="X20" s="122"/>
      <c r="AG20" s="150"/>
      <c r="AH20" s="150"/>
      <c r="AI20" s="150"/>
    </row>
    <row r="21" spans="1:35" ht="12.4" customHeight="1" x14ac:dyDescent="0.2">
      <c r="A21" s="157">
        <v>2.0034613609313965</v>
      </c>
      <c r="B21" s="8">
        <v>8.7418033817593822E-3</v>
      </c>
      <c r="C21" s="98">
        <f t="shared" si="0"/>
        <v>0</v>
      </c>
      <c r="D21" s="98">
        <f t="shared" si="1"/>
        <v>5.386401080592281E-3</v>
      </c>
      <c r="E21" s="98">
        <f t="shared" si="2"/>
        <v>0</v>
      </c>
      <c r="F21" s="98">
        <f t="shared" si="3"/>
        <v>0</v>
      </c>
      <c r="G21" s="98"/>
      <c r="H21" s="47" t="s">
        <v>35</v>
      </c>
      <c r="I21" s="47" t="s">
        <v>35</v>
      </c>
      <c r="J21" s="47" t="s">
        <v>35</v>
      </c>
      <c r="K21" s="47" t="s">
        <v>25</v>
      </c>
      <c r="L21" s="47" t="s">
        <v>26</v>
      </c>
      <c r="M21" s="47" t="s">
        <v>18</v>
      </c>
      <c r="O21" s="157"/>
      <c r="P21" s="162"/>
      <c r="Q21" s="122"/>
      <c r="R21" s="65"/>
      <c r="S21" s="29"/>
      <c r="T21" s="29"/>
      <c r="U21" s="29"/>
      <c r="V21" s="29"/>
      <c r="W21" s="85"/>
      <c r="X21" s="122"/>
      <c r="AG21" s="21"/>
      <c r="AH21" s="150"/>
      <c r="AI21" s="150"/>
    </row>
    <row r="22" spans="1:35" ht="12.4" customHeight="1" x14ac:dyDescent="0.2">
      <c r="A22" s="157">
        <v>2.1601700782775879</v>
      </c>
      <c r="B22" s="8">
        <v>1.2848431954444094E-2</v>
      </c>
      <c r="C22" s="98">
        <f t="shared" si="0"/>
        <v>0</v>
      </c>
      <c r="D22" s="98">
        <f t="shared" si="1"/>
        <v>7.91676553921823E-3</v>
      </c>
      <c r="E22" s="98">
        <f t="shared" si="2"/>
        <v>0</v>
      </c>
      <c r="F22" s="98">
        <f t="shared" si="3"/>
        <v>0</v>
      </c>
      <c r="G22" s="98"/>
      <c r="H22" s="138"/>
      <c r="I22" s="157"/>
      <c r="J22" s="157"/>
      <c r="K22" s="157"/>
      <c r="L22" s="157"/>
      <c r="M22" s="157"/>
      <c r="O22" s="157"/>
      <c r="P22" s="162"/>
      <c r="Q22" s="122"/>
      <c r="R22" s="65"/>
      <c r="S22" s="63"/>
      <c r="T22" s="85"/>
      <c r="U22" s="85"/>
      <c r="V22" s="85"/>
      <c r="W22" s="85"/>
      <c r="X22" s="122"/>
      <c r="AG22" s="21"/>
      <c r="AH22" s="150"/>
      <c r="AI22" s="150"/>
    </row>
    <row r="23" spans="1:35" ht="12.4" customHeight="1" x14ac:dyDescent="0.2">
      <c r="A23" s="157">
        <v>2.3577313423156738</v>
      </c>
      <c r="B23" s="8">
        <v>1.5938217466398782E-2</v>
      </c>
      <c r="C23" s="98">
        <f t="shared" si="0"/>
        <v>0</v>
      </c>
      <c r="D23" s="98">
        <f t="shared" si="1"/>
        <v>9.8205859860516567E-3</v>
      </c>
      <c r="E23" s="98">
        <f t="shared" si="2"/>
        <v>0</v>
      </c>
      <c r="F23" s="98">
        <f t="shared" si="3"/>
        <v>0</v>
      </c>
      <c r="G23" s="98"/>
      <c r="H23" s="158">
        <f>C136</f>
        <v>1.5926542455059574</v>
      </c>
      <c r="I23" s="158">
        <f>(Table!AJ5-(Table!AJ4-Table!AJ2-'Raw Data'!M23)/Table!AJ3)-'Raw Data'!I27</f>
        <v>5.649248055627095</v>
      </c>
      <c r="J23" s="158">
        <f>I23-H23</f>
        <v>4.0565938101211376</v>
      </c>
      <c r="K23" s="119">
        <f>H23/I23</f>
        <v>0.28192322762664823</v>
      </c>
      <c r="L23" s="158">
        <f>M23/J23</f>
        <v>2.6724391219431127</v>
      </c>
      <c r="M23" s="158">
        <v>10.840999999999999</v>
      </c>
      <c r="O23" s="95"/>
      <c r="P23" s="162"/>
      <c r="Q23" s="122"/>
      <c r="R23" s="65"/>
      <c r="S23" s="93"/>
      <c r="T23" s="93"/>
      <c r="U23" s="93"/>
      <c r="V23" s="93"/>
      <c r="W23" s="85"/>
      <c r="X23" s="122"/>
      <c r="AG23" s="21"/>
      <c r="AH23" s="150"/>
      <c r="AI23" s="150"/>
    </row>
    <row r="24" spans="1:35" ht="12.4" customHeight="1" x14ac:dyDescent="0.2">
      <c r="A24" s="157">
        <v>2.5686178207397461</v>
      </c>
      <c r="B24" s="8">
        <v>1.8921362820947252E-2</v>
      </c>
      <c r="C24" s="98">
        <f t="shared" si="0"/>
        <v>0</v>
      </c>
      <c r="D24" s="98">
        <f t="shared" si="1"/>
        <v>1.1658698405147242E-2</v>
      </c>
      <c r="E24" s="98">
        <f t="shared" si="2"/>
        <v>0</v>
      </c>
      <c r="F24" s="98">
        <f t="shared" si="3"/>
        <v>0</v>
      </c>
      <c r="G24" s="98"/>
      <c r="H24" s="138"/>
      <c r="I24" s="157"/>
      <c r="J24" s="157"/>
      <c r="K24" s="157"/>
      <c r="L24" s="157"/>
      <c r="M24" s="39"/>
      <c r="O24" s="157"/>
      <c r="P24" s="162"/>
      <c r="Q24" s="122"/>
      <c r="R24" s="65"/>
      <c r="S24" s="26"/>
      <c r="T24" s="26"/>
      <c r="U24" s="26"/>
      <c r="V24" s="26"/>
      <c r="W24" s="85"/>
      <c r="X24" s="122"/>
      <c r="AG24" s="21"/>
      <c r="AH24" s="150"/>
      <c r="AI24" s="150"/>
    </row>
    <row r="25" spans="1:35" ht="12.4" customHeight="1" x14ac:dyDescent="0.2">
      <c r="A25" s="157">
        <v>2.8085479736328125</v>
      </c>
      <c r="B25" s="8">
        <v>2.1360507953846534E-2</v>
      </c>
      <c r="C25" s="98">
        <f t="shared" si="0"/>
        <v>0</v>
      </c>
      <c r="D25" s="98">
        <f t="shared" si="1"/>
        <v>1.3161616442286382E-2</v>
      </c>
      <c r="E25" s="98">
        <f t="shared" si="2"/>
        <v>0</v>
      </c>
      <c r="F25" s="98">
        <f t="shared" si="3"/>
        <v>0</v>
      </c>
      <c r="G25" s="98"/>
      <c r="I25" s="166" t="s">
        <v>36</v>
      </c>
      <c r="J25" s="167"/>
      <c r="K25" s="166" t="s">
        <v>64</v>
      </c>
      <c r="L25" s="167"/>
      <c r="M25" s="63"/>
      <c r="O25" s="157"/>
      <c r="P25" s="162"/>
      <c r="Q25" s="122"/>
      <c r="R25" s="65"/>
      <c r="S25" s="52"/>
      <c r="T25" s="68"/>
      <c r="U25" s="68"/>
      <c r="V25" s="68"/>
      <c r="W25" s="85"/>
      <c r="X25" s="122"/>
      <c r="AG25" s="102"/>
      <c r="AH25" s="150"/>
      <c r="AI25" s="150"/>
    </row>
    <row r="26" spans="1:35" ht="12.4" customHeight="1" x14ac:dyDescent="0.2">
      <c r="A26" s="157">
        <v>3.092841625213623</v>
      </c>
      <c r="B26" s="8">
        <v>2.2665673328032425E-2</v>
      </c>
      <c r="C26" s="98">
        <f t="shared" si="0"/>
        <v>0</v>
      </c>
      <c r="D26" s="98">
        <f t="shared" si="1"/>
        <v>1.3965814829604906E-2</v>
      </c>
      <c r="E26" s="98">
        <f t="shared" si="2"/>
        <v>0</v>
      </c>
      <c r="F26" s="98">
        <f t="shared" si="3"/>
        <v>0</v>
      </c>
      <c r="G26" s="98"/>
      <c r="I26" s="168" t="s">
        <v>35</v>
      </c>
      <c r="J26" s="169"/>
      <c r="K26" s="168" t="s">
        <v>48</v>
      </c>
      <c r="L26" s="169"/>
      <c r="M26" s="26"/>
      <c r="O26" s="157"/>
      <c r="P26" s="162"/>
      <c r="Q26" s="122"/>
      <c r="R26" s="65"/>
      <c r="S26" s="29"/>
      <c r="T26" s="29"/>
      <c r="U26" s="29"/>
      <c r="V26" s="29"/>
      <c r="W26" s="85"/>
      <c r="X26" s="122"/>
      <c r="AG26" s="102"/>
      <c r="AH26" s="150"/>
      <c r="AI26" s="150"/>
    </row>
    <row r="27" spans="1:35" ht="12.4" customHeight="1" x14ac:dyDescent="0.2">
      <c r="A27" s="157">
        <v>3.3805665969848633</v>
      </c>
      <c r="B27" s="8">
        <v>2.3619650730564899E-2</v>
      </c>
      <c r="C27" s="98">
        <f t="shared" si="0"/>
        <v>0</v>
      </c>
      <c r="D27" s="98">
        <f t="shared" si="1"/>
        <v>1.4553623167022276E-2</v>
      </c>
      <c r="E27" s="98">
        <f t="shared" si="2"/>
        <v>0</v>
      </c>
      <c r="F27" s="98">
        <f t="shared" si="3"/>
        <v>0</v>
      </c>
      <c r="G27" s="98"/>
      <c r="I27" s="45">
        <v>3.0285311159612319E-2</v>
      </c>
      <c r="J27" s="77"/>
      <c r="K27" s="38">
        <f ca="1">LOOKUP(I27,B$18:B$136,OFFSET(A$18:A$136,1,0))</f>
        <v>11.889033317565918</v>
      </c>
      <c r="L27" s="77"/>
      <c r="M27" s="125"/>
      <c r="O27" s="157"/>
      <c r="P27" s="162"/>
      <c r="Q27" s="122"/>
      <c r="R27" s="65"/>
      <c r="S27" s="29"/>
      <c r="T27" s="29"/>
      <c r="U27" s="29"/>
      <c r="V27" s="29"/>
      <c r="W27" s="85"/>
      <c r="X27" s="122"/>
      <c r="AG27" s="102"/>
      <c r="AH27" s="150"/>
      <c r="AI27" s="150"/>
    </row>
    <row r="28" spans="1:35" ht="12.4" customHeight="1" x14ac:dyDescent="0.2">
      <c r="A28" s="157">
        <v>3.7120962142944336</v>
      </c>
      <c r="B28" s="8">
        <v>2.4207838144553531E-2</v>
      </c>
      <c r="C28" s="98">
        <f t="shared" si="0"/>
        <v>0</v>
      </c>
      <c r="D28" s="98">
        <f t="shared" si="1"/>
        <v>1.4916044189772564E-2</v>
      </c>
      <c r="E28" s="98">
        <f t="shared" si="2"/>
        <v>0</v>
      </c>
      <c r="F28" s="98">
        <f t="shared" si="3"/>
        <v>0</v>
      </c>
      <c r="G28" s="98"/>
      <c r="O28" s="157"/>
      <c r="P28" s="162"/>
      <c r="Q28" s="122"/>
      <c r="R28" s="65"/>
      <c r="S28" s="29"/>
      <c r="T28" s="29"/>
      <c r="U28" s="29"/>
      <c r="V28" s="29"/>
      <c r="W28" s="85"/>
      <c r="X28" s="122"/>
      <c r="AG28" s="102"/>
      <c r="AH28" s="150"/>
      <c r="AI28" s="150"/>
    </row>
    <row r="29" spans="1:35" ht="12.4" customHeight="1" x14ac:dyDescent="0.2">
      <c r="A29" s="157">
        <v>4.0473761558532715</v>
      </c>
      <c r="B29" s="8">
        <v>2.4390652367081201E-2</v>
      </c>
      <c r="C29" s="98">
        <f t="shared" si="0"/>
        <v>0</v>
      </c>
      <c r="D29" s="98">
        <f t="shared" si="1"/>
        <v>1.502868807831224E-2</v>
      </c>
      <c r="E29" s="98">
        <f t="shared" si="2"/>
        <v>0</v>
      </c>
      <c r="F29" s="98">
        <f t="shared" si="3"/>
        <v>0</v>
      </c>
      <c r="G29" s="98"/>
      <c r="O29" s="157"/>
      <c r="P29" s="162"/>
      <c r="Q29" s="122"/>
      <c r="R29" s="65"/>
      <c r="S29" s="63"/>
      <c r="T29" s="85"/>
      <c r="U29" s="85"/>
      <c r="V29" s="85"/>
      <c r="W29" s="85"/>
      <c r="X29" s="122"/>
      <c r="AG29" s="141"/>
      <c r="AH29" s="150"/>
      <c r="AI29" s="150"/>
    </row>
    <row r="30" spans="1:35" ht="12.4" customHeight="1" x14ac:dyDescent="0.2">
      <c r="A30" s="157">
        <v>4.4245462417602539</v>
      </c>
      <c r="B30" s="8">
        <v>2.5106820085718934E-2</v>
      </c>
      <c r="C30" s="98">
        <f t="shared" si="0"/>
        <v>0</v>
      </c>
      <c r="D30" s="98">
        <f t="shared" si="1"/>
        <v>1.5469966199667014E-2</v>
      </c>
      <c r="E30" s="98">
        <f t="shared" si="2"/>
        <v>0</v>
      </c>
      <c r="F30" s="98">
        <f t="shared" si="3"/>
        <v>0</v>
      </c>
      <c r="G30" s="98"/>
      <c r="N30" s="156"/>
      <c r="O30" s="98"/>
      <c r="P30" s="162"/>
      <c r="Q30" s="26"/>
      <c r="R30" s="65"/>
      <c r="S30" s="93"/>
      <c r="T30" s="93"/>
      <c r="U30" s="93"/>
      <c r="V30" s="93"/>
      <c r="W30" s="84"/>
      <c r="X30" s="17"/>
    </row>
    <row r="31" spans="1:35" ht="12.4" customHeight="1" x14ac:dyDescent="0.2">
      <c r="A31" s="157">
        <v>4.8120889663696289</v>
      </c>
      <c r="B31" s="8">
        <v>2.5582987186899116E-2</v>
      </c>
      <c r="C31" s="98">
        <f t="shared" si="0"/>
        <v>0</v>
      </c>
      <c r="D31" s="98">
        <f t="shared" si="1"/>
        <v>1.5763364126425605E-2</v>
      </c>
      <c r="E31" s="98">
        <f t="shared" si="2"/>
        <v>0</v>
      </c>
      <c r="F31" s="98">
        <f t="shared" si="3"/>
        <v>0</v>
      </c>
      <c r="G31" s="98"/>
      <c r="O31" s="140"/>
      <c r="P31" s="162"/>
      <c r="Q31" s="93"/>
      <c r="R31" s="26"/>
      <c r="S31" s="26"/>
      <c r="T31" s="26"/>
      <c r="U31" s="26"/>
      <c r="V31" s="26"/>
    </row>
    <row r="32" spans="1:35" ht="12.4" customHeight="1" x14ac:dyDescent="0.2">
      <c r="A32" s="157">
        <v>5.2726402282714844</v>
      </c>
      <c r="B32" s="8">
        <v>2.5880249922796791E-2</v>
      </c>
      <c r="C32" s="98">
        <f t="shared" si="0"/>
        <v>0</v>
      </c>
      <c r="D32" s="98">
        <f t="shared" si="1"/>
        <v>1.5946527285322549E-2</v>
      </c>
      <c r="E32" s="98">
        <f t="shared" si="2"/>
        <v>0</v>
      </c>
      <c r="F32" s="98">
        <f t="shared" si="3"/>
        <v>0</v>
      </c>
      <c r="G32" s="98"/>
      <c r="N32" s="39"/>
      <c r="O32" s="140"/>
      <c r="P32" s="162"/>
      <c r="Q32" s="93"/>
      <c r="R32" s="26"/>
      <c r="S32" s="26"/>
      <c r="T32" s="26"/>
      <c r="U32" s="26"/>
      <c r="V32" s="26"/>
    </row>
    <row r="33" spans="1:22" ht="12.4" customHeight="1" x14ac:dyDescent="0.2">
      <c r="A33" s="157">
        <v>5.7738046646118164</v>
      </c>
      <c r="B33" s="8">
        <v>2.5940157315861141E-2</v>
      </c>
      <c r="C33" s="98">
        <f t="shared" si="0"/>
        <v>0</v>
      </c>
      <c r="D33" s="98">
        <f t="shared" si="1"/>
        <v>1.5983440177622394E-2</v>
      </c>
      <c r="E33" s="98">
        <f t="shared" si="2"/>
        <v>0</v>
      </c>
      <c r="F33" s="98">
        <f t="shared" si="3"/>
        <v>0</v>
      </c>
      <c r="G33" s="98"/>
      <c r="N33" s="39"/>
      <c r="O33" s="140"/>
      <c r="P33" s="162"/>
      <c r="Q33" s="93"/>
      <c r="R33" s="26"/>
      <c r="S33" s="26"/>
      <c r="T33" s="26"/>
      <c r="U33" s="26"/>
      <c r="V33" s="26"/>
    </row>
    <row r="34" spans="1:22" ht="12.4" customHeight="1" x14ac:dyDescent="0.2">
      <c r="A34" s="157">
        <v>6.3101568222045898</v>
      </c>
      <c r="B34" s="8">
        <v>2.6297274438366002E-2</v>
      </c>
      <c r="C34" s="98">
        <f t="shared" si="0"/>
        <v>0</v>
      </c>
      <c r="D34" s="98">
        <f t="shared" si="1"/>
        <v>1.6203483568048207E-2</v>
      </c>
      <c r="E34" s="98">
        <f t="shared" si="2"/>
        <v>0</v>
      </c>
      <c r="F34" s="98">
        <f t="shared" si="3"/>
        <v>0</v>
      </c>
      <c r="G34" s="98"/>
      <c r="N34" s="39"/>
      <c r="O34" s="140"/>
      <c r="P34" s="162"/>
      <c r="Q34" s="93"/>
      <c r="R34" s="26"/>
      <c r="S34" s="26"/>
      <c r="T34" s="26"/>
      <c r="U34" s="26"/>
      <c r="V34" s="26"/>
    </row>
    <row r="35" spans="1:22" ht="12.4" customHeight="1" x14ac:dyDescent="0.2">
      <c r="A35" s="157">
        <v>6.9004478454589844</v>
      </c>
      <c r="B35" s="8">
        <v>2.6773320381929804E-2</v>
      </c>
      <c r="C35" s="98">
        <f t="shared" si="0"/>
        <v>0</v>
      </c>
      <c r="D35" s="98">
        <f t="shared" si="1"/>
        <v>1.6496806841615995E-2</v>
      </c>
      <c r="E35" s="98">
        <f t="shared" si="2"/>
        <v>0</v>
      </c>
      <c r="F35" s="98">
        <f t="shared" si="3"/>
        <v>0</v>
      </c>
      <c r="G35" s="98"/>
      <c r="H35" s="138"/>
      <c r="I35" s="157"/>
      <c r="J35" s="157"/>
      <c r="K35" s="85"/>
      <c r="L35" s="85"/>
      <c r="M35" s="85"/>
      <c r="N35" s="39"/>
      <c r="O35" s="140"/>
      <c r="P35" s="162"/>
      <c r="Q35" s="93"/>
      <c r="R35" s="26"/>
      <c r="S35" s="26"/>
      <c r="T35" s="26"/>
      <c r="U35" s="26"/>
      <c r="V35" s="26"/>
    </row>
    <row r="36" spans="1:22" ht="12.4" customHeight="1" x14ac:dyDescent="0.2">
      <c r="A36" s="157">
        <v>7.549065113067627</v>
      </c>
      <c r="B36" s="8">
        <v>2.6832987983878408E-2</v>
      </c>
      <c r="C36" s="98">
        <f t="shared" si="0"/>
        <v>0</v>
      </c>
      <c r="D36" s="98">
        <f t="shared" si="1"/>
        <v>1.6533571982809053E-2</v>
      </c>
      <c r="E36" s="98">
        <f t="shared" si="2"/>
        <v>0</v>
      </c>
      <c r="F36" s="98">
        <f t="shared" si="3"/>
        <v>0</v>
      </c>
      <c r="G36" s="98"/>
      <c r="H36" s="138"/>
      <c r="I36" s="157"/>
      <c r="J36" s="157"/>
      <c r="K36" s="157"/>
      <c r="L36" s="157"/>
      <c r="M36" s="157"/>
      <c r="N36" s="39"/>
      <c r="O36" s="140"/>
      <c r="P36" s="162"/>
      <c r="Q36" s="93"/>
      <c r="R36" s="26"/>
      <c r="S36" s="26"/>
      <c r="T36" s="26"/>
      <c r="U36" s="26"/>
      <c r="V36" s="26"/>
    </row>
    <row r="37" spans="1:22" ht="12.4" customHeight="1" x14ac:dyDescent="0.2">
      <c r="A37" s="157">
        <v>8.2571268081665039</v>
      </c>
      <c r="B37" s="8">
        <v>2.7785148022165231E-2</v>
      </c>
      <c r="C37" s="98">
        <f t="shared" si="0"/>
        <v>0</v>
      </c>
      <c r="D37" s="98">
        <f t="shared" si="1"/>
        <v>1.7120260522364459E-2</v>
      </c>
      <c r="E37" s="98">
        <f t="shared" si="2"/>
        <v>0</v>
      </c>
      <c r="F37" s="98">
        <f t="shared" si="3"/>
        <v>0</v>
      </c>
      <c r="G37" s="98"/>
      <c r="H37" s="138"/>
      <c r="I37" s="157"/>
      <c r="J37" s="157"/>
      <c r="K37" s="157"/>
      <c r="L37" s="157"/>
      <c r="M37" s="157"/>
      <c r="N37" s="39"/>
      <c r="O37" s="140"/>
      <c r="P37" s="162"/>
      <c r="Q37" s="93"/>
      <c r="R37" s="26"/>
      <c r="S37" s="26"/>
      <c r="T37" s="26"/>
      <c r="U37" s="26"/>
      <c r="V37" s="26"/>
    </row>
    <row r="38" spans="1:22" ht="12.4" customHeight="1" x14ac:dyDescent="0.2">
      <c r="A38" s="157">
        <v>9.0387554168701172</v>
      </c>
      <c r="B38" s="8">
        <v>2.9035196777367673E-2</v>
      </c>
      <c r="C38" s="98">
        <f t="shared" si="0"/>
        <v>0</v>
      </c>
      <c r="D38" s="98">
        <f t="shared" si="1"/>
        <v>1.7890497928969264E-2</v>
      </c>
      <c r="E38" s="98">
        <f t="shared" si="2"/>
        <v>0</v>
      </c>
      <c r="F38" s="98">
        <f t="shared" si="3"/>
        <v>0</v>
      </c>
      <c r="G38" s="98"/>
      <c r="N38" s="39"/>
      <c r="O38" s="140"/>
      <c r="P38" s="162"/>
      <c r="Q38" s="93"/>
      <c r="R38" s="26"/>
      <c r="S38" s="26"/>
      <c r="T38" s="26"/>
      <c r="U38" s="26"/>
      <c r="V38" s="26"/>
    </row>
    <row r="39" spans="1:22" ht="12.4" customHeight="1" x14ac:dyDescent="0.2">
      <c r="A39" s="157">
        <v>9.8886842727661133</v>
      </c>
      <c r="B39" s="8">
        <v>2.9511212431527382E-2</v>
      </c>
      <c r="C39" s="98">
        <f t="shared" si="0"/>
        <v>0</v>
      </c>
      <c r="D39" s="98">
        <f t="shared" si="1"/>
        <v>1.8183802539239357E-2</v>
      </c>
      <c r="E39" s="98">
        <f t="shared" si="2"/>
        <v>0</v>
      </c>
      <c r="F39" s="98">
        <f t="shared" si="3"/>
        <v>0</v>
      </c>
      <c r="G39" s="98"/>
      <c r="N39" s="39"/>
      <c r="O39" s="140"/>
      <c r="P39" s="162"/>
      <c r="Q39" s="93"/>
      <c r="R39" s="26"/>
      <c r="S39" s="26"/>
      <c r="T39" s="26"/>
      <c r="U39" s="26"/>
      <c r="V39" s="26"/>
    </row>
    <row r="40" spans="1:22" ht="12.4" customHeight="1" x14ac:dyDescent="0.2">
      <c r="A40" s="157">
        <v>10.793349266052246</v>
      </c>
      <c r="B40" s="8">
        <v>3.0285311159612319E-2</v>
      </c>
      <c r="C40" s="98">
        <f t="shared" si="0"/>
        <v>0</v>
      </c>
      <c r="D40" s="98">
        <f t="shared" si="1"/>
        <v>1.8660775772719088E-2</v>
      </c>
      <c r="E40" s="98">
        <f t="shared" si="2"/>
        <v>0</v>
      </c>
      <c r="F40" s="98">
        <f t="shared" si="3"/>
        <v>0</v>
      </c>
      <c r="G40" s="98"/>
      <c r="N40" s="39"/>
      <c r="O40" s="140"/>
      <c r="P40" s="162"/>
      <c r="Q40" s="93"/>
      <c r="R40" s="26"/>
      <c r="S40" s="26"/>
      <c r="T40" s="26"/>
      <c r="U40" s="26"/>
      <c r="V40" s="26"/>
    </row>
    <row r="41" spans="1:22" ht="12.4" customHeight="1" x14ac:dyDescent="0.2">
      <c r="A41" s="157">
        <v>11.889033317565918</v>
      </c>
      <c r="B41" s="8">
        <v>3.2249255928145426E-2</v>
      </c>
      <c r="C41" s="98">
        <f t="shared" si="0"/>
        <v>1.9639447685331074E-3</v>
      </c>
      <c r="D41" s="98">
        <f t="shared" si="1"/>
        <v>1.987089155335121E-2</v>
      </c>
      <c r="E41" s="98">
        <f t="shared" si="2"/>
        <v>1.2331268849311344E-3</v>
      </c>
      <c r="F41" s="98">
        <f t="shared" si="3"/>
        <v>1.2331268849311344E-3</v>
      </c>
      <c r="G41" s="98"/>
      <c r="N41" s="39"/>
      <c r="O41" s="140"/>
      <c r="P41" s="162"/>
      <c r="Q41" s="93"/>
      <c r="R41" s="26"/>
      <c r="S41" s="26"/>
      <c r="T41" s="26"/>
      <c r="U41" s="26"/>
      <c r="V41" s="26"/>
    </row>
    <row r="42" spans="1:22" ht="12.4" customHeight="1" x14ac:dyDescent="0.2">
      <c r="A42" s="157">
        <v>12.888889312744141</v>
      </c>
      <c r="B42" s="8">
        <v>3.6356425923928327E-2</v>
      </c>
      <c r="C42" s="98">
        <f t="shared" si="0"/>
        <v>6.0711147643160088E-3</v>
      </c>
      <c r="D42" s="98">
        <f t="shared" si="1"/>
        <v>2.2401589618423538E-2</v>
      </c>
      <c r="E42" s="98">
        <f t="shared" si="2"/>
        <v>3.8119477478850568E-3</v>
      </c>
      <c r="F42" s="98">
        <f t="shared" si="3"/>
        <v>2.5788208629539226E-3</v>
      </c>
      <c r="G42" s="98"/>
      <c r="H42" s="138"/>
      <c r="I42" s="157"/>
      <c r="J42" s="157"/>
      <c r="K42" s="157"/>
      <c r="L42" s="157"/>
      <c r="M42" s="157"/>
      <c r="N42" s="39"/>
      <c r="O42" s="140"/>
      <c r="P42" s="162"/>
      <c r="Q42" s="93"/>
      <c r="R42" s="26"/>
      <c r="S42" s="26"/>
      <c r="T42" s="26"/>
      <c r="U42" s="26"/>
      <c r="V42" s="26"/>
    </row>
    <row r="43" spans="1:22" ht="12.4" customHeight="1" x14ac:dyDescent="0.2">
      <c r="A43" s="157">
        <v>14.186123847961426</v>
      </c>
      <c r="B43" s="8">
        <v>5.5581461554793349E-2</v>
      </c>
      <c r="C43" s="98">
        <f t="shared" si="0"/>
        <v>2.529615039518103E-2</v>
      </c>
      <c r="D43" s="98">
        <f t="shared" si="1"/>
        <v>3.4247400851445703E-2</v>
      </c>
      <c r="E43" s="98">
        <f t="shared" si="2"/>
        <v>1.5883014449972411E-2</v>
      </c>
      <c r="F43" s="98">
        <f t="shared" si="3"/>
        <v>1.2071066702087354E-2</v>
      </c>
      <c r="G43" s="98"/>
      <c r="H43" s="138"/>
      <c r="I43" s="157"/>
      <c r="J43" s="157"/>
      <c r="K43" s="157"/>
      <c r="L43" s="157"/>
      <c r="M43" s="73"/>
      <c r="N43" s="39"/>
      <c r="O43" s="140"/>
      <c r="P43" s="162"/>
      <c r="Q43" s="93"/>
      <c r="R43" s="26"/>
      <c r="S43" s="26"/>
      <c r="T43" s="26"/>
      <c r="U43" s="26"/>
      <c r="V43" s="26"/>
    </row>
    <row r="44" spans="1:22" ht="12.4" customHeight="1" x14ac:dyDescent="0.2">
      <c r="A44" s="157">
        <v>15.484156608581543</v>
      </c>
      <c r="B44" s="8">
        <v>0.12498274524549924</v>
      </c>
      <c r="C44" s="98">
        <f t="shared" si="0"/>
        <v>9.469743408588692E-2</v>
      </c>
      <c r="D44" s="98">
        <f t="shared" si="1"/>
        <v>7.7010104739996643E-2</v>
      </c>
      <c r="E44" s="98">
        <f t="shared" si="2"/>
        <v>5.9458877752718554E-2</v>
      </c>
      <c r="F44" s="98">
        <f t="shared" si="3"/>
        <v>4.357586330274614E-2</v>
      </c>
      <c r="G44" s="98"/>
      <c r="H44" s="138"/>
      <c r="I44" s="157"/>
      <c r="J44" s="157"/>
      <c r="K44" s="157"/>
      <c r="L44" s="157"/>
      <c r="M44" s="73"/>
      <c r="N44" s="39"/>
      <c r="O44" s="140"/>
      <c r="P44" s="162"/>
      <c r="Q44" s="93"/>
      <c r="R44" s="26"/>
      <c r="S44" s="26"/>
      <c r="T44" s="26"/>
      <c r="U44" s="26"/>
      <c r="V44" s="26"/>
    </row>
    <row r="45" spans="1:22" ht="12.4" customHeight="1" x14ac:dyDescent="0.2">
      <c r="A45" s="157">
        <v>16.876182556152344</v>
      </c>
      <c r="B45" s="8">
        <v>0.32265121462794921</v>
      </c>
      <c r="C45" s="98">
        <f t="shared" si="0"/>
        <v>0.29236590346833691</v>
      </c>
      <c r="D45" s="98">
        <f t="shared" si="1"/>
        <v>0.19880667354664533</v>
      </c>
      <c r="E45" s="98">
        <f t="shared" si="2"/>
        <v>0.18357148407654392</v>
      </c>
      <c r="F45" s="98">
        <f t="shared" si="3"/>
        <v>0.12411260632382537</v>
      </c>
      <c r="G45" s="98"/>
      <c r="H45" s="138"/>
      <c r="I45" s="157"/>
      <c r="J45" s="157"/>
      <c r="K45" s="157"/>
      <c r="L45" s="157"/>
      <c r="M45" s="73"/>
      <c r="N45" s="39"/>
      <c r="O45" s="140"/>
      <c r="P45" s="162"/>
      <c r="Q45" s="93"/>
      <c r="R45" s="26"/>
      <c r="S45" s="26"/>
      <c r="T45" s="26"/>
      <c r="U45" s="26"/>
      <c r="V45" s="26"/>
    </row>
    <row r="46" spans="1:22" ht="12.4" customHeight="1" x14ac:dyDescent="0.2">
      <c r="A46" s="157">
        <v>18.474388122558594</v>
      </c>
      <c r="B46" s="8">
        <v>0.49829706601093493</v>
      </c>
      <c r="C46" s="98">
        <f t="shared" si="0"/>
        <v>0.46801175485132263</v>
      </c>
      <c r="D46" s="98">
        <f t="shared" si="1"/>
        <v>0.30703365628398216</v>
      </c>
      <c r="E46" s="98">
        <f t="shared" si="2"/>
        <v>0.29385647021123773</v>
      </c>
      <c r="F46" s="98">
        <f t="shared" si="3"/>
        <v>0.11028498613469381</v>
      </c>
      <c r="G46" s="98"/>
      <c r="H46" s="138"/>
      <c r="I46" s="157"/>
      <c r="J46" s="157"/>
      <c r="K46" s="157"/>
      <c r="L46" s="157"/>
      <c r="M46" s="73"/>
      <c r="N46" s="39"/>
      <c r="O46" s="140"/>
      <c r="P46" s="162"/>
      <c r="Q46" s="93"/>
      <c r="R46" s="26"/>
      <c r="S46" s="26"/>
      <c r="T46" s="26"/>
      <c r="U46" s="26"/>
      <c r="V46" s="26"/>
    </row>
    <row r="47" spans="1:22" ht="12.4" customHeight="1" x14ac:dyDescent="0.2">
      <c r="A47" s="157">
        <v>20.266803741455078</v>
      </c>
      <c r="B47" s="8">
        <v>0.60442253576631622</v>
      </c>
      <c r="C47" s="98">
        <f t="shared" si="0"/>
        <v>0.57413722460670391</v>
      </c>
      <c r="D47" s="98">
        <f t="shared" si="1"/>
        <v>0.37242455104621386</v>
      </c>
      <c r="E47" s="98">
        <f t="shared" si="2"/>
        <v>0.36049081351257811</v>
      </c>
      <c r="F47" s="98">
        <f t="shared" si="3"/>
        <v>6.6634343301340382E-2</v>
      </c>
      <c r="G47" s="98"/>
      <c r="H47" s="138"/>
      <c r="I47" s="157"/>
      <c r="J47" s="157"/>
      <c r="K47" s="157"/>
      <c r="L47" s="157"/>
      <c r="M47" s="73"/>
      <c r="N47" s="39"/>
      <c r="O47" s="140"/>
      <c r="P47" s="162"/>
      <c r="Q47" s="93"/>
      <c r="R47" s="26"/>
      <c r="S47" s="26"/>
      <c r="T47" s="26"/>
      <c r="U47" s="26"/>
      <c r="V47" s="26"/>
    </row>
    <row r="48" spans="1:22" ht="12.4" customHeight="1" x14ac:dyDescent="0.2">
      <c r="A48" s="157">
        <v>22.161190032958984</v>
      </c>
      <c r="B48" s="8">
        <v>0.67245475858489945</v>
      </c>
      <c r="C48" s="98">
        <f t="shared" si="0"/>
        <v>0.64216944742528714</v>
      </c>
      <c r="D48" s="98">
        <f t="shared" si="1"/>
        <v>0.41434368632094937</v>
      </c>
      <c r="E48" s="98">
        <f t="shared" si="2"/>
        <v>0.40320706721959076</v>
      </c>
      <c r="F48" s="98">
        <f t="shared" si="3"/>
        <v>4.2716253707012652E-2</v>
      </c>
      <c r="G48" s="98"/>
      <c r="H48" s="138"/>
      <c r="I48" s="157"/>
      <c r="J48" s="157"/>
      <c r="K48" s="157"/>
      <c r="L48" s="157"/>
      <c r="M48" s="73"/>
      <c r="N48" s="39"/>
      <c r="O48" s="140"/>
      <c r="P48" s="162"/>
      <c r="Q48" s="93"/>
      <c r="R48" s="26"/>
      <c r="S48" s="26"/>
      <c r="T48" s="26"/>
      <c r="U48" s="26"/>
      <c r="V48" s="26"/>
    </row>
    <row r="49" spans="1:22" ht="12.4" customHeight="1" x14ac:dyDescent="0.2">
      <c r="A49" s="157">
        <v>24.307954788208008</v>
      </c>
      <c r="B49" s="8">
        <v>0.72447588124166207</v>
      </c>
      <c r="C49" s="98">
        <f t="shared" si="0"/>
        <v>0.69419057008204976</v>
      </c>
      <c r="D49" s="98">
        <f t="shared" si="1"/>
        <v>0.44639732777857904</v>
      </c>
      <c r="E49" s="98">
        <f t="shared" si="2"/>
        <v>0.43587022860791608</v>
      </c>
      <c r="F49" s="98">
        <f t="shared" si="3"/>
        <v>3.2663161388325312E-2</v>
      </c>
      <c r="G49" s="98"/>
      <c r="H49" s="138"/>
      <c r="I49" s="157"/>
      <c r="J49" s="157"/>
      <c r="K49" s="157"/>
      <c r="L49" s="73"/>
      <c r="M49" s="73"/>
      <c r="N49" s="39"/>
      <c r="O49" s="140"/>
      <c r="P49" s="162"/>
      <c r="Q49" s="93"/>
      <c r="R49" s="26"/>
      <c r="S49" s="26"/>
      <c r="T49" s="26"/>
      <c r="U49" s="26"/>
      <c r="V49" s="26"/>
    </row>
    <row r="50" spans="1:22" ht="12.4" customHeight="1" x14ac:dyDescent="0.2">
      <c r="A50" s="157">
        <v>26.609672546386719</v>
      </c>
      <c r="B50" s="8">
        <v>0.76060492090175824</v>
      </c>
      <c r="C50" s="98">
        <f t="shared" ref="C50:C81" si="4">IF(B50-I$27&lt;0,0,B50-I$27)</f>
        <v>0.73031960974214594</v>
      </c>
      <c r="D50" s="98">
        <f t="shared" si="1"/>
        <v>0.46865880973686314</v>
      </c>
      <c r="E50" s="98">
        <f t="shared" ref="E50:E81" si="5">C50/$H$23</f>
        <v>0.45855502649298285</v>
      </c>
      <c r="F50" s="98">
        <f t="shared" si="3"/>
        <v>2.2684797885066776E-2</v>
      </c>
      <c r="G50" s="98"/>
      <c r="H50" s="138"/>
      <c r="I50" s="157"/>
      <c r="J50" s="157"/>
      <c r="K50" s="157"/>
      <c r="L50" s="73"/>
      <c r="M50" s="73"/>
      <c r="N50" s="39"/>
      <c r="O50" s="140"/>
      <c r="P50" s="162"/>
      <c r="Q50" s="93"/>
      <c r="R50" s="26"/>
      <c r="S50" s="26"/>
      <c r="T50" s="26"/>
      <c r="U50" s="26"/>
      <c r="V50" s="26"/>
    </row>
    <row r="51" spans="1:22" ht="12.4" customHeight="1" x14ac:dyDescent="0.2">
      <c r="A51" s="157">
        <v>29.00745964050293</v>
      </c>
      <c r="B51" s="8">
        <v>0.78869902975897266</v>
      </c>
      <c r="C51" s="98">
        <f t="shared" si="4"/>
        <v>0.75841371859936035</v>
      </c>
      <c r="D51" s="98">
        <f t="shared" si="1"/>
        <v>0.48596944138782583</v>
      </c>
      <c r="E51" s="98">
        <f t="shared" si="5"/>
        <v>0.47619483057254908</v>
      </c>
      <c r="F51" s="98">
        <f t="shared" si="3"/>
        <v>1.7639804079566224E-2</v>
      </c>
      <c r="G51" s="98"/>
      <c r="H51" s="138"/>
      <c r="I51" s="157"/>
      <c r="J51" s="157"/>
      <c r="K51" s="157"/>
      <c r="L51" s="73"/>
      <c r="M51" s="73"/>
      <c r="N51" s="39"/>
      <c r="O51" s="140"/>
      <c r="P51" s="162"/>
      <c r="Q51" s="93"/>
      <c r="R51" s="26"/>
      <c r="S51" s="26"/>
      <c r="T51" s="26"/>
      <c r="U51" s="26"/>
      <c r="V51" s="26"/>
    </row>
    <row r="52" spans="1:22" ht="12.4" customHeight="1" x14ac:dyDescent="0.2">
      <c r="A52" s="157">
        <v>29.897552490234375</v>
      </c>
      <c r="B52" s="8">
        <v>0.81560174451729117</v>
      </c>
      <c r="C52" s="98">
        <f t="shared" si="4"/>
        <v>0.78531643335767887</v>
      </c>
      <c r="D52" s="98">
        <f t="shared" si="1"/>
        <v>0.50254597663082146</v>
      </c>
      <c r="E52" s="98">
        <f t="shared" si="5"/>
        <v>0.49308657894431951</v>
      </c>
      <c r="F52" s="98">
        <f t="shared" si="3"/>
        <v>1.6891748371770432E-2</v>
      </c>
      <c r="G52" s="98"/>
      <c r="H52" s="138"/>
      <c r="I52" s="157"/>
      <c r="J52" s="157"/>
      <c r="K52" s="157"/>
      <c r="L52" s="73"/>
      <c r="M52" s="73"/>
      <c r="N52" s="39"/>
      <c r="O52" s="140"/>
      <c r="P52" s="162"/>
      <c r="Q52" s="93"/>
      <c r="R52" s="26"/>
      <c r="S52" s="26"/>
      <c r="T52" s="26"/>
      <c r="U52" s="26"/>
      <c r="V52" s="26"/>
    </row>
    <row r="53" spans="1:22" ht="12.4" customHeight="1" x14ac:dyDescent="0.2">
      <c r="A53" s="157">
        <v>35.258438110351562</v>
      </c>
      <c r="B53" s="8">
        <v>0.84108197265951079</v>
      </c>
      <c r="C53" s="98">
        <f t="shared" si="4"/>
        <v>0.81079666149989849</v>
      </c>
      <c r="D53" s="98">
        <f t="shared" si="1"/>
        <v>0.51824602413879539</v>
      </c>
      <c r="E53" s="98">
        <f t="shared" si="5"/>
        <v>0.5090851726215837</v>
      </c>
      <c r="F53" s="98">
        <f t="shared" si="3"/>
        <v>1.5998593677264195E-2</v>
      </c>
      <c r="G53" s="98"/>
      <c r="H53" s="138"/>
      <c r="I53" s="157"/>
      <c r="J53" s="157"/>
      <c r="K53" s="157"/>
      <c r="L53" s="73"/>
      <c r="M53" s="73"/>
      <c r="N53" s="39"/>
      <c r="O53" s="140"/>
      <c r="P53" s="162"/>
      <c r="Q53" s="93"/>
      <c r="R53" s="26"/>
      <c r="S53" s="26"/>
      <c r="T53" s="26"/>
      <c r="U53" s="26"/>
      <c r="V53" s="26"/>
    </row>
    <row r="54" spans="1:22" ht="12.4" customHeight="1" x14ac:dyDescent="0.2">
      <c r="A54" s="157">
        <v>37.542892456054687</v>
      </c>
      <c r="B54" s="8">
        <v>0.86559705334948933</v>
      </c>
      <c r="C54" s="98">
        <f t="shared" si="4"/>
        <v>0.83531174218987703</v>
      </c>
      <c r="D54" s="98">
        <f t="shared" si="1"/>
        <v>0.53335138070570676</v>
      </c>
      <c r="E54" s="98">
        <f t="shared" si="5"/>
        <v>0.52447776693962456</v>
      </c>
      <c r="F54" s="98">
        <f t="shared" si="3"/>
        <v>1.5392594318040853E-2</v>
      </c>
      <c r="G54" s="98"/>
      <c r="H54" s="138"/>
      <c r="I54" s="157"/>
      <c r="J54" s="157"/>
      <c r="K54" s="157"/>
      <c r="L54" s="73"/>
      <c r="M54" s="73"/>
      <c r="N54" s="39"/>
      <c r="O54" s="140"/>
      <c r="P54" s="162"/>
      <c r="Q54" s="93"/>
      <c r="R54" s="26"/>
      <c r="S54" s="26"/>
      <c r="T54" s="26"/>
      <c r="U54" s="26"/>
      <c r="V54" s="26"/>
    </row>
    <row r="55" spans="1:22" ht="12.4" customHeight="1" x14ac:dyDescent="0.2">
      <c r="A55" s="157">
        <v>40.872989654541016</v>
      </c>
      <c r="B55" s="8">
        <v>0.88932473288762592</v>
      </c>
      <c r="C55" s="98">
        <f t="shared" si="4"/>
        <v>0.85903942172801362</v>
      </c>
      <c r="D55" s="98">
        <f t="shared" si="1"/>
        <v>0.54797156753933518</v>
      </c>
      <c r="E55" s="98">
        <f t="shared" si="5"/>
        <v>0.53937596572011293</v>
      </c>
      <c r="F55" s="98">
        <f t="shared" si="3"/>
        <v>1.489819878048837E-2</v>
      </c>
      <c r="G55" s="98"/>
      <c r="H55" s="138"/>
      <c r="I55" s="157"/>
      <c r="J55" s="157"/>
      <c r="K55" s="157"/>
      <c r="L55" s="73"/>
      <c r="M55" s="73"/>
      <c r="N55" s="39"/>
      <c r="O55" s="140"/>
      <c r="P55" s="162"/>
      <c r="Q55" s="93"/>
      <c r="R55" s="26"/>
      <c r="S55" s="26"/>
      <c r="T55" s="26"/>
      <c r="U55" s="26"/>
      <c r="V55" s="26"/>
    </row>
    <row r="56" spans="1:22" ht="12.4" customHeight="1" x14ac:dyDescent="0.2">
      <c r="A56" s="157">
        <v>45.372196197509766</v>
      </c>
      <c r="B56" s="8">
        <v>0.91205596592262417</v>
      </c>
      <c r="C56" s="98">
        <f t="shared" si="4"/>
        <v>0.88177065476301186</v>
      </c>
      <c r="D56" s="98">
        <f t="shared" si="1"/>
        <v>0.56197777802427828</v>
      </c>
      <c r="E56" s="98">
        <f t="shared" si="5"/>
        <v>0.55364851300973317</v>
      </c>
      <c r="F56" s="98">
        <f t="shared" si="3"/>
        <v>1.4272547289620241E-2</v>
      </c>
      <c r="G56" s="98"/>
      <c r="H56" s="138"/>
      <c r="I56" s="157"/>
      <c r="J56" s="157"/>
      <c r="K56" s="157"/>
      <c r="L56" s="73"/>
      <c r="M56" s="73"/>
      <c r="N56" s="39"/>
      <c r="O56" s="140"/>
      <c r="P56" s="162"/>
      <c r="Q56" s="93"/>
      <c r="R56" s="26"/>
      <c r="S56" s="26"/>
      <c r="T56" s="26"/>
      <c r="U56" s="26"/>
      <c r="V56" s="26"/>
    </row>
    <row r="57" spans="1:22" ht="12.4" customHeight="1" x14ac:dyDescent="0.2">
      <c r="A57" s="157">
        <v>48.300151824951172</v>
      </c>
      <c r="B57" s="8">
        <v>0.93377791110411312</v>
      </c>
      <c r="C57" s="98">
        <f t="shared" si="4"/>
        <v>0.90349259994450082</v>
      </c>
      <c r="D57" s="98">
        <f t="shared" si="1"/>
        <v>0.57536209975842723</v>
      </c>
      <c r="E57" s="98">
        <f t="shared" si="5"/>
        <v>0.56728734594712837</v>
      </c>
      <c r="F57" s="98">
        <f t="shared" si="3"/>
        <v>1.3638832937395207E-2</v>
      </c>
      <c r="G57" s="98"/>
      <c r="H57" s="138"/>
      <c r="I57" s="73"/>
      <c r="J57" s="157"/>
      <c r="K57" s="157"/>
      <c r="L57" s="73"/>
      <c r="M57" s="73"/>
      <c r="N57" s="39"/>
      <c r="O57" s="140"/>
      <c r="P57" s="162"/>
      <c r="Q57" s="93"/>
      <c r="R57" s="26"/>
      <c r="S57" s="26"/>
      <c r="T57" s="26"/>
      <c r="U57" s="26"/>
      <c r="V57" s="26"/>
    </row>
    <row r="58" spans="1:22" ht="12.4" customHeight="1" x14ac:dyDescent="0.2">
      <c r="A58" s="157">
        <v>54.405387878417969</v>
      </c>
      <c r="B58" s="8">
        <v>0.95337135928109318</v>
      </c>
      <c r="C58" s="98">
        <f t="shared" si="4"/>
        <v>0.92308604812148087</v>
      </c>
      <c r="D58" s="98">
        <f t="shared" si="1"/>
        <v>0.58743491423664229</v>
      </c>
      <c r="E58" s="98">
        <f t="shared" si="5"/>
        <v>0.57958973250231927</v>
      </c>
      <c r="F58" s="98">
        <f t="shared" si="3"/>
        <v>1.2302386555190892E-2</v>
      </c>
      <c r="G58" s="98"/>
      <c r="H58" s="138"/>
      <c r="I58" s="73"/>
      <c r="J58" s="157"/>
      <c r="K58" s="157"/>
      <c r="L58" s="73"/>
      <c r="M58" s="73"/>
      <c r="N58" s="39"/>
      <c r="O58" s="140"/>
      <c r="P58" s="162"/>
      <c r="Q58" s="93"/>
      <c r="R58" s="26"/>
      <c r="S58" s="26"/>
      <c r="T58" s="26"/>
      <c r="U58" s="26"/>
      <c r="V58" s="26"/>
    </row>
    <row r="59" spans="1:22" ht="12.4" customHeight="1" x14ac:dyDescent="0.2">
      <c r="A59" s="157">
        <v>58.909255981445313</v>
      </c>
      <c r="B59" s="8">
        <v>0.97154718257471939</v>
      </c>
      <c r="C59" s="98">
        <f t="shared" si="4"/>
        <v>0.94126187141510709</v>
      </c>
      <c r="D59" s="98">
        <f t="shared" si="1"/>
        <v>0.59863423661373039</v>
      </c>
      <c r="E59" s="98">
        <f t="shared" si="5"/>
        <v>0.5910020169607404</v>
      </c>
      <c r="F59" s="98">
        <f t="shared" si="3"/>
        <v>1.1412284458421129E-2</v>
      </c>
      <c r="G59" s="98"/>
      <c r="H59" s="138"/>
      <c r="I59" s="73"/>
      <c r="J59" s="157"/>
      <c r="K59" s="157"/>
      <c r="L59" s="73"/>
      <c r="M59" s="73"/>
      <c r="N59" s="39"/>
      <c r="O59" s="140"/>
      <c r="P59" s="162"/>
      <c r="Q59" s="93"/>
      <c r="R59" s="26"/>
      <c r="S59" s="26"/>
      <c r="T59" s="26"/>
      <c r="U59" s="26"/>
      <c r="V59" s="26"/>
    </row>
    <row r="60" spans="1:22" ht="12.4" customHeight="1" x14ac:dyDescent="0.2">
      <c r="A60" s="157">
        <v>64.634506225585938</v>
      </c>
      <c r="B60" s="8">
        <v>0.98949119096234461</v>
      </c>
      <c r="C60" s="98">
        <f t="shared" si="4"/>
        <v>0.95920587980273231</v>
      </c>
      <c r="D60" s="98">
        <f t="shared" si="1"/>
        <v>0.60969072255242562</v>
      </c>
      <c r="E60" s="98">
        <f t="shared" si="5"/>
        <v>0.60226874885704396</v>
      </c>
      <c r="F60" s="98">
        <f t="shared" si="3"/>
        <v>1.1266731896303561E-2</v>
      </c>
      <c r="G60" s="98"/>
      <c r="H60" s="138"/>
      <c r="I60" s="73"/>
      <c r="J60" s="157"/>
      <c r="K60" s="157"/>
      <c r="L60" s="73"/>
      <c r="M60" s="73"/>
      <c r="N60" s="39"/>
      <c r="O60" s="140"/>
      <c r="P60" s="162"/>
      <c r="Q60" s="93"/>
      <c r="R60" s="26"/>
      <c r="S60" s="26"/>
      <c r="T60" s="26"/>
      <c r="U60" s="26"/>
      <c r="V60" s="26"/>
    </row>
    <row r="61" spans="1:22" ht="12.4" customHeight="1" x14ac:dyDescent="0.2">
      <c r="A61" s="157">
        <v>70.703018188476563</v>
      </c>
      <c r="B61" s="8">
        <v>1.0062326696215573</v>
      </c>
      <c r="C61" s="98">
        <f t="shared" si="4"/>
        <v>0.97594735846194502</v>
      </c>
      <c r="D61" s="98">
        <f t="shared" si="1"/>
        <v>0.62000625068805704</v>
      </c>
      <c r="E61" s="98">
        <f t="shared" si="5"/>
        <v>0.61278043317675912</v>
      </c>
      <c r="F61" s="98">
        <f t="shared" si="3"/>
        <v>1.0511684319715164E-2</v>
      </c>
      <c r="G61" s="98"/>
      <c r="H61" s="138"/>
      <c r="I61" s="73"/>
      <c r="J61" s="157"/>
      <c r="K61" s="157"/>
      <c r="L61" s="73"/>
      <c r="M61" s="73"/>
      <c r="N61" s="39"/>
      <c r="O61" s="140"/>
      <c r="P61" s="162"/>
      <c r="Q61" s="93"/>
      <c r="R61" s="26"/>
      <c r="S61" s="26"/>
      <c r="T61" s="26"/>
      <c r="U61" s="26"/>
      <c r="V61" s="26"/>
    </row>
    <row r="62" spans="1:22" ht="12.4" customHeight="1" x14ac:dyDescent="0.2">
      <c r="A62" s="157">
        <v>77.537406921386719</v>
      </c>
      <c r="B62" s="8">
        <v>1.0203693403004113</v>
      </c>
      <c r="C62" s="98">
        <f t="shared" si="4"/>
        <v>0.99008402914079896</v>
      </c>
      <c r="D62" s="98">
        <f t="shared" si="1"/>
        <v>0.62871678499033168</v>
      </c>
      <c r="E62" s="98">
        <f t="shared" si="5"/>
        <v>0.62165660370701947</v>
      </c>
      <c r="F62" s="98">
        <f t="shared" si="3"/>
        <v>8.8761705302603522E-3</v>
      </c>
      <c r="G62" s="98"/>
      <c r="H62" s="138"/>
      <c r="I62" s="73"/>
      <c r="J62" s="157"/>
      <c r="K62" s="157"/>
      <c r="L62" s="73"/>
      <c r="M62" s="73"/>
      <c r="N62" s="39"/>
      <c r="O62" s="140"/>
      <c r="P62" s="162"/>
      <c r="Q62" s="93"/>
      <c r="R62" s="26"/>
      <c r="S62" s="26"/>
      <c r="T62" s="26"/>
      <c r="U62" s="26"/>
      <c r="V62" s="26"/>
    </row>
    <row r="63" spans="1:22" ht="12.4" customHeight="1" x14ac:dyDescent="0.2">
      <c r="A63" s="157">
        <v>84.772804260253906</v>
      </c>
      <c r="B63" s="8">
        <v>1.0330488079412283</v>
      </c>
      <c r="C63" s="98">
        <f t="shared" si="4"/>
        <v>1.0027634967816159</v>
      </c>
      <c r="D63" s="98">
        <f t="shared" si="1"/>
        <v>0.63652944048248561</v>
      </c>
      <c r="E63" s="98">
        <f t="shared" si="5"/>
        <v>0.62961782170307534</v>
      </c>
      <c r="F63" s="98">
        <f t="shared" si="3"/>
        <v>7.9612179960558693E-3</v>
      </c>
      <c r="G63" s="98"/>
      <c r="H63" s="138"/>
      <c r="I63" s="73"/>
      <c r="J63" s="157"/>
      <c r="K63" s="157"/>
      <c r="L63" s="73"/>
      <c r="M63" s="73"/>
      <c r="N63" s="39"/>
      <c r="O63" s="140"/>
      <c r="P63" s="162"/>
      <c r="Q63" s="93"/>
      <c r="R63" s="26"/>
      <c r="S63" s="26"/>
      <c r="T63" s="26"/>
      <c r="U63" s="26"/>
      <c r="V63" s="26"/>
    </row>
    <row r="64" spans="1:22" x14ac:dyDescent="0.2">
      <c r="A64" s="157">
        <v>92.482254028320313</v>
      </c>
      <c r="B64" s="8">
        <v>1.0466594122497739</v>
      </c>
      <c r="C64" s="98">
        <f t="shared" si="4"/>
        <v>1.0163741010901615</v>
      </c>
      <c r="D64" s="98">
        <f t="shared" si="1"/>
        <v>0.64491583063031666</v>
      </c>
      <c r="E64" s="98">
        <f t="shared" si="5"/>
        <v>0.63816368427616743</v>
      </c>
      <c r="F64" s="98">
        <f t="shared" si="3"/>
        <v>8.545862573092089E-3</v>
      </c>
      <c r="G64" s="98"/>
      <c r="H64" s="138"/>
      <c r="I64" s="73"/>
      <c r="J64" s="157"/>
      <c r="K64" s="157"/>
      <c r="L64" s="73"/>
      <c r="M64" s="73"/>
      <c r="N64" s="39"/>
      <c r="O64" s="140"/>
      <c r="P64" s="162"/>
      <c r="Q64" s="93"/>
      <c r="R64" s="26"/>
      <c r="S64" s="26"/>
      <c r="T64" s="26"/>
      <c r="U64" s="26"/>
      <c r="V64" s="26"/>
    </row>
    <row r="65" spans="1:22" x14ac:dyDescent="0.2">
      <c r="A65" s="157">
        <v>101.62871551513672</v>
      </c>
      <c r="B65" s="8">
        <v>1.0594093936233224</v>
      </c>
      <c r="C65" s="98">
        <f t="shared" si="4"/>
        <v>1.02912408246371</v>
      </c>
      <c r="D65" s="98">
        <f t="shared" si="1"/>
        <v>0.65277193427951496</v>
      </c>
      <c r="E65" s="98">
        <f t="shared" si="5"/>
        <v>0.64616917662300011</v>
      </c>
      <c r="F65" s="98">
        <f t="shared" si="3"/>
        <v>8.0054923468326766E-3</v>
      </c>
      <c r="G65" s="98"/>
      <c r="H65" s="138"/>
      <c r="I65" s="73"/>
      <c r="J65" s="157"/>
      <c r="K65" s="157"/>
      <c r="L65" s="73"/>
      <c r="M65" s="73"/>
      <c r="N65" s="39"/>
      <c r="O65" s="140"/>
      <c r="P65" s="162"/>
      <c r="Q65" s="93"/>
      <c r="R65" s="26"/>
      <c r="S65" s="26"/>
      <c r="T65" s="26"/>
      <c r="U65" s="26"/>
      <c r="V65" s="26"/>
    </row>
    <row r="66" spans="1:22" x14ac:dyDescent="0.2">
      <c r="A66" s="157">
        <v>111.70113372802734</v>
      </c>
      <c r="B66" s="8">
        <v>1.0714473720712963</v>
      </c>
      <c r="C66" s="98">
        <f t="shared" si="4"/>
        <v>1.0411620609116838</v>
      </c>
      <c r="D66" s="98">
        <f t="shared" si="1"/>
        <v>0.66018932601079205</v>
      </c>
      <c r="E66" s="98">
        <f t="shared" si="5"/>
        <v>0.65372761467189988</v>
      </c>
      <c r="F66" s="98">
        <f t="shared" si="3"/>
        <v>7.5584380488997738E-3</v>
      </c>
      <c r="G66" s="98"/>
      <c r="H66" s="138"/>
      <c r="I66" s="73"/>
      <c r="J66" s="157"/>
      <c r="K66" s="157"/>
      <c r="L66" s="73"/>
      <c r="M66" s="73"/>
      <c r="N66" s="39"/>
      <c r="O66" s="140"/>
      <c r="P66" s="162"/>
      <c r="Q66" s="93"/>
      <c r="R66" s="26"/>
      <c r="S66" s="26"/>
      <c r="T66" s="26"/>
      <c r="U66" s="26"/>
      <c r="V66" s="26"/>
    </row>
    <row r="67" spans="1:22" x14ac:dyDescent="0.2">
      <c r="A67" s="157">
        <v>120.98873138427734</v>
      </c>
      <c r="B67" s="8">
        <v>1.0822794283775987</v>
      </c>
      <c r="C67" s="98">
        <f t="shared" si="4"/>
        <v>1.0519941172179863</v>
      </c>
      <c r="D67" s="98">
        <f t="shared" si="1"/>
        <v>0.66686366964966282</v>
      </c>
      <c r="E67" s="98">
        <f t="shared" si="5"/>
        <v>0.66052887510671654</v>
      </c>
      <c r="F67" s="98">
        <f t="shared" si="3"/>
        <v>6.8012604348166583E-3</v>
      </c>
      <c r="G67" s="98"/>
      <c r="H67" s="138"/>
      <c r="I67" s="73"/>
      <c r="J67" s="157"/>
      <c r="K67" s="73"/>
      <c r="L67" s="73"/>
      <c r="M67" s="73"/>
      <c r="N67" s="39"/>
      <c r="O67" s="140"/>
      <c r="P67" s="162"/>
      <c r="Q67" s="93"/>
      <c r="R67" s="26"/>
      <c r="S67" s="26"/>
      <c r="T67" s="26"/>
      <c r="U67" s="26"/>
      <c r="V67" s="26"/>
    </row>
    <row r="68" spans="1:22" x14ac:dyDescent="0.2">
      <c r="A68" s="157">
        <v>133.47927856445312</v>
      </c>
      <c r="B68" s="8">
        <v>1.0937651704101268</v>
      </c>
      <c r="C68" s="98">
        <f t="shared" si="4"/>
        <v>1.0634798592505144</v>
      </c>
      <c r="D68" s="98">
        <f t="shared" si="1"/>
        <v>0.67394079213728408</v>
      </c>
      <c r="E68" s="98">
        <f t="shared" si="5"/>
        <v>0.66774057348063398</v>
      </c>
      <c r="F68" s="98">
        <f t="shared" si="3"/>
        <v>7.2116983739174412E-3</v>
      </c>
      <c r="G68" s="98"/>
      <c r="H68" s="138"/>
      <c r="I68" s="73"/>
      <c r="J68" s="157"/>
      <c r="K68" s="73"/>
      <c r="L68" s="73"/>
      <c r="M68" s="73"/>
      <c r="N68" s="39"/>
      <c r="O68" s="140"/>
      <c r="P68" s="162"/>
      <c r="Q68" s="26"/>
      <c r="R68" s="26"/>
      <c r="S68" s="26"/>
      <c r="T68" s="26"/>
      <c r="U68" s="26"/>
      <c r="V68" s="26"/>
    </row>
    <row r="69" spans="1:22" x14ac:dyDescent="0.2">
      <c r="A69" s="157">
        <v>145.54180908203125</v>
      </c>
      <c r="B69" s="8">
        <v>1.1049060170947018</v>
      </c>
      <c r="C69" s="98">
        <f t="shared" si="4"/>
        <v>1.0746207059350894</v>
      </c>
      <c r="D69" s="98">
        <f t="shared" si="1"/>
        <v>0.68080540187510119</v>
      </c>
      <c r="E69" s="98">
        <f t="shared" si="5"/>
        <v>0.67473571804262</v>
      </c>
      <c r="F69" s="98">
        <f t="shared" si="3"/>
        <v>6.995144561986022E-3</v>
      </c>
      <c r="G69" s="98"/>
      <c r="H69" s="138"/>
      <c r="I69" s="73"/>
      <c r="J69" s="46"/>
      <c r="K69" s="73"/>
      <c r="L69" s="73"/>
      <c r="M69" s="46"/>
      <c r="N69" s="39"/>
      <c r="O69" s="140"/>
      <c r="P69" s="162"/>
      <c r="Q69" s="26"/>
      <c r="R69" s="26"/>
      <c r="S69" s="26"/>
      <c r="T69" s="26"/>
      <c r="U69" s="26"/>
      <c r="V69" s="26"/>
    </row>
    <row r="70" spans="1:22" x14ac:dyDescent="0.2">
      <c r="A70" s="157">
        <v>159.40861511230469</v>
      </c>
      <c r="B70" s="8">
        <v>1.1163226185141506</v>
      </c>
      <c r="C70" s="98">
        <f t="shared" si="4"/>
        <v>1.0860373073545382</v>
      </c>
      <c r="D70" s="98">
        <f t="shared" si="1"/>
        <v>0.68783992227517388</v>
      </c>
      <c r="E70" s="98">
        <f t="shared" si="5"/>
        <v>0.68190400422379427</v>
      </c>
      <c r="F70" s="98">
        <f t="shared" si="3"/>
        <v>7.168286181174266E-3</v>
      </c>
      <c r="G70" s="98"/>
      <c r="H70" s="138"/>
      <c r="I70" s="73"/>
      <c r="J70" s="46"/>
      <c r="K70" s="73"/>
      <c r="L70" s="73"/>
      <c r="M70" s="46"/>
      <c r="N70" s="39"/>
      <c r="O70" s="140"/>
      <c r="P70" s="162"/>
      <c r="Q70" s="26"/>
      <c r="R70" s="26"/>
      <c r="S70" s="26"/>
      <c r="T70" s="26"/>
      <c r="U70" s="26"/>
      <c r="V70" s="26"/>
    </row>
    <row r="71" spans="1:22" x14ac:dyDescent="0.2">
      <c r="A71" s="157">
        <v>174.44099426269531</v>
      </c>
      <c r="B71" s="8">
        <v>1.127558371998221</v>
      </c>
      <c r="C71" s="98">
        <f t="shared" si="4"/>
        <v>1.0972730608386085</v>
      </c>
      <c r="D71" s="98">
        <f t="shared" si="1"/>
        <v>0.69476301034578247</v>
      </c>
      <c r="E71" s="98">
        <f t="shared" si="5"/>
        <v>0.68895873912044536</v>
      </c>
      <c r="F71" s="98">
        <f t="shared" si="3"/>
        <v>7.0547348966510937E-3</v>
      </c>
      <c r="G71" s="98"/>
      <c r="H71" s="138"/>
      <c r="I71" s="73"/>
      <c r="J71" s="46"/>
      <c r="K71" s="73"/>
      <c r="L71" s="73"/>
      <c r="M71" s="46"/>
      <c r="N71" s="39"/>
      <c r="O71" s="140"/>
      <c r="P71" s="162"/>
      <c r="Q71" s="26"/>
      <c r="R71" s="26"/>
      <c r="S71" s="26"/>
      <c r="T71" s="26"/>
      <c r="U71" s="26"/>
      <c r="V71" s="26"/>
    </row>
    <row r="72" spans="1:22" x14ac:dyDescent="0.2">
      <c r="A72" s="157">
        <v>190.41807556152344</v>
      </c>
      <c r="B72" s="8">
        <v>1.1384470492972436</v>
      </c>
      <c r="C72" s="98">
        <f t="shared" si="4"/>
        <v>1.1081617381376312</v>
      </c>
      <c r="D72" s="98">
        <f t="shared" si="1"/>
        <v>0.70147224190915269</v>
      </c>
      <c r="E72" s="98">
        <f t="shared" si="5"/>
        <v>0.69579555089534728</v>
      </c>
      <c r="F72" s="98">
        <f t="shared" si="3"/>
        <v>6.8368117749019186E-3</v>
      </c>
      <c r="G72" s="98"/>
      <c r="H72" s="138"/>
      <c r="I72" s="73"/>
      <c r="J72" s="46"/>
      <c r="K72" s="73"/>
      <c r="L72" s="73"/>
      <c r="M72" s="46"/>
      <c r="N72" s="39"/>
      <c r="O72" s="140"/>
      <c r="P72" s="162"/>
      <c r="Q72" s="26"/>
      <c r="R72" s="26"/>
      <c r="S72" s="26"/>
      <c r="T72" s="26"/>
      <c r="U72" s="26"/>
      <c r="V72" s="26"/>
    </row>
    <row r="73" spans="1:22" x14ac:dyDescent="0.2">
      <c r="A73" s="157">
        <v>207.18553161621094</v>
      </c>
      <c r="B73" s="8">
        <v>1.149908236719519</v>
      </c>
      <c r="C73" s="98">
        <f t="shared" si="4"/>
        <v>1.1196229255599066</v>
      </c>
      <c r="D73" s="98">
        <f t="shared" si="1"/>
        <v>0.7085342346834389</v>
      </c>
      <c r="E73" s="98">
        <f t="shared" si="5"/>
        <v>0.70299183185501934</v>
      </c>
      <c r="F73" s="98">
        <f t="shared" si="3"/>
        <v>7.1962809596720634E-3</v>
      </c>
      <c r="G73" s="98"/>
      <c r="H73" s="138"/>
      <c r="I73" s="73"/>
      <c r="J73" s="46"/>
      <c r="K73" s="73"/>
      <c r="L73" s="73"/>
      <c r="M73" s="46"/>
      <c r="N73" s="39"/>
      <c r="O73" s="140"/>
      <c r="P73" s="162"/>
      <c r="Q73" s="26"/>
      <c r="R73" s="26"/>
      <c r="S73" s="26"/>
      <c r="T73" s="26"/>
      <c r="U73" s="26"/>
      <c r="V73" s="26"/>
    </row>
    <row r="74" spans="1:22" x14ac:dyDescent="0.2">
      <c r="A74" s="157">
        <v>228.50393676757812</v>
      </c>
      <c r="B74" s="8">
        <v>1.161593242645115</v>
      </c>
      <c r="C74" s="98">
        <f t="shared" si="4"/>
        <v>1.1313079314855026</v>
      </c>
      <c r="D74" s="98">
        <f t="shared" si="1"/>
        <v>0.71573413678552544</v>
      </c>
      <c r="E74" s="98">
        <f t="shared" si="5"/>
        <v>0.71032864457414391</v>
      </c>
      <c r="F74" s="98">
        <f t="shared" si="3"/>
        <v>7.3368127191245636E-3</v>
      </c>
      <c r="G74" s="98"/>
      <c r="H74" s="138"/>
      <c r="I74" s="73"/>
      <c r="J74" s="46"/>
      <c r="K74" s="73"/>
      <c r="L74" s="46"/>
      <c r="M74" s="46"/>
      <c r="N74" s="39"/>
      <c r="O74" s="140"/>
      <c r="P74" s="162"/>
      <c r="Q74" s="26"/>
      <c r="R74" s="26"/>
      <c r="S74" s="26"/>
      <c r="T74" s="26"/>
      <c r="U74" s="26"/>
      <c r="V74" s="26"/>
    </row>
    <row r="75" spans="1:22" x14ac:dyDescent="0.2">
      <c r="A75" s="157">
        <v>250.7181396484375</v>
      </c>
      <c r="B75" s="8">
        <v>1.1733263885302845</v>
      </c>
      <c r="C75" s="98">
        <f t="shared" si="4"/>
        <v>1.1430410773706721</v>
      </c>
      <c r="D75" s="98">
        <f t="shared" si="1"/>
        <v>0.72296370108875563</v>
      </c>
      <c r="E75" s="98">
        <f t="shared" si="5"/>
        <v>0.71769568353961766</v>
      </c>
      <c r="F75" s="98">
        <f t="shared" si="3"/>
        <v>7.3670389654737489E-3</v>
      </c>
      <c r="G75" s="98"/>
      <c r="H75" s="138"/>
      <c r="I75" s="73"/>
      <c r="J75" s="46"/>
      <c r="K75" s="73"/>
      <c r="L75" s="46"/>
      <c r="M75" s="46"/>
      <c r="N75" s="39"/>
      <c r="O75" s="140"/>
      <c r="P75" s="162"/>
      <c r="Q75" s="26"/>
      <c r="R75" s="26"/>
      <c r="S75" s="26"/>
      <c r="T75" s="26"/>
      <c r="U75" s="26"/>
      <c r="V75" s="26"/>
    </row>
    <row r="76" spans="1:22" x14ac:dyDescent="0.2">
      <c r="A76" s="157">
        <v>274.0799560546875</v>
      </c>
      <c r="B76" s="8">
        <v>1.184864793740064</v>
      </c>
      <c r="C76" s="98">
        <f t="shared" si="4"/>
        <v>1.1545794825804516</v>
      </c>
      <c r="D76" s="98">
        <f t="shared" si="1"/>
        <v>0.7300732728299768</v>
      </c>
      <c r="E76" s="98">
        <f t="shared" si="5"/>
        <v>0.72494044820987669</v>
      </c>
      <c r="F76" s="98">
        <f t="shared" si="3"/>
        <v>7.2447646702590296E-3</v>
      </c>
      <c r="G76" s="98"/>
      <c r="H76" s="138"/>
      <c r="I76" s="73"/>
      <c r="J76" s="46"/>
      <c r="K76" s="73"/>
      <c r="L76" s="46"/>
      <c r="M76" s="46"/>
      <c r="N76" s="39"/>
      <c r="O76" s="140"/>
      <c r="P76" s="162"/>
      <c r="Q76" s="26"/>
      <c r="R76" s="26"/>
      <c r="S76" s="26"/>
      <c r="T76" s="26"/>
      <c r="U76" s="26"/>
      <c r="V76" s="26"/>
    </row>
    <row r="77" spans="1:22" x14ac:dyDescent="0.2">
      <c r="A77" s="157">
        <v>299.6341552734375</v>
      </c>
      <c r="B77" s="8">
        <v>1.1968186080305281</v>
      </c>
      <c r="C77" s="98">
        <f t="shared" si="4"/>
        <v>1.1665332968709157</v>
      </c>
      <c r="D77" s="98">
        <f t="shared" si="1"/>
        <v>0.73743880547804652</v>
      </c>
      <c r="E77" s="98">
        <f t="shared" si="5"/>
        <v>0.73244604104284372</v>
      </c>
      <c r="F77" s="98">
        <f t="shared" si="3"/>
        <v>7.5055928329670341E-3</v>
      </c>
      <c r="G77" s="98"/>
      <c r="H77" s="138"/>
      <c r="I77" s="73"/>
      <c r="J77" s="46"/>
      <c r="K77" s="73"/>
      <c r="L77" s="46"/>
      <c r="M77" s="46"/>
      <c r="N77" s="39"/>
      <c r="O77" s="140"/>
      <c r="P77" s="162"/>
      <c r="Q77" s="26"/>
      <c r="R77" s="26"/>
      <c r="S77" s="26"/>
      <c r="T77" s="26"/>
      <c r="U77" s="26"/>
      <c r="V77" s="26"/>
    </row>
    <row r="78" spans="1:22" x14ac:dyDescent="0.2">
      <c r="A78" s="157">
        <v>327.447265625</v>
      </c>
      <c r="B78" s="8">
        <v>1.209138560637683</v>
      </c>
      <c r="C78" s="98">
        <f t="shared" si="4"/>
        <v>1.1788532494780706</v>
      </c>
      <c r="D78" s="98">
        <f t="shared" si="1"/>
        <v>0.74502994006870682</v>
      </c>
      <c r="E78" s="98">
        <f t="shared" si="5"/>
        <v>0.74018152577967122</v>
      </c>
      <c r="F78" s="98">
        <f t="shared" si="3"/>
        <v>7.7354847368275026E-3</v>
      </c>
      <c r="G78" s="98"/>
      <c r="H78" s="138"/>
      <c r="I78" s="73"/>
      <c r="J78" s="46"/>
      <c r="K78" s="73"/>
      <c r="L78" s="46"/>
      <c r="M78" s="46"/>
      <c r="N78" s="39"/>
      <c r="O78" s="140"/>
      <c r="P78" s="162"/>
      <c r="Q78" s="26"/>
      <c r="R78" s="26"/>
      <c r="S78" s="26"/>
      <c r="T78" s="26"/>
      <c r="U78" s="26"/>
      <c r="V78" s="26"/>
    </row>
    <row r="79" spans="1:22" x14ac:dyDescent="0.2">
      <c r="A79" s="157">
        <v>359.35519409179687</v>
      </c>
      <c r="B79" s="8">
        <v>1.2213527022598687</v>
      </c>
      <c r="C79" s="98">
        <f t="shared" si="4"/>
        <v>1.1910673911002563</v>
      </c>
      <c r="D79" s="98">
        <f t="shared" si="1"/>
        <v>0.75255587753940367</v>
      </c>
      <c r="E79" s="98">
        <f t="shared" si="5"/>
        <v>0.74785057363274465</v>
      </c>
      <c r="F79" s="98">
        <f t="shared" si="3"/>
        <v>7.6690478530734296E-3</v>
      </c>
      <c r="G79" s="98"/>
      <c r="H79" s="138"/>
      <c r="I79" s="73"/>
      <c r="J79" s="46"/>
      <c r="K79" s="73"/>
      <c r="L79" s="46"/>
      <c r="M79" s="46"/>
      <c r="N79" s="39"/>
      <c r="O79" s="140"/>
      <c r="P79" s="162"/>
      <c r="Q79" s="26"/>
      <c r="R79" s="26"/>
      <c r="S79" s="26"/>
      <c r="T79" s="26"/>
      <c r="U79" s="26"/>
      <c r="V79" s="26"/>
    </row>
    <row r="80" spans="1:22" x14ac:dyDescent="0.2">
      <c r="A80" s="157">
        <v>391.6785888671875</v>
      </c>
      <c r="B80" s="8">
        <v>1.2339202202631536</v>
      </c>
      <c r="C80" s="98">
        <f t="shared" si="4"/>
        <v>1.2036349091035412</v>
      </c>
      <c r="D80" s="98">
        <f t="shared" si="1"/>
        <v>0.76029955348326062</v>
      </c>
      <c r="E80" s="98">
        <f t="shared" si="5"/>
        <v>0.75574150039148535</v>
      </c>
      <c r="F80" s="98">
        <f t="shared" si="3"/>
        <v>7.8909267587407017E-3</v>
      </c>
      <c r="G80" s="98"/>
      <c r="H80" s="138"/>
      <c r="I80" s="73"/>
      <c r="J80" s="46"/>
      <c r="K80" s="73"/>
      <c r="L80" s="46"/>
      <c r="M80" s="46"/>
      <c r="N80" s="39"/>
      <c r="O80" s="140"/>
      <c r="P80" s="162"/>
      <c r="Q80" s="26"/>
      <c r="R80" s="26"/>
      <c r="S80" s="26"/>
      <c r="T80" s="26"/>
      <c r="U80" s="26"/>
      <c r="V80" s="26"/>
    </row>
    <row r="81" spans="1:22" x14ac:dyDescent="0.2">
      <c r="A81" s="157">
        <v>428.17031860351562</v>
      </c>
      <c r="B81" s="8">
        <v>1.2466966947688165</v>
      </c>
      <c r="C81" s="98">
        <f t="shared" si="4"/>
        <v>1.2164113836092041</v>
      </c>
      <c r="D81" s="98">
        <f t="shared" si="1"/>
        <v>0.76817198129684661</v>
      </c>
      <c r="E81" s="98">
        <f t="shared" si="5"/>
        <v>0.76376362731684566</v>
      </c>
      <c r="F81" s="98">
        <f t="shared" si="3"/>
        <v>8.0221269253603067E-3</v>
      </c>
      <c r="G81" s="98"/>
      <c r="H81" s="138"/>
      <c r="I81" s="73"/>
      <c r="J81" s="46"/>
      <c r="K81" s="73"/>
      <c r="L81" s="46"/>
      <c r="M81" s="46"/>
      <c r="N81" s="39"/>
      <c r="O81" s="140"/>
      <c r="P81" s="162"/>
      <c r="Q81" s="26"/>
      <c r="R81" s="26"/>
      <c r="S81" s="26"/>
      <c r="T81" s="26"/>
      <c r="U81" s="26"/>
      <c r="V81" s="26"/>
    </row>
    <row r="82" spans="1:22" x14ac:dyDescent="0.2">
      <c r="A82" s="157">
        <v>469.24420166015625</v>
      </c>
      <c r="B82" s="8">
        <v>1.2592445852382483</v>
      </c>
      <c r="C82" s="98">
        <f t="shared" ref="C82:C113" si="6">IF(B82-I$27&lt;0,0,B82-I$27)</f>
        <v>1.2289592740786359</v>
      </c>
      <c r="D82" s="98">
        <f t="shared" si="1"/>
        <v>0.77590356342379418</v>
      </c>
      <c r="E82" s="98">
        <f t="shared" ref="E82:E113" si="7">C82/$H$23</f>
        <v>0.77164223028722589</v>
      </c>
      <c r="F82" s="98">
        <f t="shared" si="3"/>
        <v>7.8786029703802329E-3</v>
      </c>
      <c r="G82" s="98"/>
      <c r="H82" s="138"/>
      <c r="I82" s="73"/>
      <c r="J82" s="46"/>
      <c r="K82" s="73"/>
      <c r="L82" s="46"/>
      <c r="M82" s="46"/>
      <c r="N82" s="39"/>
      <c r="O82" s="140"/>
      <c r="P82" s="162"/>
      <c r="Q82" s="26"/>
      <c r="R82" s="26"/>
      <c r="S82" s="26"/>
      <c r="T82" s="26"/>
      <c r="U82" s="26"/>
      <c r="V82" s="26"/>
    </row>
    <row r="83" spans="1:22" x14ac:dyDescent="0.2">
      <c r="A83" s="157">
        <v>511.96380615234375</v>
      </c>
      <c r="B83" s="8">
        <v>1.2719293838141861</v>
      </c>
      <c r="C83" s="98">
        <f t="shared" si="6"/>
        <v>1.2416440726545737</v>
      </c>
      <c r="D83" s="98">
        <f t="shared" si="1"/>
        <v>0.78371950365634324</v>
      </c>
      <c r="E83" s="98">
        <f t="shared" si="7"/>
        <v>0.77960679548505885</v>
      </c>
      <c r="F83" s="98">
        <f t="shared" si="3"/>
        <v>7.9645651978329512E-3</v>
      </c>
      <c r="G83" s="98"/>
      <c r="H83" s="138"/>
      <c r="I83" s="46"/>
      <c r="J83" s="46"/>
      <c r="K83" s="73"/>
      <c r="L83" s="46"/>
      <c r="M83" s="46"/>
      <c r="N83" s="39"/>
      <c r="O83" s="140"/>
      <c r="P83" s="162"/>
      <c r="Q83" s="26"/>
      <c r="R83" s="26"/>
      <c r="S83" s="26"/>
      <c r="T83" s="26"/>
      <c r="U83" s="26"/>
      <c r="V83" s="26"/>
    </row>
    <row r="84" spans="1:22" x14ac:dyDescent="0.2">
      <c r="A84" s="157">
        <v>561.94952392578125</v>
      </c>
      <c r="B84" s="8">
        <v>1.2851753036974374</v>
      </c>
      <c r="C84" s="98">
        <f t="shared" si="6"/>
        <v>1.254889992537825</v>
      </c>
      <c r="D84" s="98">
        <f t="shared" si="1"/>
        <v>0.79188118769987337</v>
      </c>
      <c r="E84" s="98">
        <f t="shared" si="7"/>
        <v>0.78792367902750238</v>
      </c>
      <c r="F84" s="98">
        <f t="shared" si="3"/>
        <v>8.3168835424435317E-3</v>
      </c>
      <c r="G84" s="98"/>
      <c r="H84" s="138"/>
      <c r="I84" s="46"/>
      <c r="J84" s="46"/>
      <c r="K84" s="73"/>
      <c r="L84" s="46"/>
      <c r="M84" s="46"/>
      <c r="N84" s="39"/>
      <c r="O84" s="140"/>
      <c r="P84" s="162"/>
      <c r="Q84" s="26"/>
      <c r="R84" s="26"/>
      <c r="S84" s="26"/>
      <c r="T84" s="26"/>
      <c r="U84" s="26"/>
      <c r="V84" s="26"/>
    </row>
    <row r="85" spans="1:22" x14ac:dyDescent="0.2">
      <c r="A85" s="157">
        <v>613.34765625</v>
      </c>
      <c r="B85" s="8">
        <v>1.297953635953218</v>
      </c>
      <c r="C85" s="98">
        <f t="shared" si="6"/>
        <v>1.2676683247936056</v>
      </c>
      <c r="D85" s="98">
        <f t="shared" si="1"/>
        <v>0.79975476019571823</v>
      </c>
      <c r="E85" s="98">
        <f t="shared" si="7"/>
        <v>0.79594697240196688</v>
      </c>
      <c r="F85" s="98">
        <f t="shared" si="3"/>
        <v>8.0232933744645019E-3</v>
      </c>
      <c r="G85" s="98"/>
      <c r="H85" s="138"/>
      <c r="I85" s="46"/>
      <c r="J85" s="46"/>
      <c r="K85" s="73"/>
      <c r="L85" s="46"/>
      <c r="M85" s="46"/>
      <c r="N85" s="39"/>
      <c r="O85" s="140"/>
      <c r="P85" s="162"/>
      <c r="Q85" s="26"/>
      <c r="R85" s="26"/>
      <c r="S85" s="26"/>
      <c r="T85" s="26"/>
      <c r="U85" s="26"/>
      <c r="V85" s="26"/>
    </row>
    <row r="86" spans="1:22" x14ac:dyDescent="0.2">
      <c r="A86" s="157">
        <v>673.431884765625</v>
      </c>
      <c r="B86" s="8">
        <v>1.3110013419760767</v>
      </c>
      <c r="C86" s="98">
        <f t="shared" si="6"/>
        <v>1.2807160308164642</v>
      </c>
      <c r="D86" s="98">
        <f t="shared" si="1"/>
        <v>0.80779431161910331</v>
      </c>
      <c r="E86" s="98">
        <f t="shared" si="7"/>
        <v>0.80413940089652292</v>
      </c>
      <c r="F86" s="98">
        <f t="shared" si="3"/>
        <v>8.1924284945560366E-3</v>
      </c>
      <c r="G86" s="98"/>
      <c r="H86" s="138"/>
      <c r="I86" s="46"/>
      <c r="J86" s="46"/>
      <c r="K86" s="73"/>
      <c r="L86" s="46"/>
      <c r="M86" s="46"/>
      <c r="N86" s="39"/>
      <c r="O86" s="140"/>
      <c r="P86" s="162"/>
      <c r="Q86" s="26"/>
      <c r="R86" s="26"/>
      <c r="S86" s="26"/>
      <c r="T86" s="26"/>
      <c r="U86" s="26"/>
      <c r="V86" s="26"/>
    </row>
    <row r="87" spans="1:22" x14ac:dyDescent="0.2">
      <c r="A87" s="157">
        <v>735.2288818359375</v>
      </c>
      <c r="B87" s="8">
        <v>1.3239840267448129</v>
      </c>
      <c r="C87" s="98">
        <f t="shared" si="6"/>
        <v>1.2936987155852004</v>
      </c>
      <c r="D87" s="98">
        <f t="shared" si="1"/>
        <v>0.81579379916342687</v>
      </c>
      <c r="E87" s="98">
        <f t="shared" si="7"/>
        <v>0.81229100367243601</v>
      </c>
      <c r="F87" s="98">
        <f t="shared" si="3"/>
        <v>8.1516027759130916E-3</v>
      </c>
      <c r="G87" s="98"/>
      <c r="H87" s="138"/>
      <c r="I87" s="46"/>
      <c r="J87" s="46"/>
      <c r="K87" s="73"/>
      <c r="L87" s="46"/>
      <c r="M87" s="46"/>
      <c r="N87" s="39"/>
      <c r="O87" s="140"/>
      <c r="P87" s="162"/>
      <c r="Q87" s="26"/>
      <c r="R87" s="26"/>
      <c r="S87" s="26"/>
      <c r="T87" s="26"/>
      <c r="U87" s="26"/>
      <c r="V87" s="26"/>
    </row>
    <row r="88" spans="1:22" x14ac:dyDescent="0.2">
      <c r="A88" s="157">
        <v>804.4661865234375</v>
      </c>
      <c r="B88" s="8">
        <v>1.336893613085002</v>
      </c>
      <c r="C88" s="98">
        <f t="shared" si="6"/>
        <v>1.3066083019253896</v>
      </c>
      <c r="D88" s="98">
        <f t="shared" si="1"/>
        <v>0.82374824594930263</v>
      </c>
      <c r="E88" s="98">
        <f t="shared" si="7"/>
        <v>0.82039670921186281</v>
      </c>
      <c r="F88" s="98">
        <f t="shared" si="3"/>
        <v>8.1057055394267996E-3</v>
      </c>
      <c r="G88" s="98"/>
      <c r="H88" s="138"/>
      <c r="I88" s="46"/>
      <c r="J88" s="46"/>
      <c r="K88" s="73"/>
      <c r="L88" s="46"/>
      <c r="M88" s="46"/>
      <c r="N88" s="39"/>
      <c r="O88" s="140"/>
      <c r="P88" s="162"/>
      <c r="Q88" s="26"/>
      <c r="R88" s="26"/>
      <c r="S88" s="26"/>
      <c r="T88" s="26"/>
      <c r="U88" s="26"/>
      <c r="V88" s="26"/>
    </row>
    <row r="89" spans="1:22" x14ac:dyDescent="0.2">
      <c r="A89" s="157">
        <v>878.50714111328125</v>
      </c>
      <c r="B89" s="8">
        <v>1.3497875297068063</v>
      </c>
      <c r="C89" s="98">
        <f t="shared" si="6"/>
        <v>1.3195022185471939</v>
      </c>
      <c r="D89" s="98">
        <f t="shared" si="1"/>
        <v>0.83169303758916857</v>
      </c>
      <c r="E89" s="98">
        <f t="shared" si="7"/>
        <v>0.82849257600667237</v>
      </c>
      <c r="F89" s="98">
        <f t="shared" si="3"/>
        <v>8.0958667948095586E-3</v>
      </c>
      <c r="G89" s="98"/>
      <c r="H89" s="138"/>
      <c r="I89" s="46"/>
      <c r="J89" s="46"/>
      <c r="K89" s="73"/>
      <c r="L89" s="46"/>
      <c r="M89" s="46"/>
      <c r="N89" s="39"/>
      <c r="O89" s="140"/>
      <c r="P89" s="162"/>
      <c r="Q89" s="26"/>
      <c r="R89" s="26"/>
      <c r="S89" s="26"/>
      <c r="T89" s="26"/>
      <c r="U89" s="26"/>
      <c r="V89" s="26"/>
    </row>
    <row r="90" spans="1:22" x14ac:dyDescent="0.2">
      <c r="A90" s="157">
        <v>963.77874755859375</v>
      </c>
      <c r="B90" s="8">
        <v>1.3629250539092721</v>
      </c>
      <c r="C90" s="98">
        <f t="shared" si="6"/>
        <v>1.3326397427496597</v>
      </c>
      <c r="D90" s="98">
        <f t="shared" si="1"/>
        <v>0.8397879319113315</v>
      </c>
      <c r="E90" s="98">
        <f t="shared" si="7"/>
        <v>0.83674139977965167</v>
      </c>
      <c r="F90" s="98">
        <f t="shared" si="3"/>
        <v>8.2488237729793079E-3</v>
      </c>
      <c r="G90" s="98"/>
      <c r="H90" s="138"/>
      <c r="I90" s="46"/>
      <c r="J90" s="46"/>
      <c r="K90" s="73"/>
      <c r="L90" s="46"/>
      <c r="M90" s="46"/>
      <c r="N90" s="39"/>
      <c r="O90" s="140"/>
      <c r="P90" s="162"/>
      <c r="Q90" s="26"/>
      <c r="R90" s="26"/>
      <c r="S90" s="26"/>
      <c r="T90" s="26"/>
      <c r="U90" s="26"/>
      <c r="V90" s="26"/>
    </row>
    <row r="91" spans="1:22" x14ac:dyDescent="0.2">
      <c r="A91" s="157">
        <v>1047.4248046875</v>
      </c>
      <c r="B91" s="8">
        <v>1.3748101314453782</v>
      </c>
      <c r="C91" s="98">
        <f t="shared" si="6"/>
        <v>1.3445248202857658</v>
      </c>
      <c r="D91" s="98">
        <f t="shared" si="1"/>
        <v>0.84711111131582195</v>
      </c>
      <c r="E91" s="98">
        <f t="shared" si="7"/>
        <v>0.84420383399576771</v>
      </c>
      <c r="F91" s="98">
        <f t="shared" si="3"/>
        <v>7.4624342161160317E-3</v>
      </c>
      <c r="G91" s="98"/>
      <c r="H91" s="138"/>
      <c r="I91" s="46"/>
      <c r="J91" s="46"/>
      <c r="K91" s="73"/>
      <c r="L91" s="46"/>
      <c r="M91" s="46"/>
      <c r="N91" s="39"/>
      <c r="O91" s="140"/>
      <c r="P91" s="162"/>
      <c r="Q91" s="26"/>
      <c r="R91" s="26"/>
      <c r="S91" s="26"/>
      <c r="T91" s="26"/>
      <c r="U91" s="26"/>
      <c r="V91" s="26"/>
    </row>
    <row r="92" spans="1:22" x14ac:dyDescent="0.2">
      <c r="A92" s="157">
        <v>1147.6639404296875</v>
      </c>
      <c r="B92" s="8">
        <v>1.3878164823351802</v>
      </c>
      <c r="C92" s="98">
        <f t="shared" si="6"/>
        <v>1.3575311711755678</v>
      </c>
      <c r="D92" s="98">
        <f t="shared" si="1"/>
        <v>0.85512518111674807</v>
      </c>
      <c r="E92" s="98">
        <f t="shared" si="7"/>
        <v>0.85237029631896333</v>
      </c>
      <c r="F92" s="98">
        <f t="shared" si="3"/>
        <v>8.1664623231956224E-3</v>
      </c>
      <c r="G92" s="98"/>
      <c r="H92" s="138"/>
      <c r="I92" s="46"/>
      <c r="J92" s="46"/>
      <c r="K92" s="46"/>
      <c r="L92" s="46"/>
      <c r="M92" s="46"/>
      <c r="N92" s="39"/>
      <c r="O92" s="140"/>
      <c r="P92" s="162"/>
      <c r="Q92" s="26"/>
      <c r="R92" s="26"/>
      <c r="S92" s="26"/>
      <c r="T92" s="26"/>
      <c r="U92" s="26"/>
      <c r="V92" s="26"/>
    </row>
    <row r="93" spans="1:22" x14ac:dyDescent="0.2">
      <c r="A93" s="157">
        <v>1257.7652587890625</v>
      </c>
      <c r="B93" s="8">
        <v>1.4004316556675733</v>
      </c>
      <c r="C93" s="98">
        <f t="shared" si="6"/>
        <v>1.3701463445079609</v>
      </c>
      <c r="D93" s="98">
        <f t="shared" si="1"/>
        <v>0.86289822064898536</v>
      </c>
      <c r="E93" s="98">
        <f t="shared" si="7"/>
        <v>0.86029114503298254</v>
      </c>
      <c r="F93" s="98">
        <f t="shared" si="3"/>
        <v>7.920848714019213E-3</v>
      </c>
      <c r="G93" s="98"/>
      <c r="H93" s="138"/>
      <c r="I93" s="46"/>
      <c r="J93" s="46"/>
      <c r="K93" s="46"/>
      <c r="L93" s="46"/>
      <c r="M93" s="46"/>
      <c r="N93" s="39"/>
      <c r="O93" s="140"/>
      <c r="P93" s="162"/>
      <c r="Q93" s="26"/>
      <c r="R93" s="26"/>
      <c r="S93" s="26"/>
      <c r="T93" s="26"/>
      <c r="U93" s="26"/>
      <c r="V93" s="26"/>
    </row>
    <row r="94" spans="1:22" x14ac:dyDescent="0.2">
      <c r="A94" s="157">
        <v>1377.4647216796875</v>
      </c>
      <c r="B94" s="8">
        <v>1.4133229068218174</v>
      </c>
      <c r="C94" s="98">
        <f t="shared" si="6"/>
        <v>1.383037595662205</v>
      </c>
      <c r="D94" s="98">
        <f t="shared" si="1"/>
        <v>0.8708413699186538</v>
      </c>
      <c r="E94" s="98">
        <f t="shared" si="7"/>
        <v>0.86838533822690378</v>
      </c>
      <c r="F94" s="98">
        <f t="shared" si="3"/>
        <v>8.0941931939212397E-3</v>
      </c>
      <c r="G94" s="98"/>
      <c r="H94" s="138"/>
      <c r="I94" s="46"/>
      <c r="J94" s="46"/>
      <c r="K94" s="46"/>
      <c r="L94" s="46"/>
      <c r="M94" s="46"/>
      <c r="N94" s="39"/>
      <c r="O94" s="140"/>
      <c r="P94" s="162"/>
      <c r="Q94" s="26"/>
      <c r="R94" s="26"/>
      <c r="S94" s="26"/>
      <c r="T94" s="26"/>
      <c r="U94" s="26"/>
      <c r="V94" s="26"/>
    </row>
    <row r="95" spans="1:22" x14ac:dyDescent="0.2">
      <c r="A95" s="157">
        <v>1506.6988525390625</v>
      </c>
      <c r="B95" s="8">
        <v>1.4255657224132123</v>
      </c>
      <c r="C95" s="98">
        <f t="shared" si="6"/>
        <v>1.3952804112535999</v>
      </c>
      <c r="D95" s="98">
        <f t="shared" si="1"/>
        <v>0.87838497531117288</v>
      </c>
      <c r="E95" s="98">
        <f t="shared" si="7"/>
        <v>0.87607238996832271</v>
      </c>
      <c r="F95" s="98">
        <f t="shared" si="3"/>
        <v>7.6870517414189266E-3</v>
      </c>
      <c r="G95" s="98"/>
      <c r="H95" s="138"/>
      <c r="I95" s="46"/>
      <c r="J95" s="46"/>
      <c r="K95" s="46"/>
      <c r="L95" s="46"/>
      <c r="M95" s="46"/>
      <c r="N95" s="39"/>
      <c r="O95" s="140"/>
      <c r="P95" s="162"/>
      <c r="Q95" s="26"/>
      <c r="R95" s="26"/>
      <c r="S95" s="26"/>
      <c r="T95" s="26"/>
      <c r="U95" s="26"/>
      <c r="V95" s="26"/>
    </row>
    <row r="96" spans="1:22" x14ac:dyDescent="0.2">
      <c r="A96" s="157">
        <v>1648.361572265625</v>
      </c>
      <c r="B96" s="8">
        <v>1.4373609817697111</v>
      </c>
      <c r="C96" s="98">
        <f t="shared" si="6"/>
        <v>1.4070756706100986</v>
      </c>
      <c r="D96" s="98">
        <f t="shared" si="1"/>
        <v>0.88565281181688527</v>
      </c>
      <c r="E96" s="98">
        <f t="shared" si="7"/>
        <v>0.88347842890601547</v>
      </c>
      <c r="F96" s="98">
        <f t="shared" si="3"/>
        <v>7.4060389376927604E-3</v>
      </c>
      <c r="G96" s="98"/>
      <c r="H96" s="138"/>
      <c r="I96" s="46"/>
      <c r="J96" s="46"/>
      <c r="K96" s="46"/>
      <c r="L96" s="46"/>
      <c r="M96" s="46"/>
      <c r="N96" s="39"/>
      <c r="O96" s="140"/>
      <c r="P96" s="162"/>
      <c r="Q96" s="26"/>
      <c r="R96" s="26"/>
      <c r="S96" s="26"/>
      <c r="T96" s="26"/>
      <c r="U96" s="26"/>
      <c r="V96" s="26"/>
    </row>
    <row r="97" spans="1:22" x14ac:dyDescent="0.2">
      <c r="A97" s="157">
        <v>1809.2904052734375</v>
      </c>
      <c r="B97" s="8">
        <v>1.4497392515762153</v>
      </c>
      <c r="C97" s="98">
        <f t="shared" si="6"/>
        <v>1.4194539404166029</v>
      </c>
      <c r="D97" s="98">
        <f t="shared" si="1"/>
        <v>0.89327987947671617</v>
      </c>
      <c r="E97" s="98">
        <f t="shared" si="7"/>
        <v>0.89125053000167531</v>
      </c>
      <c r="F97" s="98">
        <f t="shared" si="3"/>
        <v>7.7721010956598446E-3</v>
      </c>
      <c r="G97" s="98"/>
      <c r="H97" s="138"/>
      <c r="I97" s="46"/>
      <c r="J97" s="46"/>
      <c r="K97" s="46"/>
      <c r="L97" s="46"/>
      <c r="M97" s="46"/>
      <c r="N97" s="39"/>
      <c r="O97" s="140"/>
      <c r="P97" s="162"/>
      <c r="Q97" s="26"/>
      <c r="R97" s="26"/>
      <c r="S97" s="26"/>
      <c r="T97" s="26"/>
      <c r="U97" s="26"/>
      <c r="V97" s="26"/>
    </row>
    <row r="98" spans="1:22" x14ac:dyDescent="0.2">
      <c r="A98" s="157">
        <v>1978.3740234375</v>
      </c>
      <c r="B98" s="8">
        <v>1.4617199628575148</v>
      </c>
      <c r="C98" s="98">
        <f t="shared" si="6"/>
        <v>1.4314346516979024</v>
      </c>
      <c r="D98" s="98">
        <f t="shared" si="1"/>
        <v>0.90066198513314288</v>
      </c>
      <c r="E98" s="98">
        <f t="shared" si="7"/>
        <v>0.89877301098906226</v>
      </c>
      <c r="F98" s="98">
        <f t="shared" si="3"/>
        <v>7.522480987386948E-3</v>
      </c>
      <c r="G98" s="98"/>
      <c r="H98" s="138"/>
      <c r="I98" s="46"/>
      <c r="J98" s="46"/>
      <c r="K98" s="46"/>
      <c r="L98" s="46"/>
      <c r="M98" s="46"/>
      <c r="N98" s="39"/>
      <c r="O98" s="140"/>
      <c r="P98" s="162"/>
      <c r="Q98" s="26"/>
      <c r="R98" s="26"/>
      <c r="S98" s="26"/>
      <c r="T98" s="26"/>
      <c r="U98" s="26"/>
      <c r="V98" s="26"/>
    </row>
    <row r="99" spans="1:22" x14ac:dyDescent="0.2">
      <c r="A99" s="157">
        <v>2158.495361328125</v>
      </c>
      <c r="B99" s="8">
        <v>1.4728648481293025</v>
      </c>
      <c r="C99" s="98">
        <f t="shared" si="6"/>
        <v>1.4425795369696901</v>
      </c>
      <c r="D99" s="98">
        <f t="shared" si="1"/>
        <v>0.9075290833106533</v>
      </c>
      <c r="E99" s="98">
        <f t="shared" si="7"/>
        <v>0.90577069130997023</v>
      </c>
      <c r="F99" s="98">
        <f t="shared" si="3"/>
        <v>6.997680320907973E-3</v>
      </c>
      <c r="G99" s="98"/>
      <c r="H99" s="138"/>
      <c r="I99" s="46"/>
      <c r="J99" s="46"/>
      <c r="K99" s="46"/>
      <c r="L99" s="46"/>
      <c r="M99" s="46"/>
      <c r="N99" s="39"/>
      <c r="O99" s="140"/>
      <c r="P99" s="162"/>
      <c r="Q99" s="26"/>
      <c r="R99" s="26"/>
      <c r="S99" s="26"/>
      <c r="T99" s="26"/>
      <c r="U99" s="26"/>
      <c r="V99" s="26"/>
    </row>
    <row r="100" spans="1:22" x14ac:dyDescent="0.2">
      <c r="A100" s="157">
        <v>2368.143310546875</v>
      </c>
      <c r="B100" s="8">
        <v>1.4840237876845899</v>
      </c>
      <c r="C100" s="98">
        <f t="shared" si="6"/>
        <v>1.4537384765249775</v>
      </c>
      <c r="D100" s="98">
        <f t="shared" si="1"/>
        <v>0.91440484125829613</v>
      </c>
      <c r="E100" s="98">
        <f t="shared" si="7"/>
        <v>0.91277719607192653</v>
      </c>
      <c r="F100" s="98">
        <f t="shared" si="3"/>
        <v>7.0065047619563003E-3</v>
      </c>
      <c r="G100" s="98"/>
      <c r="H100" s="138"/>
      <c r="I100" s="46"/>
      <c r="J100" s="46"/>
      <c r="K100" s="46"/>
      <c r="L100" s="46"/>
      <c r="M100" s="46"/>
      <c r="N100" s="39"/>
      <c r="O100" s="140"/>
      <c r="P100" s="162"/>
      <c r="Q100" s="26"/>
      <c r="R100" s="26"/>
      <c r="S100" s="26"/>
      <c r="T100" s="26"/>
      <c r="U100" s="26"/>
      <c r="V100" s="26"/>
    </row>
    <row r="101" spans="1:22" x14ac:dyDescent="0.2">
      <c r="A101" s="157">
        <v>2588.39892578125</v>
      </c>
      <c r="B101" s="8">
        <v>1.4943522321654858</v>
      </c>
      <c r="C101" s="98">
        <f t="shared" si="6"/>
        <v>1.4640669210058734</v>
      </c>
      <c r="D101" s="98">
        <f t="shared" si="1"/>
        <v>0.92076887646741779</v>
      </c>
      <c r="E101" s="98">
        <f t="shared" si="7"/>
        <v>0.91926224736918083</v>
      </c>
      <c r="F101" s="98">
        <f t="shared" si="3"/>
        <v>6.4850512972542962E-3</v>
      </c>
      <c r="G101" s="98"/>
      <c r="H101" s="138"/>
      <c r="I101" s="46"/>
      <c r="J101" s="46"/>
      <c r="K101" s="46"/>
      <c r="L101" s="46"/>
      <c r="M101" s="46"/>
      <c r="N101" s="39"/>
      <c r="O101" s="140"/>
      <c r="P101" s="162"/>
      <c r="Q101" s="26"/>
      <c r="R101" s="26"/>
      <c r="S101" s="26"/>
      <c r="T101" s="26"/>
      <c r="U101" s="26"/>
      <c r="V101" s="26"/>
    </row>
    <row r="102" spans="1:22" x14ac:dyDescent="0.2">
      <c r="A102" s="157">
        <v>2829.3759765625</v>
      </c>
      <c r="B102" s="8">
        <v>1.5043338427765669</v>
      </c>
      <c r="C102" s="98">
        <f t="shared" si="6"/>
        <v>1.4740485316169545</v>
      </c>
      <c r="D102" s="98">
        <f t="shared" si="1"/>
        <v>0.92691920447568255</v>
      </c>
      <c r="E102" s="98">
        <f t="shared" si="7"/>
        <v>0.92552952769022134</v>
      </c>
      <c r="F102" s="98">
        <f t="shared" si="3"/>
        <v>6.2672803210405137E-3</v>
      </c>
      <c r="G102" s="98"/>
      <c r="H102" s="138"/>
      <c r="I102" s="46"/>
      <c r="J102" s="46"/>
      <c r="K102" s="46"/>
      <c r="L102" s="46"/>
      <c r="M102" s="46"/>
      <c r="N102" s="39"/>
      <c r="O102" s="140"/>
      <c r="P102" s="162"/>
      <c r="Q102" s="26"/>
      <c r="R102" s="26"/>
      <c r="S102" s="26"/>
      <c r="T102" s="26"/>
      <c r="U102" s="26"/>
      <c r="V102" s="26"/>
    </row>
    <row r="103" spans="1:22" x14ac:dyDescent="0.2">
      <c r="A103" s="157">
        <v>3098.702392578125</v>
      </c>
      <c r="B103" s="8">
        <v>1.5147441898061338</v>
      </c>
      <c r="C103" s="98">
        <f t="shared" si="6"/>
        <v>1.4844588786465214</v>
      </c>
      <c r="D103" s="98">
        <f t="shared" si="1"/>
        <v>0.93333370524178361</v>
      </c>
      <c r="E103" s="98">
        <f t="shared" si="7"/>
        <v>0.93206600417841212</v>
      </c>
      <c r="F103" s="98">
        <f t="shared" si="3"/>
        <v>6.5364764881907789E-3</v>
      </c>
      <c r="G103" s="98"/>
      <c r="H103" s="138"/>
      <c r="I103" s="46"/>
      <c r="J103" s="46"/>
      <c r="K103" s="46"/>
      <c r="L103" s="46"/>
      <c r="M103" s="46"/>
      <c r="N103" s="39"/>
      <c r="O103" s="140"/>
      <c r="P103" s="162"/>
      <c r="Q103" s="26"/>
      <c r="R103" s="26"/>
      <c r="S103" s="26"/>
      <c r="T103" s="26"/>
      <c r="U103" s="26"/>
      <c r="V103" s="26"/>
    </row>
    <row r="104" spans="1:22" x14ac:dyDescent="0.2">
      <c r="A104" s="157">
        <v>3388.3359375</v>
      </c>
      <c r="B104" s="8">
        <v>1.5234323217047754</v>
      </c>
      <c r="C104" s="98">
        <f t="shared" si="6"/>
        <v>1.493147010545163</v>
      </c>
      <c r="D104" s="98">
        <f t="shared" si="1"/>
        <v>0.93868703578509216</v>
      </c>
      <c r="E104" s="98">
        <f t="shared" si="7"/>
        <v>0.93752113163194262</v>
      </c>
      <c r="F104" s="98">
        <f t="shared" si="3"/>
        <v>5.455127453530495E-3</v>
      </c>
      <c r="G104" s="98"/>
      <c r="H104" s="138"/>
      <c r="I104" s="46"/>
      <c r="J104" s="46"/>
      <c r="K104" s="46"/>
      <c r="L104" s="46"/>
      <c r="M104" s="46"/>
      <c r="N104" s="39"/>
      <c r="O104" s="140"/>
      <c r="P104" s="162"/>
      <c r="Q104" s="26"/>
      <c r="R104" s="26"/>
      <c r="S104" s="26"/>
      <c r="T104" s="26"/>
      <c r="U104" s="26"/>
      <c r="V104" s="26"/>
    </row>
    <row r="105" spans="1:22" x14ac:dyDescent="0.2">
      <c r="A105" s="157">
        <v>3707.82666015625</v>
      </c>
      <c r="B105" s="8">
        <v>1.5319432403965296</v>
      </c>
      <c r="C105" s="98">
        <f t="shared" si="6"/>
        <v>1.5016579292369172</v>
      </c>
      <c r="D105" s="98">
        <f t="shared" si="1"/>
        <v>0.94393117359466072</v>
      </c>
      <c r="E105" s="98">
        <f t="shared" si="7"/>
        <v>0.94286498998397972</v>
      </c>
      <c r="F105" s="98">
        <f t="shared" si="3"/>
        <v>5.3438583520371008E-3</v>
      </c>
      <c r="G105" s="98"/>
      <c r="H105" s="138"/>
      <c r="I105" s="46"/>
      <c r="J105" s="46"/>
      <c r="K105" s="46"/>
      <c r="L105" s="46"/>
      <c r="M105" s="46"/>
      <c r="N105" s="39"/>
      <c r="O105" s="140"/>
      <c r="P105" s="162"/>
      <c r="Q105" s="26"/>
      <c r="R105" s="26"/>
      <c r="S105" s="26"/>
      <c r="T105" s="26"/>
      <c r="U105" s="26"/>
      <c r="V105" s="26"/>
    </row>
    <row r="106" spans="1:22" x14ac:dyDescent="0.2">
      <c r="A106" s="157">
        <v>4059.25634765625</v>
      </c>
      <c r="B106" s="8">
        <v>1.5399945678634943</v>
      </c>
      <c r="C106" s="98">
        <f t="shared" si="6"/>
        <v>1.5097092567038819</v>
      </c>
      <c r="D106" s="98">
        <f t="shared" si="1"/>
        <v>0.94889212696713665</v>
      </c>
      <c r="E106" s="98">
        <f t="shared" si="7"/>
        <v>0.94792027897070319</v>
      </c>
      <c r="F106" s="98">
        <f t="shared" si="3"/>
        <v>5.0552889867234718E-3</v>
      </c>
      <c r="G106" s="98"/>
      <c r="H106" s="138"/>
      <c r="I106" s="46"/>
      <c r="J106" s="46"/>
      <c r="K106" s="46"/>
      <c r="L106" s="46"/>
      <c r="M106" s="46"/>
      <c r="N106" s="39"/>
      <c r="O106" s="140"/>
      <c r="P106" s="162"/>
      <c r="Q106" s="26"/>
      <c r="R106" s="26"/>
      <c r="S106" s="26"/>
      <c r="T106" s="26"/>
      <c r="U106" s="26"/>
      <c r="V106" s="26"/>
    </row>
    <row r="107" spans="1:22" x14ac:dyDescent="0.2">
      <c r="A107" s="157">
        <v>4436.71923828125</v>
      </c>
      <c r="B107" s="8">
        <v>1.5480337795688215</v>
      </c>
      <c r="C107" s="98">
        <f t="shared" si="6"/>
        <v>1.5177484684092091</v>
      </c>
      <c r="D107" s="98">
        <f t="shared" si="1"/>
        <v>0.953845615020533</v>
      </c>
      <c r="E107" s="98">
        <f t="shared" si="7"/>
        <v>0.95296796068066103</v>
      </c>
      <c r="F107" s="98">
        <f t="shared" si="3"/>
        <v>5.0476817099578408E-3</v>
      </c>
      <c r="G107" s="98"/>
      <c r="H107" s="138"/>
      <c r="I107" s="46"/>
      <c r="J107" s="46"/>
      <c r="K107" s="46"/>
      <c r="L107" s="46"/>
      <c r="M107" s="46"/>
      <c r="N107" s="39"/>
      <c r="O107" s="140"/>
      <c r="P107" s="162"/>
      <c r="Q107" s="26"/>
      <c r="R107" s="26"/>
      <c r="S107" s="26"/>
      <c r="T107" s="26"/>
      <c r="U107" s="26"/>
      <c r="V107" s="26"/>
    </row>
    <row r="108" spans="1:22" x14ac:dyDescent="0.2">
      <c r="A108" s="157">
        <v>4846.1875</v>
      </c>
      <c r="B108" s="8">
        <v>1.555271735571176</v>
      </c>
      <c r="C108" s="98">
        <f t="shared" si="6"/>
        <v>1.5249864244115636</v>
      </c>
      <c r="D108" s="98">
        <f t="shared" si="1"/>
        <v>0.958305396638787</v>
      </c>
      <c r="E108" s="98">
        <f t="shared" si="7"/>
        <v>0.95751254782051143</v>
      </c>
      <c r="F108" s="98">
        <f t="shared" si="3"/>
        <v>4.5445871398503979E-3</v>
      </c>
      <c r="G108" s="98"/>
      <c r="H108" s="138"/>
      <c r="I108" s="46"/>
      <c r="J108" s="46"/>
      <c r="K108" s="46"/>
      <c r="L108" s="46"/>
      <c r="M108" s="46"/>
      <c r="N108" s="39"/>
      <c r="O108" s="140"/>
      <c r="P108" s="162"/>
      <c r="Q108" s="26"/>
      <c r="R108" s="26"/>
      <c r="S108" s="26"/>
      <c r="T108" s="26"/>
      <c r="U108" s="26"/>
      <c r="V108" s="26"/>
    </row>
    <row r="109" spans="1:22" x14ac:dyDescent="0.2">
      <c r="A109" s="157">
        <v>5307.1259765625</v>
      </c>
      <c r="B109" s="8">
        <v>1.5619194116665425</v>
      </c>
      <c r="C109" s="98">
        <f t="shared" si="6"/>
        <v>1.5316341005069301</v>
      </c>
      <c r="D109" s="98">
        <f t="shared" si="1"/>
        <v>0.96240146791147474</v>
      </c>
      <c r="E109" s="98">
        <f t="shared" si="7"/>
        <v>0.9616865084363353</v>
      </c>
      <c r="F109" s="98">
        <f t="shared" si="3"/>
        <v>4.1739606158238685E-3</v>
      </c>
      <c r="G109" s="98"/>
      <c r="H109" s="138"/>
      <c r="I109" s="46"/>
      <c r="J109" s="46"/>
      <c r="K109" s="46"/>
      <c r="L109" s="46"/>
      <c r="M109" s="46"/>
      <c r="N109" s="39"/>
      <c r="O109" s="140"/>
      <c r="P109" s="162"/>
      <c r="Q109" s="26"/>
      <c r="R109" s="26"/>
      <c r="S109" s="26"/>
      <c r="T109" s="26"/>
      <c r="U109" s="26"/>
      <c r="V109" s="26"/>
    </row>
    <row r="110" spans="1:22" x14ac:dyDescent="0.2">
      <c r="A110" s="157">
        <v>5806.57470703125</v>
      </c>
      <c r="B110" s="8">
        <v>1.5688785436077417</v>
      </c>
      <c r="C110" s="98">
        <f t="shared" si="6"/>
        <v>1.5385932324481293</v>
      </c>
      <c r="D110" s="98">
        <f t="shared" si="1"/>
        <v>0.96668944765330644</v>
      </c>
      <c r="E110" s="98">
        <f t="shared" si="7"/>
        <v>0.96605602678021696</v>
      </c>
      <c r="F110" s="98">
        <f t="shared" si="3"/>
        <v>4.369518343881662E-3</v>
      </c>
      <c r="G110" s="98"/>
      <c r="H110" s="138"/>
      <c r="I110" s="46"/>
      <c r="J110" s="46"/>
      <c r="K110" s="46"/>
      <c r="L110" s="46"/>
      <c r="M110" s="46"/>
      <c r="N110" s="39"/>
      <c r="O110" s="140"/>
      <c r="P110" s="162"/>
      <c r="Q110" s="26"/>
      <c r="R110" s="26"/>
      <c r="S110" s="26"/>
      <c r="T110" s="26"/>
      <c r="U110" s="26"/>
      <c r="V110" s="26"/>
    </row>
    <row r="111" spans="1:22" x14ac:dyDescent="0.2">
      <c r="A111" s="157">
        <v>6356.74658203125</v>
      </c>
      <c r="B111" s="8">
        <v>1.5751567697449032</v>
      </c>
      <c r="C111" s="98">
        <f t="shared" si="6"/>
        <v>1.5448714585852907</v>
      </c>
      <c r="D111" s="98">
        <f t="shared" si="1"/>
        <v>0.9705578764628553</v>
      </c>
      <c r="E111" s="98">
        <f t="shared" si="7"/>
        <v>0.96999801616986436</v>
      </c>
      <c r="F111" s="98">
        <f t="shared" si="3"/>
        <v>3.9419893896474045E-3</v>
      </c>
      <c r="G111" s="98"/>
      <c r="H111" s="138"/>
      <c r="I111" s="46"/>
      <c r="J111" s="46"/>
      <c r="K111" s="46"/>
      <c r="L111" s="46"/>
      <c r="M111" s="46"/>
      <c r="N111" s="39"/>
      <c r="O111" s="140"/>
      <c r="P111" s="162"/>
      <c r="Q111" s="26"/>
      <c r="R111" s="26"/>
      <c r="S111" s="26"/>
      <c r="T111" s="26"/>
      <c r="U111" s="26"/>
      <c r="V111" s="26"/>
    </row>
    <row r="112" spans="1:22" x14ac:dyDescent="0.2">
      <c r="A112" s="157">
        <v>6946.33251953125</v>
      </c>
      <c r="B112" s="8">
        <v>1.5816288480682674</v>
      </c>
      <c r="C112" s="98">
        <f t="shared" si="6"/>
        <v>1.551343536908655</v>
      </c>
      <c r="D112" s="98">
        <f t="shared" si="1"/>
        <v>0.97454575037768021</v>
      </c>
      <c r="E112" s="98">
        <f t="shared" si="7"/>
        <v>0.97406172198776342</v>
      </c>
      <c r="F112" s="98">
        <f t="shared" si="3"/>
        <v>4.0637058178990548E-3</v>
      </c>
      <c r="G112" s="98"/>
      <c r="H112" s="138"/>
      <c r="I112" s="46"/>
      <c r="J112" s="46"/>
      <c r="K112" s="46"/>
      <c r="L112" s="46"/>
      <c r="M112" s="46"/>
      <c r="N112" s="39"/>
      <c r="O112" s="140"/>
      <c r="P112" s="162"/>
      <c r="Q112" s="26"/>
      <c r="R112" s="26"/>
      <c r="S112" s="26"/>
      <c r="T112" s="26"/>
      <c r="U112" s="26"/>
      <c r="V112" s="26"/>
    </row>
    <row r="113" spans="1:22" x14ac:dyDescent="0.2">
      <c r="A113" s="157">
        <v>7605.748046875</v>
      </c>
      <c r="B113" s="8">
        <v>1.5872114679439369</v>
      </c>
      <c r="C113" s="98">
        <f t="shared" si="6"/>
        <v>1.5569261567843244</v>
      </c>
      <c r="D113" s="98">
        <f t="shared" si="1"/>
        <v>0.97798557033446243</v>
      </c>
      <c r="E113" s="98">
        <f t="shared" si="7"/>
        <v>0.97756695226070067</v>
      </c>
      <c r="F113" s="98">
        <f t="shared" si="3"/>
        <v>3.5052302729372542E-3</v>
      </c>
      <c r="G113" s="98"/>
      <c r="H113" s="138"/>
      <c r="I113" s="46"/>
      <c r="J113" s="46"/>
      <c r="K113" s="46"/>
      <c r="L113" s="46"/>
      <c r="M113" s="46"/>
      <c r="N113" s="39"/>
      <c r="O113" s="140"/>
      <c r="P113" s="162"/>
      <c r="Q113" s="26"/>
      <c r="R113" s="26"/>
      <c r="S113" s="26"/>
      <c r="T113" s="26"/>
      <c r="U113" s="26"/>
      <c r="V113" s="26"/>
    </row>
    <row r="114" spans="1:22" x14ac:dyDescent="0.2">
      <c r="A114" s="157">
        <v>8316.9052734375</v>
      </c>
      <c r="B114" s="8">
        <v>1.591156036846191</v>
      </c>
      <c r="C114" s="98">
        <f t="shared" ref="C114:C136" si="8">IF(B114-I$27&lt;0,0,B114-I$27)</f>
        <v>1.5608707256865786</v>
      </c>
      <c r="D114" s="98">
        <f t="shared" si="1"/>
        <v>0.98041607915165985</v>
      </c>
      <c r="E114" s="98">
        <f t="shared" ref="E114:E136" si="9">C114/$H$23</f>
        <v>0.98004367871491049</v>
      </c>
      <c r="F114" s="98">
        <f t="shared" si="3"/>
        <v>2.4767264542098211E-3</v>
      </c>
      <c r="G114" s="98"/>
      <c r="H114" s="138"/>
      <c r="I114" s="46"/>
      <c r="J114" s="46"/>
      <c r="K114" s="46"/>
      <c r="L114" s="46"/>
      <c r="M114" s="46"/>
      <c r="N114" s="39"/>
      <c r="O114" s="140"/>
      <c r="P114" s="162"/>
      <c r="Q114" s="26"/>
      <c r="R114" s="26"/>
      <c r="S114" s="26"/>
      <c r="T114" s="26"/>
      <c r="U114" s="26"/>
      <c r="V114" s="26"/>
    </row>
    <row r="115" spans="1:22" x14ac:dyDescent="0.2">
      <c r="A115" s="157">
        <v>9097.5263671875</v>
      </c>
      <c r="B115" s="8">
        <v>1.5952396946920457</v>
      </c>
      <c r="C115" s="98">
        <f t="shared" si="8"/>
        <v>1.5649543835324333</v>
      </c>
      <c r="D115" s="98">
        <f t="shared" si="1"/>
        <v>0.98293228983189296</v>
      </c>
      <c r="E115" s="98">
        <f t="shared" si="9"/>
        <v>0.9826077367063909</v>
      </c>
      <c r="F115" s="98">
        <f t="shared" si="3"/>
        <v>2.5640579914804063E-3</v>
      </c>
      <c r="G115" s="98"/>
      <c r="H115" s="138"/>
      <c r="I115" s="46"/>
      <c r="J115" s="46"/>
      <c r="K115" s="46"/>
      <c r="L115" s="46"/>
      <c r="M115" s="46"/>
      <c r="N115" s="39"/>
      <c r="O115" s="140"/>
      <c r="P115" s="162"/>
      <c r="Q115" s="26"/>
      <c r="R115" s="26"/>
      <c r="S115" s="26"/>
      <c r="T115" s="26"/>
      <c r="U115" s="26"/>
      <c r="V115" s="26"/>
    </row>
    <row r="116" spans="1:22" x14ac:dyDescent="0.2">
      <c r="A116" s="157">
        <v>9956.859375</v>
      </c>
      <c r="B116" s="8">
        <v>1.5987356573267284</v>
      </c>
      <c r="C116" s="98">
        <f t="shared" si="8"/>
        <v>1.568450346167116</v>
      </c>
      <c r="D116" s="98">
        <f t="shared" si="1"/>
        <v>0.98508638276796345</v>
      </c>
      <c r="E116" s="98">
        <f t="shared" si="9"/>
        <v>0.98480279105955471</v>
      </c>
      <c r="F116" s="98">
        <f t="shared" si="3"/>
        <v>2.1950543531638056E-3</v>
      </c>
      <c r="G116" s="98"/>
      <c r="H116" s="138"/>
      <c r="I116" s="46"/>
      <c r="J116" s="46"/>
      <c r="K116" s="46"/>
      <c r="L116" s="46"/>
      <c r="M116" s="46"/>
      <c r="N116" s="39"/>
      <c r="O116" s="140"/>
      <c r="P116" s="162"/>
      <c r="Q116" s="26"/>
      <c r="R116" s="26"/>
      <c r="S116" s="26"/>
      <c r="T116" s="26"/>
      <c r="U116" s="26"/>
      <c r="V116" s="26"/>
    </row>
    <row r="117" spans="1:22" x14ac:dyDescent="0.2">
      <c r="A117" s="157">
        <v>10896.5751953125</v>
      </c>
      <c r="B117" s="8">
        <v>1.6019616807921233</v>
      </c>
      <c r="C117" s="98">
        <f t="shared" si="8"/>
        <v>1.5716763696325109</v>
      </c>
      <c r="D117" s="98">
        <f t="shared" si="1"/>
        <v>0.98707414839493668</v>
      </c>
      <c r="E117" s="98">
        <f t="shared" si="9"/>
        <v>0.9868283552863778</v>
      </c>
      <c r="F117" s="98">
        <f t="shared" si="3"/>
        <v>2.0255642268230956E-3</v>
      </c>
      <c r="G117" s="98"/>
      <c r="H117" s="138"/>
      <c r="I117" s="46"/>
      <c r="J117" s="46"/>
      <c r="K117" s="46"/>
      <c r="L117" s="46"/>
      <c r="M117" s="46"/>
      <c r="N117" s="39"/>
      <c r="O117" s="140"/>
      <c r="P117" s="162"/>
      <c r="Q117" s="26"/>
      <c r="R117" s="26"/>
      <c r="S117" s="26"/>
      <c r="T117" s="26"/>
      <c r="U117" s="26"/>
      <c r="V117" s="26"/>
    </row>
    <row r="118" spans="1:22" x14ac:dyDescent="0.2">
      <c r="A118" s="157">
        <v>11895.7236328125</v>
      </c>
      <c r="B118" s="8">
        <v>1.6050469998790327</v>
      </c>
      <c r="C118" s="98">
        <f t="shared" si="8"/>
        <v>1.5747616887194202</v>
      </c>
      <c r="D118" s="98">
        <f t="shared" si="1"/>
        <v>0.98897521678299682</v>
      </c>
      <c r="E118" s="98">
        <f t="shared" si="9"/>
        <v>0.98876557367236162</v>
      </c>
      <c r="F118" s="98">
        <f t="shared" si="3"/>
        <v>1.9372183859838188E-3</v>
      </c>
      <c r="G118" s="98"/>
      <c r="H118" s="138"/>
      <c r="I118" s="46"/>
      <c r="J118" s="46"/>
      <c r="K118" s="46"/>
      <c r="L118" s="46"/>
      <c r="M118" s="46"/>
      <c r="N118" s="39"/>
      <c r="O118" s="140"/>
      <c r="P118" s="162"/>
      <c r="Q118" s="26"/>
      <c r="R118" s="26"/>
      <c r="S118" s="26"/>
      <c r="T118" s="26"/>
      <c r="U118" s="26"/>
      <c r="V118" s="26"/>
    </row>
    <row r="119" spans="1:22" x14ac:dyDescent="0.2">
      <c r="A119" s="157">
        <v>12996.2470703125</v>
      </c>
      <c r="B119" s="8">
        <v>1.606948366738707</v>
      </c>
      <c r="C119" s="98">
        <f t="shared" si="8"/>
        <v>1.5766630555790946</v>
      </c>
      <c r="D119" s="98">
        <f t="shared" si="1"/>
        <v>0.99014677419058195</v>
      </c>
      <c r="E119" s="98">
        <f t="shared" si="9"/>
        <v>0.98995940897279766</v>
      </c>
      <c r="F119" s="98">
        <f t="shared" si="3"/>
        <v>1.1938353004360414E-3</v>
      </c>
      <c r="G119" s="98"/>
      <c r="H119" s="138"/>
      <c r="I119" s="46"/>
      <c r="J119" s="46"/>
      <c r="K119" s="46"/>
      <c r="L119" s="46"/>
      <c r="M119" s="46"/>
      <c r="N119" s="39"/>
      <c r="O119" s="140"/>
      <c r="P119" s="162"/>
      <c r="Q119" s="26"/>
      <c r="R119" s="26"/>
      <c r="S119" s="26"/>
      <c r="T119" s="26"/>
      <c r="U119" s="26"/>
      <c r="V119" s="26"/>
    </row>
    <row r="120" spans="1:22" x14ac:dyDescent="0.2">
      <c r="A120" s="157">
        <v>14296.2880859375</v>
      </c>
      <c r="B120" s="8">
        <v>1.6083147015644612</v>
      </c>
      <c r="C120" s="98">
        <f t="shared" si="8"/>
        <v>1.5780293904048488</v>
      </c>
      <c r="D120" s="98">
        <f t="shared" si="1"/>
        <v>0.99098866310760447</v>
      </c>
      <c r="E120" s="98">
        <f t="shared" si="9"/>
        <v>0.99081730693125891</v>
      </c>
      <c r="F120" s="98">
        <f t="shared" si="3"/>
        <v>8.5789795846125116E-4</v>
      </c>
      <c r="G120" s="98"/>
      <c r="H120" s="138"/>
      <c r="I120" s="46"/>
      <c r="J120" s="46"/>
      <c r="K120" s="46"/>
      <c r="L120" s="46"/>
      <c r="M120" s="46"/>
      <c r="N120" s="39"/>
      <c r="O120" s="140"/>
      <c r="P120" s="162"/>
      <c r="Q120" s="26"/>
      <c r="R120" s="26"/>
      <c r="S120" s="26"/>
      <c r="T120" s="26"/>
      <c r="U120" s="26"/>
      <c r="V120" s="26"/>
    </row>
    <row r="121" spans="1:22" x14ac:dyDescent="0.2">
      <c r="A121" s="157">
        <v>15595.5380859375</v>
      </c>
      <c r="B121" s="8">
        <v>1.6092014137728514</v>
      </c>
      <c r="C121" s="98">
        <f t="shared" si="8"/>
        <v>1.578916102613239</v>
      </c>
      <c r="D121" s="98">
        <f t="shared" si="1"/>
        <v>0.99153502492665579</v>
      </c>
      <c r="E121" s="98">
        <f t="shared" si="9"/>
        <v>0.99137405816015389</v>
      </c>
      <c r="F121" s="98">
        <f t="shared" si="3"/>
        <v>5.5675122889498052E-4</v>
      </c>
      <c r="G121" s="98"/>
      <c r="H121" s="138"/>
      <c r="I121" s="46"/>
      <c r="J121" s="46"/>
      <c r="K121" s="46"/>
      <c r="L121" s="46"/>
      <c r="M121" s="46"/>
      <c r="N121" s="39"/>
      <c r="O121" s="140"/>
      <c r="P121" s="162"/>
      <c r="Q121" s="26"/>
      <c r="R121" s="26"/>
      <c r="S121" s="26"/>
      <c r="T121" s="26"/>
      <c r="U121" s="26"/>
      <c r="V121" s="26"/>
    </row>
    <row r="122" spans="1:22" x14ac:dyDescent="0.2">
      <c r="A122" s="157">
        <v>17096.72265625</v>
      </c>
      <c r="B122" s="8">
        <v>1.6120029009504617</v>
      </c>
      <c r="C122" s="98">
        <f t="shared" si="8"/>
        <v>1.5817175897908493</v>
      </c>
      <c r="D122" s="98">
        <f t="shared" si="1"/>
        <v>0.99326120577307386</v>
      </c>
      <c r="E122" s="98">
        <f t="shared" si="9"/>
        <v>0.99313306340910568</v>
      </c>
      <c r="F122" s="98">
        <f t="shared" si="3"/>
        <v>1.7590052489517838E-3</v>
      </c>
      <c r="G122" s="98"/>
      <c r="H122" s="138"/>
      <c r="I122" s="46"/>
      <c r="J122" s="46"/>
      <c r="K122" s="46"/>
      <c r="L122" s="46"/>
      <c r="M122" s="46"/>
      <c r="N122" s="39"/>
      <c r="O122" s="140"/>
      <c r="P122" s="162"/>
      <c r="Q122" s="26"/>
      <c r="R122" s="26"/>
      <c r="S122" s="26"/>
      <c r="T122" s="26"/>
      <c r="U122" s="26"/>
      <c r="V122" s="26"/>
    </row>
    <row r="123" spans="1:22" x14ac:dyDescent="0.2">
      <c r="A123" s="157">
        <v>18695.2578125</v>
      </c>
      <c r="B123" s="8">
        <v>1.6137483783437314</v>
      </c>
      <c r="C123" s="98">
        <f t="shared" si="8"/>
        <v>1.583463067184119</v>
      </c>
      <c r="D123" s="98">
        <f t="shared" si="1"/>
        <v>0.99433670940849939</v>
      </c>
      <c r="E123" s="98">
        <f t="shared" si="9"/>
        <v>0.9942290184151561</v>
      </c>
      <c r="F123" s="98">
        <f t="shared" si="3"/>
        <v>1.0959550060504197E-3</v>
      </c>
      <c r="G123" s="98"/>
      <c r="H123" s="138"/>
      <c r="I123" s="46"/>
      <c r="J123" s="46"/>
      <c r="K123" s="46"/>
      <c r="L123" s="46"/>
      <c r="M123" s="46"/>
      <c r="N123" s="39"/>
      <c r="O123" s="140"/>
      <c r="P123" s="162"/>
      <c r="Q123" s="26"/>
      <c r="R123" s="26"/>
      <c r="S123" s="26"/>
      <c r="T123" s="26"/>
      <c r="U123" s="26"/>
      <c r="V123" s="26"/>
    </row>
    <row r="124" spans="1:22" x14ac:dyDescent="0.2">
      <c r="A124" s="157">
        <v>20395.646484375</v>
      </c>
      <c r="B124" s="8">
        <v>1.6147620637340845</v>
      </c>
      <c r="C124" s="98">
        <f t="shared" si="8"/>
        <v>1.5844767525744721</v>
      </c>
      <c r="D124" s="98">
        <f t="shared" si="1"/>
        <v>0.9949613077715066</v>
      </c>
      <c r="E124" s="98">
        <f t="shared" si="9"/>
        <v>0.99486549390455592</v>
      </c>
      <c r="F124" s="98">
        <f t="shared" si="3"/>
        <v>6.3647548939982368E-4</v>
      </c>
      <c r="G124" s="98"/>
      <c r="H124" s="138"/>
      <c r="I124" s="46"/>
      <c r="J124" s="46"/>
      <c r="K124" s="46"/>
      <c r="L124" s="46"/>
      <c r="M124" s="46"/>
      <c r="N124" s="39"/>
      <c r="O124" s="140"/>
      <c r="P124" s="162"/>
      <c r="Q124" s="26"/>
      <c r="R124" s="26"/>
      <c r="S124" s="26"/>
      <c r="T124" s="26"/>
      <c r="U124" s="26"/>
      <c r="V124" s="26"/>
    </row>
    <row r="125" spans="1:22" x14ac:dyDescent="0.2">
      <c r="A125" s="157">
        <v>22297.048828125</v>
      </c>
      <c r="B125" s="8">
        <v>1.6156704227699341</v>
      </c>
      <c r="C125" s="98">
        <f t="shared" si="8"/>
        <v>1.5853851116103217</v>
      </c>
      <c r="D125" s="98">
        <f t="shared" si="1"/>
        <v>0.99552100762731388</v>
      </c>
      <c r="E125" s="98">
        <f t="shared" si="9"/>
        <v>0.99543583680127234</v>
      </c>
      <c r="F125" s="98">
        <f t="shared" si="3"/>
        <v>5.703428967164248E-4</v>
      </c>
      <c r="G125" s="98"/>
      <c r="H125" s="138"/>
      <c r="I125" s="46"/>
      <c r="J125" s="46"/>
      <c r="K125" s="46"/>
      <c r="L125" s="46"/>
      <c r="M125" s="46"/>
      <c r="N125" s="39"/>
      <c r="O125" s="140"/>
      <c r="P125" s="162"/>
      <c r="Q125" s="26"/>
      <c r="R125" s="26"/>
      <c r="S125" s="26"/>
      <c r="T125" s="26"/>
      <c r="U125" s="26"/>
      <c r="V125" s="26"/>
    </row>
    <row r="126" spans="1:22" x14ac:dyDescent="0.2">
      <c r="A126" s="157">
        <v>24397.158203125</v>
      </c>
      <c r="B126" s="8">
        <v>1.6171306143625082</v>
      </c>
      <c r="C126" s="98">
        <f t="shared" si="8"/>
        <v>1.5868453032028957</v>
      </c>
      <c r="D126" s="98">
        <f t="shared" si="1"/>
        <v>0.99642072788280767</v>
      </c>
      <c r="E126" s="98">
        <f t="shared" si="9"/>
        <v>0.99635266579707871</v>
      </c>
      <c r="F126" s="98">
        <f t="shared" si="3"/>
        <v>9.1682899580636246E-4</v>
      </c>
      <c r="G126" s="98"/>
      <c r="H126" s="138"/>
      <c r="I126" s="46"/>
      <c r="J126" s="46"/>
      <c r="K126" s="46"/>
      <c r="L126" s="46"/>
      <c r="M126" s="46"/>
      <c r="N126" s="39"/>
      <c r="O126" s="140"/>
      <c r="P126" s="162"/>
      <c r="Q126" s="26"/>
      <c r="R126" s="26"/>
      <c r="S126" s="26"/>
      <c r="T126" s="26"/>
      <c r="U126" s="26"/>
      <c r="V126" s="26"/>
    </row>
    <row r="127" spans="1:22" x14ac:dyDescent="0.2">
      <c r="A127" s="157">
        <v>26700.064453125</v>
      </c>
      <c r="B127" s="8">
        <v>1.6191121067924799</v>
      </c>
      <c r="C127" s="98">
        <f t="shared" si="8"/>
        <v>1.5888267956328674</v>
      </c>
      <c r="D127" s="98">
        <f t="shared" si="1"/>
        <v>0.99764165593390697</v>
      </c>
      <c r="E127" s="98">
        <f t="shared" si="9"/>
        <v>0.99759681055452565</v>
      </c>
      <c r="F127" s="98">
        <f t="shared" si="3"/>
        <v>1.2441447574469411E-3</v>
      </c>
      <c r="G127" s="98"/>
      <c r="H127" s="138"/>
      <c r="I127" s="46"/>
      <c r="J127" s="46"/>
      <c r="K127" s="46"/>
      <c r="L127" s="46"/>
      <c r="M127" s="46"/>
      <c r="N127" s="39"/>
      <c r="O127" s="140"/>
      <c r="P127" s="162"/>
      <c r="Q127" s="26"/>
      <c r="R127" s="26"/>
      <c r="S127" s="26"/>
      <c r="T127" s="26"/>
      <c r="U127" s="26"/>
      <c r="V127" s="26"/>
    </row>
    <row r="128" spans="1:22" x14ac:dyDescent="0.2">
      <c r="A128" s="157">
        <v>29297.080078125</v>
      </c>
      <c r="B128" s="8">
        <v>1.6193699302001299</v>
      </c>
      <c r="C128" s="98">
        <f t="shared" si="8"/>
        <v>1.5890846190405175</v>
      </c>
      <c r="D128" s="98">
        <f t="shared" si="1"/>
        <v>0.99780051792392443</v>
      </c>
      <c r="E128" s="98">
        <f t="shared" si="9"/>
        <v>0.99775869340410051</v>
      </c>
      <c r="F128" s="98">
        <f t="shared" si="3"/>
        <v>1.6188284957485699E-4</v>
      </c>
      <c r="G128" s="98"/>
      <c r="H128" s="138"/>
      <c r="I128" s="46"/>
      <c r="J128" s="46"/>
      <c r="K128" s="46"/>
      <c r="L128" s="46"/>
      <c r="M128" s="46"/>
      <c r="N128" s="39"/>
      <c r="O128" s="140"/>
      <c r="P128" s="162"/>
      <c r="Q128" s="26"/>
      <c r="R128" s="26"/>
      <c r="S128" s="26"/>
      <c r="T128" s="26"/>
      <c r="U128" s="26"/>
      <c r="V128" s="26"/>
    </row>
    <row r="129" spans="1:23" x14ac:dyDescent="0.2">
      <c r="A129" s="157">
        <v>31994.453125</v>
      </c>
      <c r="B129" s="8">
        <v>1.6207168798072638</v>
      </c>
      <c r="C129" s="98">
        <f t="shared" si="8"/>
        <v>1.5904315686476513</v>
      </c>
      <c r="D129" s="98">
        <f t="shared" si="1"/>
        <v>0.9986304623304193</v>
      </c>
      <c r="E129" s="98">
        <f t="shared" si="9"/>
        <v>0.99860441971973657</v>
      </c>
      <c r="F129" s="98">
        <f t="shared" si="3"/>
        <v>8.4572631563606393E-4</v>
      </c>
      <c r="G129" s="98"/>
      <c r="H129" s="138"/>
      <c r="I129" s="46"/>
      <c r="J129" s="46"/>
      <c r="K129" s="46"/>
      <c r="L129" s="46"/>
      <c r="M129" s="46"/>
      <c r="N129" s="39"/>
      <c r="O129" s="140"/>
      <c r="P129" s="162"/>
      <c r="Q129" s="26"/>
      <c r="R129" s="26"/>
      <c r="S129" s="26"/>
      <c r="T129" s="26"/>
      <c r="U129" s="26"/>
      <c r="V129" s="26"/>
    </row>
    <row r="130" spans="1:23" x14ac:dyDescent="0.2">
      <c r="A130" s="157">
        <v>34990.18359375</v>
      </c>
      <c r="B130" s="8">
        <v>1.6223823931737247</v>
      </c>
      <c r="C130" s="98">
        <f t="shared" si="8"/>
        <v>1.5920970820141123</v>
      </c>
      <c r="D130" s="98">
        <f t="shared" si="1"/>
        <v>0.99965669485991837</v>
      </c>
      <c r="E130" s="98">
        <f t="shared" si="9"/>
        <v>0.99965016669913309</v>
      </c>
      <c r="F130" s="98">
        <f t="shared" si="3"/>
        <v>1.0457469793965224E-3</v>
      </c>
      <c r="G130" s="98"/>
      <c r="H130" s="138"/>
      <c r="I130" s="46"/>
      <c r="J130" s="46"/>
      <c r="K130" s="46"/>
      <c r="L130" s="46"/>
      <c r="M130" s="46"/>
      <c r="N130" s="39"/>
      <c r="O130" s="140"/>
      <c r="P130" s="162"/>
      <c r="Q130" s="26"/>
      <c r="R130" s="26"/>
      <c r="S130" s="26"/>
      <c r="T130" s="26"/>
      <c r="U130" s="26"/>
      <c r="V130" s="26"/>
    </row>
    <row r="131" spans="1:23" x14ac:dyDescent="0.2">
      <c r="A131" s="157">
        <v>38289.83203125</v>
      </c>
      <c r="B131" s="8">
        <v>1.6223823931737247</v>
      </c>
      <c r="C131" s="98">
        <f t="shared" si="8"/>
        <v>1.5920970820141123</v>
      </c>
      <c r="D131" s="98">
        <f t="shared" si="1"/>
        <v>0.99965669485991837</v>
      </c>
      <c r="E131" s="98">
        <f t="shared" si="9"/>
        <v>0.99965016669913309</v>
      </c>
      <c r="F131" s="98">
        <f t="shared" si="3"/>
        <v>0</v>
      </c>
      <c r="G131" s="98"/>
      <c r="H131" s="138"/>
      <c r="I131" s="46"/>
      <c r="J131" s="46"/>
      <c r="K131" s="46"/>
      <c r="L131" s="46"/>
      <c r="M131" s="46"/>
      <c r="N131" s="39"/>
      <c r="O131" s="140"/>
      <c r="P131" s="162"/>
      <c r="Q131" s="26"/>
      <c r="R131" s="26"/>
      <c r="S131" s="26"/>
      <c r="T131" s="26"/>
      <c r="U131" s="26"/>
      <c r="V131" s="26"/>
    </row>
    <row r="132" spans="1:23" x14ac:dyDescent="0.2">
      <c r="A132" s="157">
        <v>41888.546875</v>
      </c>
      <c r="B132" s="8">
        <v>1.6223823931737247</v>
      </c>
      <c r="C132" s="98">
        <f t="shared" si="8"/>
        <v>1.5920970820141123</v>
      </c>
      <c r="D132" s="98">
        <f t="shared" si="1"/>
        <v>0.99965669485991837</v>
      </c>
      <c r="E132" s="98">
        <f t="shared" si="9"/>
        <v>0.99965016669913309</v>
      </c>
      <c r="F132" s="98">
        <f t="shared" si="3"/>
        <v>0</v>
      </c>
      <c r="G132" s="98"/>
      <c r="H132" s="138"/>
      <c r="I132" s="46"/>
      <c r="J132" s="46"/>
      <c r="K132" s="46"/>
      <c r="L132" s="46"/>
      <c r="M132" s="46"/>
      <c r="N132" s="39"/>
      <c r="O132" s="140"/>
      <c r="P132" s="162"/>
      <c r="Q132" s="26"/>
      <c r="R132" s="26"/>
      <c r="S132" s="26"/>
      <c r="T132" s="26"/>
      <c r="U132" s="26"/>
      <c r="V132" s="26"/>
    </row>
    <row r="133" spans="1:23" x14ac:dyDescent="0.2">
      <c r="A133" s="157">
        <v>45782.20703125</v>
      </c>
      <c r="B133" s="8">
        <v>1.6223823931737247</v>
      </c>
      <c r="C133" s="98">
        <f t="shared" si="8"/>
        <v>1.5920970820141123</v>
      </c>
      <c r="D133" s="98">
        <f t="shared" si="1"/>
        <v>0.99965669485991837</v>
      </c>
      <c r="E133" s="98">
        <f t="shared" si="9"/>
        <v>0.99965016669913309</v>
      </c>
      <c r="F133" s="98">
        <f t="shared" si="3"/>
        <v>0</v>
      </c>
      <c r="G133" s="98"/>
      <c r="H133" s="138"/>
      <c r="I133" s="46"/>
      <c r="J133" s="46"/>
      <c r="K133" s="46"/>
      <c r="L133" s="46"/>
      <c r="M133" s="46"/>
      <c r="N133" s="39"/>
      <c r="O133" s="140"/>
      <c r="P133" s="162"/>
      <c r="Q133" s="26"/>
      <c r="R133" s="26"/>
      <c r="S133" s="26"/>
      <c r="T133" s="26"/>
      <c r="U133" s="26"/>
      <c r="V133" s="26"/>
    </row>
    <row r="134" spans="1:23" x14ac:dyDescent="0.2">
      <c r="A134" s="157">
        <v>50080.359375</v>
      </c>
      <c r="B134" s="8">
        <v>1.6225111433340611</v>
      </c>
      <c r="C134" s="98">
        <f t="shared" si="8"/>
        <v>1.5922258321744487</v>
      </c>
      <c r="D134" s="98">
        <f t="shared" si="1"/>
        <v>0.99973602631733938</v>
      </c>
      <c r="E134" s="98">
        <f t="shared" si="9"/>
        <v>0.99973100669356352</v>
      </c>
      <c r="F134" s="98">
        <f t="shared" si="3"/>
        <v>8.083999443042611E-5</v>
      </c>
      <c r="G134" s="98"/>
      <c r="H134" s="138"/>
      <c r="I134" s="46"/>
      <c r="J134" s="46"/>
      <c r="K134" s="46"/>
      <c r="L134" s="46"/>
      <c r="M134" s="46"/>
      <c r="N134" s="39"/>
      <c r="O134" s="140"/>
      <c r="P134" s="162"/>
      <c r="Q134" s="26"/>
      <c r="R134" s="26"/>
      <c r="S134" s="26"/>
      <c r="T134" s="26"/>
      <c r="U134" s="26"/>
      <c r="V134" s="26"/>
    </row>
    <row r="135" spans="1:23" x14ac:dyDescent="0.2">
      <c r="A135" s="157">
        <v>54777.015625</v>
      </c>
      <c r="B135" s="8">
        <v>1.6225111433340611</v>
      </c>
      <c r="C135" s="98">
        <f t="shared" si="8"/>
        <v>1.5922258321744487</v>
      </c>
      <c r="D135" s="98">
        <f t="shared" si="1"/>
        <v>0.99973602631733938</v>
      </c>
      <c r="E135" s="98">
        <f t="shared" si="9"/>
        <v>0.99973100669356352</v>
      </c>
      <c r="F135" s="98">
        <f t="shared" si="3"/>
        <v>0</v>
      </c>
      <c r="G135" s="98"/>
      <c r="H135" s="138"/>
      <c r="I135" s="46"/>
      <c r="J135" s="46"/>
      <c r="K135" s="46"/>
      <c r="L135" s="46"/>
      <c r="M135" s="46"/>
      <c r="N135" s="39"/>
      <c r="O135" s="140"/>
      <c r="P135" s="162"/>
      <c r="Q135" s="26"/>
      <c r="R135" s="26"/>
      <c r="S135" s="26"/>
      <c r="T135" s="26"/>
      <c r="U135" s="26"/>
      <c r="V135" s="26"/>
    </row>
    <row r="136" spans="1:23" x14ac:dyDescent="0.2">
      <c r="A136" s="157">
        <v>59463.12890625</v>
      </c>
      <c r="B136" s="8">
        <v>1.6229395566655698</v>
      </c>
      <c r="C136" s="98">
        <f t="shared" si="8"/>
        <v>1.5926542455059574</v>
      </c>
      <c r="D136" s="98">
        <f t="shared" si="1"/>
        <v>1</v>
      </c>
      <c r="E136" s="98">
        <f t="shared" si="9"/>
        <v>1</v>
      </c>
      <c r="F136" s="98">
        <f t="shared" si="3"/>
        <v>2.6899330643648245E-4</v>
      </c>
      <c r="G136" s="98"/>
      <c r="H136" s="129"/>
      <c r="I136" s="157"/>
      <c r="J136" s="157"/>
      <c r="K136" s="157"/>
      <c r="L136" s="157"/>
      <c r="M136" s="157"/>
      <c r="P136" s="162"/>
      <c r="Q136" s="26"/>
      <c r="R136" s="26"/>
      <c r="S136" s="26"/>
      <c r="T136" s="26"/>
      <c r="U136" s="26"/>
      <c r="V136" s="26"/>
    </row>
    <row r="137" spans="1:23" x14ac:dyDescent="0.2">
      <c r="A137" s="157"/>
      <c r="B137" s="8"/>
      <c r="C137" s="98"/>
      <c r="D137" s="98"/>
      <c r="E137" s="98"/>
      <c r="F137" s="98"/>
      <c r="G137" s="98"/>
      <c r="H137" s="129"/>
      <c r="I137" s="157"/>
      <c r="J137" s="157"/>
      <c r="K137" s="157"/>
      <c r="L137" s="157"/>
      <c r="M137" s="157"/>
      <c r="P137" s="85"/>
      <c r="Q137" s="26"/>
      <c r="R137" s="26"/>
      <c r="S137" s="26"/>
      <c r="T137" s="26"/>
      <c r="U137" s="26"/>
      <c r="V137" s="26"/>
    </row>
    <row r="138" spans="1:23" x14ac:dyDescent="0.2">
      <c r="A138" s="157"/>
      <c r="B138" s="8"/>
      <c r="C138" s="98"/>
      <c r="D138" s="98"/>
      <c r="E138" s="98"/>
      <c r="F138" s="98"/>
      <c r="G138" s="98"/>
      <c r="H138" s="129"/>
      <c r="I138" s="157"/>
      <c r="J138" s="157"/>
      <c r="K138" s="157"/>
      <c r="L138" s="157"/>
      <c r="M138" s="157"/>
      <c r="P138" s="85"/>
      <c r="Q138" s="26"/>
      <c r="R138" s="26"/>
      <c r="S138" s="26"/>
      <c r="T138" s="26"/>
      <c r="U138" s="26"/>
      <c r="V138" s="26"/>
    </row>
    <row r="139" spans="1:23" x14ac:dyDescent="0.2">
      <c r="A139" s="157"/>
      <c r="B139" s="8"/>
      <c r="C139" s="98"/>
      <c r="D139" s="98"/>
      <c r="E139" s="98"/>
      <c r="F139" s="98"/>
      <c r="G139" s="98"/>
      <c r="H139" s="129"/>
      <c r="I139" s="157"/>
      <c r="J139" s="157"/>
      <c r="K139" s="157"/>
      <c r="L139" s="157"/>
      <c r="M139" s="157"/>
      <c r="P139" s="85"/>
      <c r="Q139" s="26"/>
      <c r="R139" s="26"/>
      <c r="S139" s="26"/>
      <c r="T139" s="26"/>
      <c r="U139" s="26"/>
      <c r="V139" s="26"/>
    </row>
    <row r="140" spans="1:23" x14ac:dyDescent="0.2">
      <c r="A140" s="157"/>
      <c r="B140" s="8"/>
      <c r="C140" s="98"/>
      <c r="D140" s="98"/>
      <c r="E140" s="98"/>
      <c r="F140" s="98"/>
      <c r="G140" s="98"/>
      <c r="H140" s="129"/>
      <c r="I140" s="157"/>
      <c r="J140" s="157"/>
      <c r="K140" s="157"/>
      <c r="L140" s="157"/>
      <c r="M140" s="157"/>
      <c r="P140" s="85"/>
      <c r="Q140" s="26"/>
      <c r="R140" s="26"/>
      <c r="S140" s="26"/>
      <c r="T140" s="26"/>
      <c r="U140" s="26"/>
      <c r="V140" s="26"/>
    </row>
    <row r="141" spans="1:23" x14ac:dyDescent="0.2">
      <c r="A141" s="157"/>
      <c r="B141" s="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129"/>
      <c r="P141" s="157"/>
      <c r="Q141" s="157"/>
      <c r="R141" s="157"/>
      <c r="S141" s="157"/>
      <c r="T141" s="157"/>
      <c r="W141" s="85"/>
    </row>
  </sheetData>
  <mergeCells count="5">
    <mergeCell ref="A5:M5"/>
    <mergeCell ref="I25:J25"/>
    <mergeCell ref="I26:J26"/>
    <mergeCell ref="K25:L25"/>
    <mergeCell ref="K26:L26"/>
  </mergeCells>
  <printOptions horizontalCentered="1"/>
  <pageMargins left="0.5" right="0.5" top="0.1" bottom="0.25" header="0" footer="0"/>
  <pageSetup scale="65" orientation="portrait"/>
  <rowBreaks count="2" manualBreakCount="2">
    <brk id="86" max="12" man="1"/>
    <brk id="16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60"/>
  <sheetViews>
    <sheetView showGridLines="0" workbookViewId="0">
      <selection activeCell="C6" sqref="C6"/>
    </sheetView>
  </sheetViews>
  <sheetFormatPr defaultColWidth="8.85546875" defaultRowHeight="12.75" x14ac:dyDescent="0.2"/>
  <cols>
    <col min="1" max="17" width="8.140625" style="106" customWidth="1"/>
    <col min="18" max="16384" width="8.85546875" style="106"/>
  </cols>
  <sheetData>
    <row r="1" spans="1:15" ht="15.75" x14ac:dyDescent="0.25">
      <c r="C1" s="165" t="s">
        <v>11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59"/>
      <c r="O1" s="159"/>
    </row>
    <row r="2" spans="1:15" x14ac:dyDescent="0.2">
      <c r="C2" s="55" t="str">
        <f>Table!A7</f>
        <v>Shell Exploration &amp; Production Company</v>
      </c>
      <c r="K2" s="108" t="str">
        <f>Table!L7</f>
        <v>Sample Number:</v>
      </c>
      <c r="N2" s="25"/>
      <c r="O2" s="58" t="str">
        <f>Table!$P$7</f>
        <v>MC 13</v>
      </c>
    </row>
    <row r="3" spans="1:15" x14ac:dyDescent="0.2">
      <c r="C3" s="55" t="str">
        <f>Table!A8</f>
        <v>OCS-Y-2321 Burger J 001</v>
      </c>
      <c r="K3" s="108" t="str">
        <f>Table!L8</f>
        <v>Sample Depth, feet:</v>
      </c>
      <c r="N3" s="36"/>
      <c r="O3" s="160">
        <f>Table!$P$8</f>
        <v>0</v>
      </c>
    </row>
    <row r="4" spans="1:15" x14ac:dyDescent="0.2">
      <c r="C4" s="55" t="str">
        <f>Table!A9</f>
        <v>Offshore</v>
      </c>
      <c r="K4" s="108" t="str">
        <f>Table!L9</f>
        <v>Permeability to Air (calc), mD:</v>
      </c>
      <c r="M4" s="105"/>
      <c r="N4" s="89"/>
      <c r="O4" s="163">
        <f>Table!$P$9</f>
        <v>129.0310883988123</v>
      </c>
    </row>
    <row r="5" spans="1:15" x14ac:dyDescent="0.2">
      <c r="C5" s="55" t="str">
        <f>Table!A10</f>
        <v>HH-77445</v>
      </c>
      <c r="D5" s="3"/>
      <c r="E5" s="3"/>
      <c r="F5" s="75"/>
      <c r="G5" s="3"/>
      <c r="K5" s="108" t="str">
        <f>Table!L10</f>
        <v>Porosity, fraction:</v>
      </c>
      <c r="M5" s="105"/>
      <c r="N5" s="89"/>
      <c r="O5" s="133">
        <f>Table!$P$10</f>
        <v>0.28192322762664823</v>
      </c>
    </row>
    <row r="6" spans="1:15" ht="15" x14ac:dyDescent="0.2">
      <c r="A6" s="105"/>
      <c r="C6" s="175" t="s">
        <v>96</v>
      </c>
      <c r="D6" s="118"/>
      <c r="E6" s="118"/>
      <c r="F6" s="118"/>
      <c r="G6" s="105"/>
      <c r="K6" s="108" t="str">
        <f>Table!L11</f>
        <v>Grain Density, grams/cc:</v>
      </c>
      <c r="M6" s="118"/>
      <c r="N6" s="103"/>
      <c r="O6" s="75">
        <f>Table!$P$11</f>
        <v>2.6724391219431127</v>
      </c>
    </row>
    <row r="7" spans="1:15" x14ac:dyDescent="0.2">
      <c r="B7" s="55"/>
      <c r="D7" s="105"/>
      <c r="E7" s="105"/>
      <c r="I7" s="108"/>
      <c r="K7" s="118"/>
      <c r="L7" s="82"/>
      <c r="M7" s="83"/>
    </row>
    <row r="8" spans="1:15" x14ac:dyDescent="0.2">
      <c r="B8" s="55"/>
      <c r="D8" s="105"/>
      <c r="E8" s="105"/>
      <c r="I8" s="108"/>
      <c r="K8" s="118"/>
      <c r="L8" s="82"/>
      <c r="M8" s="83"/>
    </row>
    <row r="9" spans="1:15" ht="12" customHeight="1" x14ac:dyDescent="0.2">
      <c r="B9" s="105"/>
      <c r="C9" s="105"/>
      <c r="D9" s="105"/>
      <c r="E9" s="105"/>
      <c r="F9" s="105"/>
    </row>
    <row r="10" spans="1:15" x14ac:dyDescent="0.2">
      <c r="B10" s="105"/>
      <c r="C10" s="105"/>
      <c r="D10" s="105"/>
      <c r="E10" s="105"/>
      <c r="F10" s="105"/>
      <c r="K10" s="118"/>
      <c r="L10" s="82"/>
    </row>
    <row r="11" spans="1:15" x14ac:dyDescent="0.2">
      <c r="B11" s="105"/>
      <c r="C11" s="105"/>
      <c r="D11" s="118"/>
      <c r="E11" s="105"/>
      <c r="F11" s="105"/>
      <c r="K11" s="118"/>
      <c r="L11" s="82"/>
    </row>
    <row r="12" spans="1:15" x14ac:dyDescent="0.2">
      <c r="B12" s="105"/>
      <c r="C12" s="105"/>
      <c r="D12" s="118"/>
      <c r="E12" s="105"/>
      <c r="F12" s="105"/>
      <c r="G12" s="108"/>
      <c r="H12" s="105"/>
      <c r="I12" s="105"/>
      <c r="J12" s="133"/>
      <c r="K12" s="118"/>
      <c r="L12" s="82"/>
    </row>
    <row r="13" spans="1:15" x14ac:dyDescent="0.2">
      <c r="A13" s="55"/>
      <c r="B13" s="105"/>
      <c r="C13" s="105"/>
      <c r="D13" s="105"/>
      <c r="E13" s="105"/>
      <c r="F13" s="105"/>
      <c r="G13" s="105"/>
      <c r="H13" s="105"/>
      <c r="I13" s="89"/>
      <c r="J13" s="118"/>
      <c r="K13" s="118"/>
      <c r="L13" s="82"/>
    </row>
    <row r="14" spans="1:15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118"/>
      <c r="L14" s="82"/>
    </row>
    <row r="15" spans="1:15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105"/>
      <c r="L15" s="82"/>
    </row>
    <row r="16" spans="1:15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105"/>
      <c r="L16" s="82"/>
    </row>
    <row r="17" spans="1:12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105"/>
      <c r="L17" s="162"/>
    </row>
    <row r="18" spans="1:12" x14ac:dyDescent="0.2">
      <c r="A18" s="85"/>
      <c r="B18" s="93"/>
      <c r="C18" s="93"/>
      <c r="D18" s="86"/>
      <c r="E18" s="79"/>
      <c r="F18" s="131"/>
      <c r="G18" s="131"/>
      <c r="H18" s="131"/>
      <c r="I18" s="131"/>
      <c r="J18" s="131"/>
      <c r="K18" s="105"/>
      <c r="L18" s="162"/>
    </row>
    <row r="19" spans="1:12" x14ac:dyDescent="0.2">
      <c r="A19" s="124"/>
      <c r="B19" s="93"/>
      <c r="C19" s="93"/>
      <c r="D19" s="86"/>
      <c r="E19" s="79"/>
      <c r="F19" s="131"/>
      <c r="G19" s="131"/>
      <c r="H19" s="131"/>
      <c r="I19" s="131"/>
      <c r="J19" s="131"/>
      <c r="K19" s="105"/>
      <c r="L19" s="162"/>
    </row>
    <row r="20" spans="1:12" x14ac:dyDescent="0.2">
      <c r="A20" s="124"/>
      <c r="B20" s="93"/>
      <c r="C20" s="93"/>
      <c r="D20" s="86"/>
      <c r="E20" s="79"/>
      <c r="F20" s="131"/>
      <c r="G20" s="131"/>
      <c r="H20" s="131"/>
      <c r="I20" s="131"/>
      <c r="J20" s="131"/>
      <c r="K20" s="105"/>
      <c r="L20" s="41"/>
    </row>
    <row r="21" spans="1:12" x14ac:dyDescent="0.2">
      <c r="A21" s="124"/>
      <c r="B21" s="93"/>
      <c r="C21" s="93"/>
      <c r="D21" s="86"/>
      <c r="E21" s="79"/>
      <c r="F21" s="131"/>
      <c r="G21" s="131"/>
      <c r="H21" s="131"/>
      <c r="I21" s="131"/>
      <c r="J21" s="131"/>
      <c r="K21" s="105"/>
      <c r="L21" s="148"/>
    </row>
    <row r="22" spans="1:12" x14ac:dyDescent="0.2">
      <c r="A22" s="124"/>
      <c r="B22" s="93"/>
      <c r="C22" s="93"/>
      <c r="D22" s="86"/>
      <c r="E22" s="79"/>
      <c r="F22" s="131"/>
      <c r="G22" s="131"/>
      <c r="H22" s="131"/>
      <c r="I22" s="131"/>
      <c r="J22" s="131"/>
      <c r="K22" s="105"/>
      <c r="L22" s="148"/>
    </row>
    <row r="23" spans="1:12" x14ac:dyDescent="0.2">
      <c r="A23" s="124"/>
      <c r="B23" s="93"/>
      <c r="C23" s="93"/>
      <c r="D23" s="86"/>
      <c r="E23" s="79"/>
      <c r="F23" s="131"/>
      <c r="G23" s="131"/>
      <c r="H23" s="131"/>
      <c r="I23" s="131"/>
      <c r="J23" s="131"/>
      <c r="K23" s="105"/>
      <c r="L23" s="148"/>
    </row>
    <row r="24" spans="1:12" x14ac:dyDescent="0.2">
      <c r="A24" s="34"/>
      <c r="B24" s="93"/>
      <c r="C24" s="93"/>
      <c r="D24" s="86"/>
      <c r="E24" s="79"/>
      <c r="F24" s="131"/>
      <c r="G24" s="131"/>
      <c r="H24" s="131"/>
      <c r="I24" s="131"/>
      <c r="J24" s="131"/>
      <c r="K24" s="105"/>
      <c r="L24" s="148"/>
    </row>
    <row r="25" spans="1:12" x14ac:dyDescent="0.2">
      <c r="A25" s="34"/>
      <c r="B25" s="93"/>
      <c r="C25" s="93"/>
      <c r="D25" s="86"/>
      <c r="E25" s="79"/>
      <c r="F25" s="131"/>
      <c r="G25" s="131"/>
      <c r="H25" s="131"/>
      <c r="I25" s="131"/>
      <c r="J25" s="131"/>
      <c r="K25" s="105"/>
      <c r="L25" s="148"/>
    </row>
    <row r="26" spans="1:12" x14ac:dyDescent="0.2">
      <c r="A26" s="34"/>
      <c r="B26" s="93"/>
      <c r="C26" s="93"/>
      <c r="D26" s="86"/>
      <c r="E26" s="79"/>
      <c r="F26" s="131"/>
      <c r="G26" s="131"/>
      <c r="H26" s="131"/>
      <c r="I26" s="131"/>
      <c r="J26" s="131"/>
      <c r="K26" s="105"/>
      <c r="L26" s="148"/>
    </row>
    <row r="27" spans="1:12" ht="15.75" customHeight="1" x14ac:dyDescent="0.2">
      <c r="A27" s="34"/>
      <c r="B27" s="93"/>
      <c r="C27" s="93"/>
      <c r="D27" s="86"/>
      <c r="E27" s="79"/>
      <c r="F27" s="131"/>
      <c r="G27" s="131"/>
      <c r="H27" s="131"/>
      <c r="I27" s="131"/>
      <c r="J27" s="131"/>
      <c r="K27" s="105"/>
      <c r="L27" s="148"/>
    </row>
    <row r="28" spans="1:12" x14ac:dyDescent="0.2">
      <c r="A28" s="34"/>
      <c r="B28" s="93"/>
      <c r="C28" s="93"/>
      <c r="D28" s="86"/>
      <c r="E28" s="79"/>
      <c r="F28" s="131"/>
      <c r="G28" s="131"/>
      <c r="H28" s="131"/>
      <c r="I28" s="131"/>
      <c r="J28" s="131"/>
      <c r="K28" s="105"/>
      <c r="L28" s="148"/>
    </row>
    <row r="29" spans="1:12" x14ac:dyDescent="0.2">
      <c r="A29" s="32"/>
      <c r="B29" s="93"/>
      <c r="C29" s="93"/>
      <c r="D29" s="86"/>
      <c r="E29" s="79"/>
      <c r="F29" s="131"/>
      <c r="G29" s="131"/>
      <c r="H29" s="131"/>
      <c r="I29" s="131"/>
      <c r="J29" s="131"/>
      <c r="K29" s="105"/>
      <c r="L29" s="148"/>
    </row>
    <row r="30" spans="1:12" x14ac:dyDescent="0.2">
      <c r="A30" s="32"/>
      <c r="B30" s="93"/>
      <c r="C30" s="93"/>
      <c r="D30" s="86"/>
      <c r="E30" s="79"/>
      <c r="F30" s="131"/>
      <c r="G30" s="131"/>
      <c r="H30" s="131"/>
      <c r="I30" s="131"/>
      <c r="J30" s="131"/>
      <c r="K30" s="105"/>
      <c r="L30" s="148"/>
    </row>
    <row r="31" spans="1:12" x14ac:dyDescent="0.2">
      <c r="A31" s="32"/>
      <c r="B31" s="93"/>
      <c r="C31" s="93"/>
      <c r="D31" s="86"/>
      <c r="E31" s="79"/>
      <c r="F31" s="131"/>
      <c r="G31" s="131"/>
      <c r="H31" s="131"/>
      <c r="I31" s="131"/>
      <c r="J31" s="131"/>
      <c r="K31" s="105"/>
      <c r="L31" s="148"/>
    </row>
    <row r="32" spans="1:12" x14ac:dyDescent="0.2">
      <c r="A32" s="32"/>
      <c r="B32" s="93"/>
      <c r="C32" s="93"/>
      <c r="D32" s="86"/>
      <c r="E32" s="79"/>
      <c r="F32" s="131"/>
      <c r="G32" s="131"/>
      <c r="H32" s="131"/>
      <c r="I32" s="131"/>
      <c r="J32" s="131"/>
      <c r="K32" s="105"/>
      <c r="L32" s="148"/>
    </row>
    <row r="33" spans="1:12" x14ac:dyDescent="0.2">
      <c r="A33" s="32"/>
      <c r="B33" s="93"/>
      <c r="C33" s="93"/>
      <c r="D33" s="86"/>
      <c r="E33" s="79"/>
      <c r="F33" s="131"/>
      <c r="G33" s="131"/>
      <c r="H33" s="131"/>
      <c r="I33" s="131"/>
      <c r="J33" s="131"/>
      <c r="K33" s="105"/>
      <c r="L33" s="148"/>
    </row>
    <row r="34" spans="1:12" x14ac:dyDescent="0.2">
      <c r="A34" s="120"/>
      <c r="B34" s="93"/>
      <c r="C34" s="93"/>
      <c r="D34" s="86"/>
      <c r="E34" s="79"/>
      <c r="F34" s="131"/>
      <c r="G34" s="131"/>
      <c r="H34" s="131"/>
      <c r="I34" s="131"/>
      <c r="J34" s="131"/>
      <c r="K34" s="105"/>
      <c r="L34" s="148"/>
    </row>
    <row r="35" spans="1:12" x14ac:dyDescent="0.2">
      <c r="A35" s="120"/>
      <c r="B35" s="93"/>
      <c r="C35" s="93"/>
      <c r="D35" s="86"/>
      <c r="E35" s="79"/>
      <c r="F35" s="131"/>
      <c r="G35" s="131"/>
      <c r="H35" s="131"/>
      <c r="I35" s="131"/>
      <c r="J35" s="131"/>
      <c r="K35" s="105"/>
      <c r="L35" s="148"/>
    </row>
    <row r="36" spans="1:12" x14ac:dyDescent="0.2">
      <c r="A36" s="120"/>
      <c r="B36" s="93"/>
      <c r="C36" s="93"/>
      <c r="D36" s="86"/>
      <c r="E36" s="79"/>
      <c r="F36" s="131"/>
      <c r="G36" s="131"/>
      <c r="H36" s="131"/>
      <c r="I36" s="131"/>
      <c r="J36" s="131"/>
      <c r="K36" s="105"/>
      <c r="L36" s="148"/>
    </row>
    <row r="37" spans="1:12" x14ac:dyDescent="0.2">
      <c r="A37" s="120"/>
      <c r="B37" s="93"/>
      <c r="C37" s="93"/>
      <c r="D37" s="86"/>
      <c r="E37" s="79"/>
      <c r="F37" s="131"/>
      <c r="G37" s="131"/>
      <c r="H37" s="131"/>
      <c r="I37" s="131"/>
      <c r="J37" s="131"/>
      <c r="K37" s="105"/>
      <c r="L37" s="148"/>
    </row>
    <row r="38" spans="1:12" x14ac:dyDescent="0.2">
      <c r="A38" s="120"/>
      <c r="B38" s="93"/>
      <c r="C38" s="93"/>
      <c r="D38" s="86"/>
      <c r="E38" s="79"/>
      <c r="F38" s="131"/>
      <c r="G38" s="131"/>
      <c r="H38" s="131"/>
      <c r="I38" s="131"/>
      <c r="J38" s="131"/>
      <c r="K38" s="105"/>
      <c r="L38" s="148"/>
    </row>
    <row r="39" spans="1:12" x14ac:dyDescent="0.2">
      <c r="A39" s="120"/>
      <c r="B39" s="93"/>
      <c r="C39" s="93"/>
      <c r="D39" s="86"/>
      <c r="E39" s="79"/>
      <c r="F39" s="131"/>
      <c r="G39" s="131"/>
      <c r="H39" s="131"/>
      <c r="I39" s="131"/>
      <c r="J39" s="131"/>
      <c r="K39" s="105"/>
      <c r="L39" s="148"/>
    </row>
    <row r="40" spans="1:12" x14ac:dyDescent="0.2">
      <c r="A40" s="120"/>
      <c r="B40" s="93"/>
      <c r="C40" s="93"/>
      <c r="D40" s="86"/>
      <c r="E40" s="79"/>
      <c r="F40" s="131"/>
      <c r="G40" s="131"/>
      <c r="H40" s="131"/>
      <c r="I40" s="131"/>
      <c r="J40" s="131"/>
      <c r="K40" s="105"/>
      <c r="L40" s="148"/>
    </row>
    <row r="41" spans="1:12" x14ac:dyDescent="0.2">
      <c r="A41" s="120"/>
      <c r="B41" s="93"/>
      <c r="C41" s="93"/>
      <c r="D41" s="86"/>
      <c r="E41" s="79"/>
      <c r="F41" s="131"/>
      <c r="G41" s="131"/>
      <c r="H41" s="131"/>
      <c r="I41" s="131"/>
      <c r="J41" s="131"/>
      <c r="K41" s="105"/>
      <c r="L41" s="148"/>
    </row>
    <row r="42" spans="1:12" x14ac:dyDescent="0.2">
      <c r="A42" s="120"/>
      <c r="B42" s="93"/>
      <c r="C42" s="93"/>
      <c r="D42" s="86"/>
      <c r="E42" s="79"/>
      <c r="F42" s="131"/>
      <c r="G42" s="131"/>
      <c r="H42" s="131"/>
      <c r="I42" s="131"/>
      <c r="J42" s="131"/>
      <c r="K42" s="105"/>
      <c r="L42" s="148"/>
    </row>
    <row r="43" spans="1:12" x14ac:dyDescent="0.2">
      <c r="A43" s="120"/>
      <c r="B43" s="93"/>
      <c r="C43" s="93"/>
      <c r="D43" s="86"/>
      <c r="E43" s="79"/>
      <c r="F43" s="131"/>
      <c r="G43" s="131"/>
      <c r="H43" s="131"/>
      <c r="I43" s="131"/>
      <c r="J43" s="131"/>
      <c r="K43" s="105"/>
      <c r="L43" s="148"/>
    </row>
    <row r="44" spans="1:12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2" ht="17.25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2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2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2" ht="15" x14ac:dyDescent="0.2">
      <c r="A48" s="26"/>
      <c r="B48" s="26"/>
      <c r="C48" s="26"/>
      <c r="D48" s="26"/>
      <c r="E48" s="26"/>
      <c r="F48" s="26"/>
      <c r="G48" s="26"/>
      <c r="H48" s="11"/>
      <c r="I48" s="57"/>
      <c r="J48" s="101"/>
      <c r="K48" s="26"/>
    </row>
    <row r="49" spans="1:12" x14ac:dyDescent="0.2">
      <c r="A49" s="26"/>
      <c r="B49" s="26"/>
      <c r="C49" s="26"/>
      <c r="D49" s="26"/>
      <c r="E49" s="26"/>
      <c r="F49" s="26"/>
      <c r="G49" s="26"/>
      <c r="H49" s="57"/>
      <c r="I49" s="57"/>
      <c r="J49" s="101"/>
      <c r="K49" s="26"/>
    </row>
    <row r="50" spans="1:12" x14ac:dyDescent="0.2">
      <c r="G50" s="26"/>
      <c r="H50" s="57"/>
      <c r="I50" s="57"/>
      <c r="J50" s="101"/>
      <c r="K50" s="26"/>
    </row>
    <row r="51" spans="1:12" x14ac:dyDescent="0.2">
      <c r="G51" s="26"/>
      <c r="H51" s="57"/>
      <c r="I51" s="57"/>
      <c r="J51" s="101"/>
      <c r="K51" s="26"/>
    </row>
    <row r="52" spans="1:12" x14ac:dyDescent="0.2">
      <c r="G52" s="26"/>
      <c r="H52" s="57"/>
      <c r="I52" s="57"/>
      <c r="J52" s="101"/>
      <c r="K52" s="26"/>
    </row>
    <row r="53" spans="1:12" x14ac:dyDescent="0.2">
      <c r="G53" s="26"/>
      <c r="H53" s="26"/>
      <c r="I53" s="26"/>
      <c r="J53" s="26"/>
      <c r="K53" s="26"/>
    </row>
    <row r="54" spans="1:12" x14ac:dyDescent="0.2">
      <c r="G54" s="26"/>
      <c r="H54" s="26"/>
      <c r="I54" s="26"/>
      <c r="J54" s="26"/>
      <c r="K54" s="26"/>
    </row>
    <row r="56" spans="1:12" x14ac:dyDescent="0.2">
      <c r="J56"/>
      <c r="K56"/>
      <c r="L56"/>
    </row>
    <row r="57" spans="1:12" x14ac:dyDescent="0.2">
      <c r="J57"/>
      <c r="K57"/>
      <c r="L57"/>
    </row>
    <row r="58" spans="1:12" x14ac:dyDescent="0.2">
      <c r="J58"/>
      <c r="K58"/>
      <c r="L58"/>
    </row>
    <row r="59" spans="1:12" x14ac:dyDescent="0.2">
      <c r="J59"/>
      <c r="K59"/>
      <c r="L59"/>
    </row>
    <row r="60" spans="1:12" x14ac:dyDescent="0.2">
      <c r="J60"/>
      <c r="K60"/>
      <c r="L60"/>
    </row>
  </sheetData>
  <mergeCells count="1">
    <mergeCell ref="C1:M1"/>
  </mergeCells>
  <printOptions horizontalCentered="1"/>
  <pageMargins left="0.5" right="0.5" top="0.5" bottom="0.5" header="0" footer="0"/>
  <pageSetup scale="9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9"/>
  <sheetViews>
    <sheetView showGridLines="0" workbookViewId="0">
      <selection activeCell="C6" sqref="C6"/>
    </sheetView>
  </sheetViews>
  <sheetFormatPr defaultColWidth="8.85546875" defaultRowHeight="12.75" x14ac:dyDescent="0.2"/>
  <cols>
    <col min="1" max="7" width="8.28515625" style="106" customWidth="1"/>
    <col min="8" max="8" width="4.85546875" style="106" customWidth="1"/>
    <col min="9" max="14" width="8.28515625" style="106" customWidth="1"/>
    <col min="15" max="15" width="13.140625" style="106" customWidth="1"/>
    <col min="16" max="19" width="8.28515625" style="106" customWidth="1"/>
    <col min="20" max="16384" width="8.85546875" style="106"/>
  </cols>
  <sheetData>
    <row r="1" spans="1:15" ht="15.75" x14ac:dyDescent="0.25">
      <c r="C1" s="165" t="s">
        <v>11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5" x14ac:dyDescent="0.2">
      <c r="C2" s="55" t="str">
        <f>Table!A7</f>
        <v>Shell Exploration &amp; Production Company</v>
      </c>
      <c r="K2" s="108" t="str">
        <f>Table!L7</f>
        <v>Sample Number:</v>
      </c>
      <c r="O2" s="58" t="str">
        <f>Table!$P$7</f>
        <v>MC 13</v>
      </c>
    </row>
    <row r="3" spans="1:15" x14ac:dyDescent="0.2">
      <c r="C3" s="55" t="str">
        <f>Table!A8</f>
        <v>OCS-Y-2321 Burger J 001</v>
      </c>
      <c r="K3" s="108" t="str">
        <f>Table!L8</f>
        <v>Sample Depth, feet:</v>
      </c>
      <c r="O3" s="160">
        <f>Table!$P$8</f>
        <v>0</v>
      </c>
    </row>
    <row r="4" spans="1:15" x14ac:dyDescent="0.2">
      <c r="C4" s="55" t="str">
        <f>Table!A9</f>
        <v>Offshore</v>
      </c>
      <c r="K4" s="108" t="str">
        <f>Table!L9</f>
        <v>Permeability to Air (calc), mD:</v>
      </c>
      <c r="M4" s="105"/>
      <c r="N4" s="105"/>
      <c r="O4" s="163">
        <f>Table!$P$9</f>
        <v>129.0310883988123</v>
      </c>
    </row>
    <row r="5" spans="1:15" x14ac:dyDescent="0.2">
      <c r="C5" s="55" t="str">
        <f>Table!A10</f>
        <v>HH-77445</v>
      </c>
      <c r="D5" s="149"/>
      <c r="E5" s="149"/>
      <c r="F5" s="75"/>
      <c r="G5" s="149"/>
      <c r="K5" s="108" t="str">
        <f>Table!L10</f>
        <v>Porosity, fraction:</v>
      </c>
      <c r="M5" s="105"/>
      <c r="N5" s="105"/>
      <c r="O5" s="133">
        <f>Table!$P$10</f>
        <v>0.28192322762664823</v>
      </c>
    </row>
    <row r="6" spans="1:15" ht="15" x14ac:dyDescent="0.2">
      <c r="A6" s="105"/>
      <c r="C6" s="175" t="s">
        <v>96</v>
      </c>
      <c r="D6" s="118"/>
      <c r="E6" s="118"/>
      <c r="F6" s="118"/>
      <c r="G6" s="105"/>
      <c r="K6" s="108" t="str">
        <f>Table!L11</f>
        <v>Grain Density, grams/cc:</v>
      </c>
      <c r="M6" s="118"/>
      <c r="N6" s="118"/>
      <c r="O6" s="75">
        <f>Table!$P$11</f>
        <v>2.6724391219431127</v>
      </c>
    </row>
    <row r="7" spans="1:15" x14ac:dyDescent="0.2">
      <c r="B7" s="55"/>
      <c r="D7" s="105"/>
      <c r="E7" s="105"/>
      <c r="I7" s="108"/>
      <c r="K7" s="118"/>
      <c r="L7" s="82"/>
      <c r="M7" s="83"/>
    </row>
    <row r="8" spans="1:15" x14ac:dyDescent="0.2">
      <c r="B8" s="105"/>
      <c r="C8" s="105"/>
      <c r="D8" s="105"/>
      <c r="E8" s="105"/>
      <c r="F8" s="105"/>
    </row>
    <row r="9" spans="1:15" x14ac:dyDescent="0.2">
      <c r="B9" s="105"/>
      <c r="C9" s="105"/>
      <c r="D9" s="105"/>
      <c r="E9" s="105"/>
      <c r="F9" s="105"/>
      <c r="K9" s="118"/>
      <c r="L9" s="82"/>
    </row>
    <row r="10" spans="1:15" x14ac:dyDescent="0.2">
      <c r="B10" s="105"/>
      <c r="C10" s="105"/>
      <c r="D10" s="118"/>
      <c r="E10" s="105"/>
      <c r="F10" s="105"/>
      <c r="K10" s="118"/>
      <c r="L10" s="82"/>
    </row>
    <row r="11" spans="1:15" x14ac:dyDescent="0.2">
      <c r="B11" s="105"/>
      <c r="C11" s="105"/>
      <c r="D11" s="118"/>
      <c r="E11" s="105"/>
      <c r="F11" s="105"/>
      <c r="G11" s="108"/>
      <c r="H11" s="105"/>
      <c r="I11" s="105"/>
      <c r="J11" s="133"/>
      <c r="K11" s="118"/>
      <c r="L11" s="82"/>
    </row>
    <row r="12" spans="1:15" x14ac:dyDescent="0.2">
      <c r="A12" s="55"/>
      <c r="B12" s="105"/>
      <c r="C12" s="105"/>
      <c r="D12" s="105"/>
      <c r="E12" s="105"/>
      <c r="F12" s="105"/>
      <c r="G12" s="105"/>
      <c r="H12" s="105"/>
      <c r="I12" s="89"/>
      <c r="J12" s="118"/>
      <c r="K12" s="118"/>
      <c r="L12" s="82"/>
    </row>
    <row r="13" spans="1:15" x14ac:dyDescent="0.2">
      <c r="A13" s="29"/>
      <c r="B13" s="29"/>
      <c r="C13" s="29"/>
      <c r="D13" s="29"/>
      <c r="E13" s="29"/>
      <c r="F13" s="16"/>
      <c r="G13" s="16"/>
      <c r="H13" s="16"/>
      <c r="I13" s="16"/>
      <c r="J13" s="16"/>
      <c r="K13" s="118"/>
      <c r="L13" s="82"/>
    </row>
    <row r="14" spans="1:15" x14ac:dyDescent="0.2">
      <c r="A14" s="29"/>
      <c r="B14" s="29"/>
      <c r="C14" s="29"/>
      <c r="D14" s="29"/>
      <c r="E14" s="29"/>
      <c r="F14" s="29"/>
      <c r="G14" s="29"/>
      <c r="H14" s="29"/>
      <c r="I14" s="16"/>
      <c r="J14" s="16"/>
      <c r="K14" s="105"/>
      <c r="L14" s="82"/>
    </row>
    <row r="15" spans="1:15" x14ac:dyDescent="0.2">
      <c r="A15" s="29"/>
      <c r="B15" s="29"/>
      <c r="C15" s="29"/>
      <c r="D15" s="29"/>
      <c r="E15" s="29"/>
      <c r="F15" s="29"/>
      <c r="G15" s="29"/>
      <c r="H15" s="29"/>
      <c r="I15" s="16"/>
      <c r="J15" s="16"/>
      <c r="K15" s="105"/>
      <c r="L15" s="82"/>
    </row>
    <row r="16" spans="1:15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105"/>
      <c r="L16" s="162"/>
    </row>
    <row r="17" spans="1:12" x14ac:dyDescent="0.2">
      <c r="A17" s="85"/>
      <c r="B17" s="93"/>
      <c r="C17" s="93"/>
      <c r="D17" s="86"/>
      <c r="E17" s="79"/>
      <c r="F17" s="131"/>
      <c r="G17" s="131"/>
      <c r="H17" s="131"/>
      <c r="I17" s="131"/>
      <c r="J17" s="131"/>
      <c r="K17" s="105"/>
      <c r="L17" s="162"/>
    </row>
    <row r="18" spans="1:12" x14ac:dyDescent="0.2">
      <c r="A18" s="124"/>
      <c r="B18" s="93"/>
      <c r="C18" s="93"/>
      <c r="D18" s="86"/>
      <c r="E18" s="79"/>
      <c r="F18" s="131"/>
      <c r="G18" s="131"/>
      <c r="H18" s="131"/>
      <c r="I18" s="131"/>
      <c r="J18" s="131"/>
      <c r="K18" s="105"/>
      <c r="L18" s="162"/>
    </row>
    <row r="19" spans="1:12" x14ac:dyDescent="0.2">
      <c r="A19" s="124"/>
      <c r="B19" s="93"/>
      <c r="C19" s="93"/>
      <c r="D19" s="86"/>
      <c r="E19" s="79"/>
      <c r="F19" s="131"/>
      <c r="G19" s="131"/>
      <c r="H19" s="131"/>
      <c r="I19" s="131"/>
      <c r="J19" s="131"/>
      <c r="K19" s="105"/>
      <c r="L19" s="41"/>
    </row>
    <row r="20" spans="1:12" x14ac:dyDescent="0.2">
      <c r="A20" s="124"/>
      <c r="B20" s="93"/>
      <c r="C20" s="93"/>
      <c r="D20" s="86"/>
      <c r="E20" s="79"/>
      <c r="F20" s="131"/>
      <c r="G20" s="131"/>
      <c r="H20" s="131"/>
      <c r="I20" s="131"/>
      <c r="J20" s="131"/>
      <c r="K20" s="105"/>
      <c r="L20" s="148"/>
    </row>
    <row r="21" spans="1:12" x14ac:dyDescent="0.2">
      <c r="A21" s="124"/>
      <c r="B21" s="93"/>
      <c r="C21" s="93"/>
      <c r="D21" s="86"/>
      <c r="E21" s="79"/>
      <c r="F21" s="131"/>
      <c r="G21" s="131"/>
      <c r="H21" s="131"/>
      <c r="I21" s="131"/>
      <c r="J21" s="131"/>
      <c r="K21" s="105"/>
      <c r="L21" s="148"/>
    </row>
    <row r="22" spans="1:12" x14ac:dyDescent="0.2">
      <c r="A22" s="124"/>
      <c r="B22" s="93"/>
      <c r="C22" s="93"/>
      <c r="D22" s="86"/>
      <c r="E22" s="79"/>
      <c r="F22" s="131"/>
      <c r="G22" s="131"/>
      <c r="H22" s="131"/>
      <c r="I22" s="131"/>
      <c r="J22" s="131"/>
      <c r="K22" s="105"/>
      <c r="L22" s="148"/>
    </row>
    <row r="23" spans="1:12" x14ac:dyDescent="0.2">
      <c r="A23" s="34"/>
      <c r="B23" s="93"/>
      <c r="C23" s="93"/>
      <c r="D23" s="86"/>
      <c r="E23" s="79"/>
      <c r="F23" s="131"/>
      <c r="G23" s="131"/>
      <c r="H23" s="131"/>
      <c r="I23" s="131"/>
      <c r="J23" s="131"/>
      <c r="K23" s="105"/>
      <c r="L23" s="148"/>
    </row>
    <row r="24" spans="1:12" x14ac:dyDescent="0.2">
      <c r="A24" s="34"/>
      <c r="B24" s="93"/>
      <c r="C24" s="93"/>
      <c r="D24" s="86"/>
      <c r="E24" s="79"/>
      <c r="F24" s="131"/>
      <c r="G24" s="131"/>
      <c r="H24" s="131"/>
      <c r="I24" s="131"/>
      <c r="J24" s="131"/>
      <c r="K24" s="105"/>
      <c r="L24" s="148"/>
    </row>
    <row r="25" spans="1:12" x14ac:dyDescent="0.2">
      <c r="A25" s="34"/>
      <c r="B25" s="93"/>
      <c r="C25" s="93"/>
      <c r="D25" s="86"/>
      <c r="E25" s="79"/>
      <c r="F25" s="131"/>
      <c r="G25" s="131"/>
      <c r="H25" s="131"/>
      <c r="I25" s="131"/>
      <c r="J25" s="131"/>
      <c r="K25" s="105"/>
      <c r="L25" s="148"/>
    </row>
    <row r="26" spans="1:12" x14ac:dyDescent="0.2">
      <c r="A26" s="34"/>
      <c r="B26" s="93"/>
      <c r="C26" s="93"/>
      <c r="D26" s="86"/>
      <c r="E26" s="79"/>
      <c r="F26" s="131"/>
      <c r="G26" s="131"/>
      <c r="H26" s="131"/>
      <c r="I26" s="131"/>
      <c r="J26" s="131"/>
      <c r="K26" s="105"/>
      <c r="L26" s="148"/>
    </row>
    <row r="27" spans="1:12" x14ac:dyDescent="0.2">
      <c r="A27" s="34"/>
      <c r="B27" s="93"/>
      <c r="C27" s="93"/>
      <c r="D27" s="86"/>
      <c r="E27" s="79"/>
      <c r="F27" s="131"/>
      <c r="G27" s="131"/>
      <c r="H27" s="131"/>
      <c r="I27" s="131"/>
      <c r="J27" s="131"/>
      <c r="K27" s="105"/>
      <c r="L27" s="148"/>
    </row>
    <row r="28" spans="1:12" x14ac:dyDescent="0.2">
      <c r="A28" s="32"/>
      <c r="B28" s="93"/>
      <c r="C28" s="93"/>
      <c r="D28" s="86"/>
      <c r="E28" s="79"/>
      <c r="F28" s="131"/>
      <c r="G28" s="131"/>
      <c r="H28" s="131"/>
      <c r="I28" s="131"/>
      <c r="J28" s="131"/>
      <c r="K28" s="105"/>
      <c r="L28" s="148"/>
    </row>
    <row r="29" spans="1:12" x14ac:dyDescent="0.2">
      <c r="A29" s="32"/>
      <c r="B29" s="93"/>
      <c r="C29" s="93"/>
      <c r="D29" s="86"/>
      <c r="E29" s="79"/>
      <c r="F29" s="131"/>
      <c r="G29" s="131"/>
      <c r="H29" s="131"/>
      <c r="I29" s="131"/>
      <c r="J29" s="131"/>
      <c r="K29" s="105"/>
      <c r="L29" s="148"/>
    </row>
    <row r="30" spans="1:12" x14ac:dyDescent="0.2">
      <c r="A30" s="32"/>
      <c r="B30" s="93"/>
      <c r="C30" s="93"/>
      <c r="D30" s="86"/>
      <c r="E30" s="79"/>
      <c r="F30" s="131"/>
      <c r="G30" s="131"/>
      <c r="H30" s="131"/>
      <c r="I30" s="131"/>
      <c r="J30" s="131"/>
      <c r="K30" s="105"/>
      <c r="L30" s="148"/>
    </row>
    <row r="31" spans="1:12" x14ac:dyDescent="0.2">
      <c r="A31" s="32"/>
      <c r="B31" s="93"/>
      <c r="C31" s="93"/>
      <c r="D31" s="86"/>
      <c r="E31" s="79"/>
      <c r="F31" s="131"/>
      <c r="G31" s="131"/>
      <c r="H31" s="131"/>
      <c r="I31" s="131"/>
      <c r="J31" s="131"/>
      <c r="K31" s="105"/>
      <c r="L31" s="148"/>
    </row>
    <row r="32" spans="1:12" x14ac:dyDescent="0.2">
      <c r="A32" s="32"/>
      <c r="B32" s="93"/>
      <c r="C32" s="93"/>
      <c r="D32" s="86"/>
      <c r="E32" s="79"/>
      <c r="F32" s="131"/>
      <c r="G32" s="131"/>
      <c r="H32" s="131"/>
      <c r="I32" s="131"/>
      <c r="J32" s="131"/>
      <c r="K32" s="105"/>
      <c r="L32" s="148"/>
    </row>
    <row r="33" spans="1:13" x14ac:dyDescent="0.2">
      <c r="A33" s="120"/>
      <c r="B33" s="93"/>
      <c r="C33" s="93"/>
      <c r="D33" s="86"/>
      <c r="E33" s="79"/>
      <c r="F33" s="131"/>
      <c r="G33" s="131"/>
      <c r="H33" s="131"/>
      <c r="I33" s="131"/>
      <c r="J33" s="131"/>
      <c r="K33" s="105"/>
      <c r="L33" s="148"/>
    </row>
    <row r="34" spans="1:13" x14ac:dyDescent="0.2">
      <c r="A34" s="120"/>
      <c r="B34" s="93"/>
      <c r="C34" s="93"/>
      <c r="D34" s="86"/>
      <c r="E34" s="79"/>
      <c r="F34" s="131"/>
      <c r="G34" s="131"/>
      <c r="H34" s="131"/>
      <c r="I34" s="131"/>
      <c r="J34" s="131"/>
      <c r="K34" s="105"/>
      <c r="L34" s="148"/>
    </row>
    <row r="35" spans="1:13" x14ac:dyDescent="0.2">
      <c r="A35" s="120"/>
      <c r="B35" s="93"/>
      <c r="C35" s="93"/>
      <c r="D35" s="86"/>
      <c r="E35" s="79"/>
      <c r="F35" s="131"/>
      <c r="G35" s="131"/>
      <c r="H35" s="131"/>
      <c r="I35" s="131"/>
      <c r="J35" s="131"/>
      <c r="K35" s="105"/>
      <c r="L35" s="148"/>
    </row>
    <row r="36" spans="1:13" x14ac:dyDescent="0.2">
      <c r="A36" s="120"/>
      <c r="B36" s="93"/>
      <c r="C36" s="93"/>
      <c r="D36" s="86"/>
      <c r="E36" s="79"/>
      <c r="F36" s="131"/>
      <c r="G36" s="131"/>
      <c r="H36" s="131"/>
      <c r="I36" s="131"/>
      <c r="J36" s="131"/>
      <c r="K36" s="105"/>
      <c r="L36" s="148"/>
    </row>
    <row r="37" spans="1:13" x14ac:dyDescent="0.2">
      <c r="A37" s="120"/>
      <c r="B37" s="93"/>
      <c r="C37" s="93"/>
      <c r="D37" s="86"/>
      <c r="E37" s="79"/>
      <c r="F37" s="131"/>
      <c r="G37" s="131"/>
      <c r="H37" s="131"/>
      <c r="I37" s="131"/>
      <c r="J37" s="131"/>
      <c r="K37"/>
      <c r="L37"/>
      <c r="M37"/>
    </row>
    <row r="38" spans="1:13" x14ac:dyDescent="0.2">
      <c r="A38" s="120"/>
      <c r="B38" s="93"/>
      <c r="C38" s="93"/>
      <c r="D38" s="86"/>
      <c r="E38" s="79"/>
      <c r="F38" s="131"/>
      <c r="G38" s="131"/>
      <c r="H38" s="131"/>
      <c r="I38" s="131"/>
      <c r="J38" s="131"/>
      <c r="K38"/>
      <c r="L38"/>
      <c r="M38"/>
    </row>
    <row r="39" spans="1:13" x14ac:dyDescent="0.2">
      <c r="A39" s="120"/>
      <c r="B39" s="93"/>
      <c r="C39" s="93"/>
      <c r="D39" s="86"/>
      <c r="E39" s="79"/>
      <c r="F39" s="131"/>
      <c r="G39" s="131"/>
      <c r="H39" s="131"/>
      <c r="I39" s="131"/>
      <c r="J39" s="131"/>
      <c r="K39"/>
      <c r="L39"/>
      <c r="M39"/>
    </row>
    <row r="40" spans="1:13" x14ac:dyDescent="0.2">
      <c r="A40" s="120"/>
      <c r="B40" s="93"/>
      <c r="C40" s="93"/>
      <c r="D40" s="86"/>
      <c r="E40" s="79"/>
      <c r="F40" s="131"/>
      <c r="G40" s="131"/>
      <c r="H40" s="131"/>
      <c r="I40" s="131"/>
      <c r="J40" s="131"/>
      <c r="K40"/>
      <c r="L40"/>
      <c r="M40"/>
    </row>
    <row r="41" spans="1:13" x14ac:dyDescent="0.2">
      <c r="A41" s="120"/>
      <c r="B41" s="93"/>
      <c r="C41" s="93"/>
      <c r="D41" s="86"/>
      <c r="E41" s="79"/>
      <c r="F41" s="131"/>
      <c r="G41" s="131"/>
      <c r="H41" s="131"/>
      <c r="I41" s="131"/>
      <c r="J41" s="131"/>
      <c r="K41"/>
      <c r="L41"/>
      <c r="M41"/>
    </row>
    <row r="42" spans="1:13" x14ac:dyDescent="0.2">
      <c r="A42" s="120"/>
      <c r="B42" s="93"/>
      <c r="C42" s="93"/>
      <c r="D42" s="86"/>
      <c r="E42" s="79"/>
      <c r="F42" s="131"/>
      <c r="G42" s="131"/>
      <c r="H42" s="131"/>
      <c r="I42" s="131"/>
      <c r="J42" s="131"/>
      <c r="K42" s="105"/>
      <c r="L42" s="148"/>
    </row>
    <row r="43" spans="1:13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3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3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3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3" x14ac:dyDescent="0.2">
      <c r="A47" s="26"/>
      <c r="B47" s="26"/>
      <c r="C47" s="26"/>
      <c r="D47" s="26"/>
      <c r="E47" s="26"/>
      <c r="F47" s="26"/>
      <c r="G47" s="26"/>
    </row>
    <row r="48" spans="1:13" x14ac:dyDescent="0.2">
      <c r="A48" s="26"/>
      <c r="B48" s="26"/>
      <c r="C48" s="26"/>
      <c r="D48" s="26"/>
      <c r="E48" s="26"/>
      <c r="F48" s="26"/>
      <c r="G48" s="26"/>
    </row>
    <row r="55" spans="10:12" x14ac:dyDescent="0.2">
      <c r="J55"/>
      <c r="K55"/>
      <c r="L55"/>
    </row>
    <row r="56" spans="10:12" x14ac:dyDescent="0.2">
      <c r="J56"/>
      <c r="K56"/>
      <c r="L56"/>
    </row>
    <row r="57" spans="10:12" x14ac:dyDescent="0.2">
      <c r="J57"/>
      <c r="K57"/>
      <c r="L57"/>
    </row>
    <row r="58" spans="10:12" x14ac:dyDescent="0.2">
      <c r="J58"/>
      <c r="K58"/>
      <c r="L58"/>
    </row>
    <row r="59" spans="10:12" x14ac:dyDescent="0.2">
      <c r="J59"/>
      <c r="K59"/>
      <c r="L59"/>
    </row>
  </sheetData>
  <mergeCells count="1">
    <mergeCell ref="C1:M1"/>
  </mergeCells>
  <printOptions horizontalCentered="1"/>
  <pageMargins left="0.5" right="0.5" top="0.5" bottom="0.5" header="0" footer="0"/>
  <pageSetup scale="7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6"/>
  <dimension ref="A1:AV190"/>
  <sheetViews>
    <sheetView showGridLines="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A11" sqref="A11"/>
    </sheetView>
  </sheetViews>
  <sheetFormatPr defaultColWidth="8.85546875" defaultRowHeight="12.75" x14ac:dyDescent="0.2"/>
  <cols>
    <col min="1" max="2" width="8.85546875" style="106"/>
    <col min="3" max="3" width="11.140625" style="106" customWidth="1"/>
    <col min="4" max="4" width="16.28515625" style="106" customWidth="1"/>
    <col min="5" max="8" width="10.85546875" style="106" customWidth="1"/>
    <col min="9" max="9" width="11.140625" style="106" customWidth="1"/>
    <col min="10" max="10" width="11.85546875" style="106" customWidth="1"/>
    <col min="11" max="11" width="9.85546875" style="106" bestFit="1" customWidth="1"/>
    <col min="12" max="12" width="10.5703125" style="106" customWidth="1"/>
    <col min="13" max="14" width="10.5703125" style="106" bestFit="1" customWidth="1"/>
    <col min="15" max="15" width="8.85546875" style="106" customWidth="1"/>
    <col min="16" max="16" width="10.5703125" style="106" bestFit="1" customWidth="1"/>
    <col min="17" max="17" width="9.5703125" style="106" customWidth="1"/>
    <col min="18" max="18" width="8.85546875" style="106" customWidth="1"/>
    <col min="19" max="19" width="10.85546875" style="106" customWidth="1"/>
    <col min="20" max="20" width="11.140625" style="106" customWidth="1"/>
    <col min="21" max="21" width="9.28515625" style="106" customWidth="1"/>
    <col min="22" max="22" width="10.7109375" style="106" customWidth="1"/>
    <col min="23" max="23" width="10.5703125" style="106" customWidth="1"/>
    <col min="24" max="24" width="11" style="106" customWidth="1"/>
    <col min="25" max="25" width="9.140625"/>
    <col min="26" max="26" width="13" style="106" customWidth="1"/>
    <col min="27" max="28" width="8.85546875" style="106"/>
    <col min="29" max="29" width="12.140625" style="106" bestFit="1" customWidth="1"/>
    <col min="30" max="39" width="8.85546875" style="106"/>
    <col min="40" max="40" width="15.85546875" style="106" customWidth="1"/>
    <col min="41" max="43" width="8.85546875" style="106"/>
    <col min="44" max="48" width="8.85546875" style="26"/>
    <col min="49" max="16384" width="8.85546875" style="106"/>
  </cols>
  <sheetData>
    <row r="1" spans="1:48" x14ac:dyDescent="0.2">
      <c r="P1" s="154"/>
      <c r="Q1" s="154"/>
      <c r="Z1" s="130" t="s">
        <v>50</v>
      </c>
      <c r="AA1" s="50"/>
      <c r="AB1" s="50"/>
      <c r="AC1" s="64"/>
      <c r="AD1" s="64"/>
    </row>
    <row r="2" spans="1:48" x14ac:dyDescent="0.2">
      <c r="Z2" s="145"/>
      <c r="AA2" s="90"/>
      <c r="AB2" s="97" t="s">
        <v>66</v>
      </c>
      <c r="AC2" s="97" t="s">
        <v>51</v>
      </c>
      <c r="AD2" s="110" t="s">
        <v>0</v>
      </c>
      <c r="AE2" s="115" t="s">
        <v>28</v>
      </c>
      <c r="AJ2" s="106">
        <v>75.200999999999993</v>
      </c>
    </row>
    <row r="3" spans="1:48" x14ac:dyDescent="0.2">
      <c r="P3" s="99"/>
      <c r="Q3" s="99"/>
      <c r="Z3" s="116" t="s">
        <v>82</v>
      </c>
      <c r="AA3" s="41"/>
      <c r="AB3" s="51">
        <v>140</v>
      </c>
      <c r="AC3" s="162"/>
      <c r="AD3" s="62"/>
      <c r="AE3" s="161"/>
      <c r="AJ3" s="106">
        <v>13.5512</v>
      </c>
    </row>
    <row r="4" spans="1:48" x14ac:dyDescent="0.2">
      <c r="Z4" s="116" t="s">
        <v>22</v>
      </c>
      <c r="AA4" s="41"/>
      <c r="AB4" s="51">
        <v>485</v>
      </c>
      <c r="AC4" s="162"/>
      <c r="AD4" s="62"/>
      <c r="AE4" s="161"/>
      <c r="AJ4" s="106">
        <v>247.66399999999999</v>
      </c>
      <c r="AN4" s="171" t="s">
        <v>30</v>
      </c>
      <c r="AO4" s="172"/>
      <c r="AP4" s="173"/>
      <c r="AR4" s="170"/>
      <c r="AS4" s="170"/>
      <c r="AT4" s="170"/>
    </row>
    <row r="5" spans="1:48" ht="15.75" x14ac:dyDescent="0.25">
      <c r="A5" s="165" t="s">
        <v>11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50"/>
      <c r="R5" s="118"/>
      <c r="S5" s="118"/>
      <c r="T5" s="118"/>
      <c r="U5" s="118"/>
      <c r="V5" s="118"/>
      <c r="W5" s="118"/>
      <c r="X5" s="118"/>
      <c r="Z5" s="116" t="s">
        <v>31</v>
      </c>
      <c r="AA5" s="41"/>
      <c r="AB5" s="162"/>
      <c r="AC5" s="14">
        <v>0</v>
      </c>
      <c r="AD5" s="14">
        <v>0</v>
      </c>
      <c r="AE5" s="31">
        <v>30</v>
      </c>
      <c r="AJ5" s="106">
        <v>17.606300000000001</v>
      </c>
      <c r="AN5" s="87" t="s">
        <v>44</v>
      </c>
      <c r="AO5" s="87" t="s">
        <v>33</v>
      </c>
      <c r="AP5" s="87" t="s">
        <v>55</v>
      </c>
      <c r="AR5" s="56"/>
      <c r="AS5" s="56"/>
      <c r="AT5" s="56"/>
    </row>
    <row r="6" spans="1:48" x14ac:dyDescent="0.2">
      <c r="A6" s="105"/>
      <c r="B6" s="118"/>
      <c r="C6" s="118"/>
      <c r="D6" s="105"/>
      <c r="E6" s="105"/>
      <c r="F6" s="105"/>
      <c r="G6" s="105"/>
      <c r="H6" s="105"/>
      <c r="I6" s="105"/>
      <c r="J6" s="105"/>
      <c r="K6" s="118"/>
      <c r="L6" s="118"/>
      <c r="M6" s="118"/>
      <c r="N6" s="105"/>
      <c r="O6" s="118"/>
      <c r="P6" s="118"/>
      <c r="Q6" s="118"/>
      <c r="R6" s="118"/>
      <c r="S6" s="118"/>
      <c r="T6" s="118"/>
      <c r="U6" s="118"/>
      <c r="V6" s="118"/>
      <c r="W6" s="118"/>
      <c r="X6" s="118"/>
      <c r="Z6" s="116" t="s">
        <v>29</v>
      </c>
      <c r="AA6" s="41"/>
      <c r="AB6" s="162"/>
      <c r="AC6" s="155">
        <v>70</v>
      </c>
      <c r="AD6" s="51">
        <v>24</v>
      </c>
      <c r="AE6" s="121">
        <v>35</v>
      </c>
      <c r="AN6" s="74" t="s">
        <v>46</v>
      </c>
      <c r="AO6" s="74" t="s">
        <v>25</v>
      </c>
      <c r="AP6" s="74" t="s">
        <v>25</v>
      </c>
      <c r="AR6" s="56"/>
      <c r="AS6" s="56"/>
      <c r="AT6" s="56"/>
    </row>
    <row r="7" spans="1:48" ht="12.4" customHeight="1" x14ac:dyDescent="0.2">
      <c r="A7" s="136" t="s">
        <v>91</v>
      </c>
      <c r="B7" s="105"/>
      <c r="C7" s="105"/>
      <c r="D7" s="118"/>
      <c r="E7" s="118"/>
      <c r="F7" s="118"/>
      <c r="G7" s="118"/>
      <c r="H7" s="118"/>
      <c r="I7" s="118"/>
      <c r="J7" s="118"/>
      <c r="K7" s="105"/>
      <c r="L7" s="106" t="s">
        <v>40</v>
      </c>
      <c r="P7" s="58" t="s">
        <v>21</v>
      </c>
      <c r="Q7" s="58"/>
      <c r="R7" s="118"/>
      <c r="S7" s="118"/>
      <c r="T7" s="118"/>
      <c r="U7" s="118"/>
      <c r="V7" s="118"/>
      <c r="W7" s="118"/>
      <c r="X7" s="118"/>
      <c r="Z7" s="10" t="s">
        <v>24</v>
      </c>
      <c r="AA7" s="24"/>
      <c r="AB7" s="142"/>
      <c r="AC7" s="155">
        <v>0</v>
      </c>
      <c r="AD7" s="28"/>
      <c r="AE7" s="121">
        <v>30</v>
      </c>
      <c r="AN7" s="107" t="s">
        <v>81</v>
      </c>
      <c r="AO7" s="66">
        <v>1</v>
      </c>
      <c r="AP7" s="66">
        <f t="shared" ref="AP7:AP27" si="0">AO7-AO8</f>
        <v>2.6899330643648245E-4</v>
      </c>
      <c r="AR7" s="27" t="s">
        <v>81</v>
      </c>
      <c r="AS7" s="150"/>
      <c r="AT7" s="150"/>
      <c r="AU7" s="81"/>
      <c r="AV7" s="81"/>
    </row>
    <row r="8" spans="1:48" ht="12.4" customHeight="1" x14ac:dyDescent="0.2">
      <c r="A8" s="174" t="s">
        <v>95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6" t="s">
        <v>92</v>
      </c>
      <c r="P8" s="160">
        <v>0</v>
      </c>
      <c r="Q8" s="78"/>
      <c r="R8" s="118"/>
      <c r="S8" s="118"/>
      <c r="T8" s="118"/>
      <c r="U8" s="118"/>
      <c r="V8" s="118"/>
      <c r="W8" s="118"/>
      <c r="X8" s="118"/>
      <c r="Z8" s="117" t="s">
        <v>80</v>
      </c>
      <c r="AA8" s="114"/>
      <c r="AB8" s="76"/>
      <c r="AC8" s="19">
        <v>50</v>
      </c>
      <c r="AD8" s="61"/>
      <c r="AE8" s="54">
        <v>25</v>
      </c>
      <c r="AN8" s="5">
        <f>E135</f>
        <v>1.9940895994064126E-3</v>
      </c>
      <c r="AO8" s="66">
        <f>B135</f>
        <v>0.99973100669356352</v>
      </c>
      <c r="AP8" s="66">
        <f t="shared" si="0"/>
        <v>8.083999443042611E-5</v>
      </c>
      <c r="AR8" s="91">
        <v>1.8387307309880479E-3</v>
      </c>
      <c r="AS8" s="150"/>
      <c r="AT8" s="150"/>
      <c r="AU8" s="43"/>
      <c r="AV8" s="72"/>
    </row>
    <row r="9" spans="1:48" ht="12.4" customHeight="1" x14ac:dyDescent="0.2">
      <c r="A9" s="55" t="s">
        <v>93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8" t="s">
        <v>74</v>
      </c>
      <c r="N9" s="105"/>
      <c r="O9" s="105"/>
      <c r="P9" s="164">
        <f>MAX(V18:V136)</f>
        <v>129.0310883988123</v>
      </c>
      <c r="Q9" s="112"/>
      <c r="R9" s="118"/>
      <c r="S9" s="118"/>
      <c r="T9" s="118"/>
      <c r="U9" s="118"/>
      <c r="V9" s="118"/>
      <c r="W9" s="118"/>
      <c r="X9" s="118"/>
      <c r="Z9" s="23" t="s">
        <v>10</v>
      </c>
      <c r="AA9" s="24"/>
      <c r="AB9" s="24"/>
      <c r="AC9" s="96">
        <f>ABS($AC$6*COS($AC$5*PI()/180))</f>
        <v>70</v>
      </c>
      <c r="AD9" s="96">
        <f>ABS($AD$6*COS($AD$5*PI()/180))</f>
        <v>24</v>
      </c>
      <c r="AE9" s="49">
        <f>ABS($AE$6*COS($AE$5*PI()/180))</f>
        <v>30.310889132455355</v>
      </c>
      <c r="AN9" s="5">
        <f>E133</f>
        <v>2.3858674412480089E-3</v>
      </c>
      <c r="AO9" s="66">
        <f>B133</f>
        <v>0.99965016669913309</v>
      </c>
      <c r="AP9" s="66">
        <f t="shared" si="0"/>
        <v>4.2143298978607469E-3</v>
      </c>
      <c r="AR9" s="91">
        <v>2.3796891258599209E-3</v>
      </c>
      <c r="AS9" s="150"/>
      <c r="AT9" s="150"/>
      <c r="AU9" s="43"/>
      <c r="AV9" s="72"/>
    </row>
    <row r="10" spans="1:48" ht="12.4" customHeight="1" x14ac:dyDescent="0.2">
      <c r="A10" s="132" t="s">
        <v>94</v>
      </c>
      <c r="B10" s="105"/>
      <c r="C10" s="105"/>
      <c r="D10" s="118"/>
      <c r="E10" s="118"/>
      <c r="F10" s="118"/>
      <c r="G10" s="118"/>
      <c r="H10" s="118"/>
      <c r="I10" s="118"/>
      <c r="J10" s="118"/>
      <c r="K10" s="105"/>
      <c r="L10" s="108" t="s">
        <v>52</v>
      </c>
      <c r="N10" s="105"/>
      <c r="O10" s="105"/>
      <c r="P10" s="133">
        <f>'Raw Data'!M10</f>
        <v>0.28192322762664823</v>
      </c>
      <c r="Q10" s="133"/>
      <c r="R10" s="118"/>
      <c r="S10" s="118"/>
      <c r="T10" s="118"/>
      <c r="U10" s="118"/>
      <c r="V10" s="118"/>
      <c r="W10" s="118"/>
      <c r="X10" s="118"/>
      <c r="Z10" s="128" t="s">
        <v>60</v>
      </c>
      <c r="AA10" s="114"/>
      <c r="AB10" s="114"/>
      <c r="AC10" s="20">
        <f>ABS($AC$8*COS($AC$7*PI()/180))</f>
        <v>50</v>
      </c>
      <c r="AD10" s="76"/>
      <c r="AE10" s="37">
        <f>ABS($AE$8*COS($AE$7*PI()/180))</f>
        <v>21.650635094610969</v>
      </c>
      <c r="AN10" s="5">
        <f>E125</f>
        <v>4.89886701986114E-3</v>
      </c>
      <c r="AO10" s="66">
        <f>$B125</f>
        <v>0.99543583680127234</v>
      </c>
      <c r="AP10" s="66">
        <f t="shared" si="0"/>
        <v>4.6185298700134325E-3</v>
      </c>
      <c r="AR10" s="91">
        <v>4.918869133300207E-3</v>
      </c>
      <c r="AS10" s="150"/>
      <c r="AT10" s="150"/>
      <c r="AU10" s="43"/>
      <c r="AV10" s="72"/>
    </row>
    <row r="11" spans="1:48" ht="12.4" customHeight="1" x14ac:dyDescent="0.2">
      <c r="A11" s="175" t="s">
        <v>96</v>
      </c>
      <c r="B11" s="105"/>
      <c r="C11" s="105"/>
      <c r="D11" s="118"/>
      <c r="E11" s="118"/>
      <c r="F11" s="118"/>
      <c r="G11" s="118"/>
      <c r="H11" s="118"/>
      <c r="I11" s="118"/>
      <c r="J11" s="118"/>
      <c r="K11" s="105"/>
      <c r="L11" s="106" t="s">
        <v>23</v>
      </c>
      <c r="P11" s="75">
        <f>'Raw Data'!M11</f>
        <v>2.6724391219431127</v>
      </c>
      <c r="Q11" s="75"/>
      <c r="R11" s="118"/>
      <c r="V11" s="118"/>
      <c r="W11" s="118"/>
      <c r="X11" s="118"/>
      <c r="Z11" s="105"/>
      <c r="AA11" s="59" t="s">
        <v>47</v>
      </c>
      <c r="AB11" s="126"/>
      <c r="AC11" s="126"/>
      <c r="AD11" s="69"/>
      <c r="AN11" s="5">
        <f>E120</f>
        <v>7.6404641881677718E-3</v>
      </c>
      <c r="AO11" s="66">
        <f>$B120</f>
        <v>0.99081730693125891</v>
      </c>
      <c r="AP11" s="66">
        <f t="shared" si="0"/>
        <v>3.9889516448811113E-3</v>
      </c>
      <c r="AR11" s="91">
        <v>7.6659819593601552E-3</v>
      </c>
      <c r="AS11" s="150"/>
      <c r="AT11" s="150"/>
      <c r="AU11" s="43"/>
      <c r="AV11" s="72"/>
    </row>
    <row r="12" spans="1:48" ht="12.4" customHeight="1" x14ac:dyDescent="0.2">
      <c r="B12" s="105"/>
      <c r="C12" s="105"/>
      <c r="D12" s="113"/>
      <c r="E12" s="105"/>
      <c r="F12" s="105"/>
      <c r="G12" s="105"/>
      <c r="H12" s="105"/>
      <c r="I12" s="105"/>
      <c r="J12" s="105"/>
      <c r="K12" s="105"/>
      <c r="L12" s="105"/>
      <c r="M12" s="108"/>
      <c r="N12" s="105"/>
      <c r="O12" s="105"/>
      <c r="P12" s="83"/>
      <c r="Q12" s="83"/>
      <c r="R12" s="118"/>
      <c r="S12" s="118"/>
      <c r="T12" s="118"/>
      <c r="U12" s="118"/>
      <c r="V12" s="118"/>
      <c r="W12" s="118"/>
      <c r="X12" s="118"/>
      <c r="Z12" s="105"/>
      <c r="AA12" s="2" t="s">
        <v>71</v>
      </c>
      <c r="AB12" s="90"/>
      <c r="AC12" s="111">
        <v>0.433</v>
      </c>
      <c r="AD12" s="118"/>
      <c r="AN12" s="66">
        <f>E117</f>
        <v>1.0024275993738275E-2</v>
      </c>
      <c r="AO12" s="66">
        <f>$B117</f>
        <v>0.9868283552863778</v>
      </c>
      <c r="AP12" s="66">
        <f t="shared" si="0"/>
        <v>3.386039460571677E-2</v>
      </c>
      <c r="AR12" s="150">
        <v>1.0017670706649362E-2</v>
      </c>
      <c r="AS12" s="150"/>
      <c r="AT12" s="150"/>
      <c r="AU12" s="43"/>
      <c r="AV12" s="72"/>
    </row>
    <row r="13" spans="1:48" ht="12.4" customHeight="1" x14ac:dyDescent="0.2">
      <c r="Z13" s="105"/>
      <c r="AA13" s="10" t="s">
        <v>14</v>
      </c>
      <c r="AB13" s="24"/>
      <c r="AC13" s="152">
        <v>0.34599999999999997</v>
      </c>
      <c r="AD13" s="105"/>
      <c r="AN13" s="66">
        <f>E107</f>
        <v>2.4619605451223006E-2</v>
      </c>
      <c r="AO13" s="66">
        <f>$B107</f>
        <v>0.95296796068066103</v>
      </c>
      <c r="AP13" s="66">
        <f t="shared" si="0"/>
        <v>4.7197269370690798E-2</v>
      </c>
      <c r="AR13" s="150">
        <v>2.4302503920103202E-2</v>
      </c>
      <c r="AS13" s="150"/>
      <c r="AT13" s="150"/>
      <c r="AU13" s="43"/>
      <c r="AV13" s="72"/>
    </row>
    <row r="14" spans="1:48" ht="12.4" customHeight="1" x14ac:dyDescent="0.2">
      <c r="A14" s="4" t="s">
        <v>84</v>
      </c>
      <c r="B14" s="4" t="s">
        <v>62</v>
      </c>
      <c r="C14" s="4" t="s">
        <v>45</v>
      </c>
      <c r="D14" s="7" t="s">
        <v>90</v>
      </c>
      <c r="E14" s="4" t="s">
        <v>88</v>
      </c>
      <c r="F14" s="4" t="s">
        <v>88</v>
      </c>
      <c r="G14" s="4" t="s">
        <v>13</v>
      </c>
      <c r="H14" s="4" t="s">
        <v>16</v>
      </c>
      <c r="I14" s="4" t="s">
        <v>67</v>
      </c>
      <c r="J14" s="4" t="s">
        <v>79</v>
      </c>
      <c r="K14" s="4"/>
      <c r="L14" s="134" t="s">
        <v>85</v>
      </c>
      <c r="M14" s="18"/>
      <c r="N14" s="92"/>
      <c r="O14" s="134" t="s">
        <v>17</v>
      </c>
      <c r="P14" s="92"/>
      <c r="Q14" s="92" t="s">
        <v>7</v>
      </c>
      <c r="R14" s="4" t="s">
        <v>62</v>
      </c>
      <c r="S14" s="4" t="s">
        <v>37</v>
      </c>
      <c r="T14" s="4" t="s">
        <v>58</v>
      </c>
      <c r="U14" s="4"/>
      <c r="V14" s="4" t="s">
        <v>27</v>
      </c>
      <c r="W14" s="4" t="s">
        <v>86</v>
      </c>
      <c r="X14" s="4" t="s">
        <v>86</v>
      </c>
      <c r="Z14" s="105"/>
      <c r="AA14" s="117" t="s">
        <v>12</v>
      </c>
      <c r="AB14" s="114"/>
      <c r="AC14" s="139">
        <v>0.1</v>
      </c>
      <c r="AD14" s="105"/>
      <c r="AN14" s="66">
        <f>E99</f>
        <v>5.0604823666206777E-2</v>
      </c>
      <c r="AO14" s="66">
        <f>$B99</f>
        <v>0.90577069130997023</v>
      </c>
      <c r="AP14" s="66">
        <f t="shared" si="0"/>
        <v>2.9698301341647526E-2</v>
      </c>
      <c r="AR14" s="150">
        <v>4.9484801750667114E-2</v>
      </c>
      <c r="AS14" s="150"/>
      <c r="AT14" s="150"/>
      <c r="AU14" s="43"/>
      <c r="AV14" s="72"/>
    </row>
    <row r="15" spans="1:48" ht="12.4" customHeight="1" x14ac:dyDescent="0.2">
      <c r="A15" s="40" t="s">
        <v>77</v>
      </c>
      <c r="B15" s="40" t="s">
        <v>5</v>
      </c>
      <c r="C15" s="40" t="s">
        <v>5</v>
      </c>
      <c r="D15" s="48" t="s">
        <v>69</v>
      </c>
      <c r="E15" s="40" t="s">
        <v>78</v>
      </c>
      <c r="F15" s="40" t="s">
        <v>53</v>
      </c>
      <c r="G15" s="40" t="s">
        <v>32</v>
      </c>
      <c r="H15" s="40" t="s">
        <v>32</v>
      </c>
      <c r="I15" s="40" t="s">
        <v>75</v>
      </c>
      <c r="J15" s="40" t="s">
        <v>75</v>
      </c>
      <c r="K15" s="40" t="s">
        <v>87</v>
      </c>
      <c r="L15" s="4" t="s">
        <v>73</v>
      </c>
      <c r="M15" s="4" t="s">
        <v>4</v>
      </c>
      <c r="N15" s="4" t="s">
        <v>41</v>
      </c>
      <c r="O15" s="104" t="s">
        <v>1</v>
      </c>
      <c r="P15" s="33"/>
      <c r="Q15" s="33" t="s">
        <v>8</v>
      </c>
      <c r="R15" s="40" t="s">
        <v>33</v>
      </c>
      <c r="S15" s="40" t="s">
        <v>43</v>
      </c>
      <c r="T15" s="40" t="s">
        <v>86</v>
      </c>
      <c r="U15" s="40" t="s">
        <v>27</v>
      </c>
      <c r="V15" s="40" t="s">
        <v>86</v>
      </c>
      <c r="W15" s="40" t="s">
        <v>42</v>
      </c>
      <c r="X15" s="40" t="s">
        <v>42</v>
      </c>
      <c r="Z15" s="118"/>
      <c r="AN15" s="66">
        <f>E95</f>
        <v>7.2496422865300586E-2</v>
      </c>
      <c r="AO15" s="66">
        <f>$B95</f>
        <v>0.87607238996832271</v>
      </c>
      <c r="AP15" s="66">
        <f t="shared" si="0"/>
        <v>3.1868555972555002E-2</v>
      </c>
      <c r="AR15" s="150">
        <v>7.1632047862346573E-2</v>
      </c>
      <c r="AS15" s="150"/>
      <c r="AT15" s="150"/>
      <c r="AU15" s="43"/>
      <c r="AV15" s="72"/>
    </row>
    <row r="16" spans="1:48" ht="12.4" customHeight="1" x14ac:dyDescent="0.2">
      <c r="A16" s="47" t="s">
        <v>48</v>
      </c>
      <c r="B16" s="47" t="s">
        <v>25</v>
      </c>
      <c r="C16" s="47" t="s">
        <v>25</v>
      </c>
      <c r="D16" s="53" t="s">
        <v>25</v>
      </c>
      <c r="E16" s="47" t="s">
        <v>54</v>
      </c>
      <c r="F16" s="47" t="s">
        <v>63</v>
      </c>
      <c r="G16" s="47" t="s">
        <v>59</v>
      </c>
      <c r="H16" s="47" t="s">
        <v>59</v>
      </c>
      <c r="I16" s="47" t="s">
        <v>54</v>
      </c>
      <c r="J16" s="47" t="s">
        <v>54</v>
      </c>
      <c r="K16" s="47" t="s">
        <v>68</v>
      </c>
      <c r="L16" s="47" t="s">
        <v>48</v>
      </c>
      <c r="M16" s="47" t="s">
        <v>48</v>
      </c>
      <c r="N16" s="47" t="s">
        <v>48</v>
      </c>
      <c r="O16" s="1" t="s">
        <v>65</v>
      </c>
      <c r="P16" s="1" t="s">
        <v>34</v>
      </c>
      <c r="Q16" s="47" t="s">
        <v>70</v>
      </c>
      <c r="R16" s="47" t="s">
        <v>20</v>
      </c>
      <c r="S16" s="47" t="s">
        <v>19</v>
      </c>
      <c r="T16" s="47"/>
      <c r="U16" s="47"/>
      <c r="V16" s="44"/>
      <c r="W16" s="53" t="s">
        <v>6</v>
      </c>
      <c r="X16" s="53" t="s">
        <v>89</v>
      </c>
      <c r="Z16" s="108" t="s">
        <v>72</v>
      </c>
      <c r="AA16" s="118"/>
      <c r="AB16" s="118"/>
      <c r="AC16" s="67">
        <f>ABS(Table!$AB$4*COS(Table!$AB$3*PI()/180))</f>
        <v>371.53155491270428</v>
      </c>
      <c r="AN16" s="66">
        <f>E91</f>
        <v>0.10428460034123785</v>
      </c>
      <c r="AO16" s="66">
        <f>$B91</f>
        <v>0.84420383399576771</v>
      </c>
      <c r="AP16" s="66">
        <f t="shared" si="0"/>
        <v>8.0440206678922044E-2</v>
      </c>
      <c r="AR16" s="150">
        <v>9.9921582517046942E-2</v>
      </c>
      <c r="AS16" s="150"/>
      <c r="AT16" s="150"/>
      <c r="AU16" s="43"/>
      <c r="AV16" s="72"/>
    </row>
    <row r="17" spans="1:48" ht="12.4" customHeight="1" x14ac:dyDescent="0.2">
      <c r="A17" s="157"/>
      <c r="B17" s="8"/>
      <c r="C17" s="118"/>
      <c r="D17" s="123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05"/>
      <c r="S17" s="105"/>
      <c r="T17" s="105"/>
      <c r="U17" s="105"/>
      <c r="V17" s="105"/>
      <c r="W17" s="105"/>
      <c r="X17" s="105"/>
      <c r="AC17" s="143">
        <f ca="1">FORECAST(200,OFFSET(L$17,MATCH(200,L$18:L136, 1),-9,2,1),OFFSET(L$17,MATCH(200,L$18:L136, 1),0,2,1))</f>
        <v>0.15464793686702916</v>
      </c>
      <c r="AD17" s="106">
        <f ca="1">LOOKUP('Raw Data'!K27,Table!A18:A136,OFFSET(Table!S18:S136,-1,0))</f>
        <v>0</v>
      </c>
      <c r="AE17" s="106">
        <f ca="1">IF('Raw Data'!$I$27=0,Table!$E$18,OFFSET(INDEX($E$18:$E$136,MATCH('Raw Data'!$K$27,Table!$A$18:$A$136,0)),-1,0))</f>
        <v>10.120146624726701</v>
      </c>
      <c r="AN17" s="66">
        <f>E81</f>
        <v>0.255109409499919</v>
      </c>
      <c r="AO17" s="66">
        <f>$B81</f>
        <v>0.76376362731684566</v>
      </c>
      <c r="AP17" s="66">
        <f t="shared" si="0"/>
        <v>6.0771795461826317E-2</v>
      </c>
      <c r="AR17" s="150">
        <v>0.25452110435346964</v>
      </c>
      <c r="AS17" s="150"/>
      <c r="AT17" s="150"/>
      <c r="AU17" s="43"/>
      <c r="AV17" s="72"/>
    </row>
    <row r="18" spans="1:48" ht="12.4" customHeight="1" x14ac:dyDescent="0.2">
      <c r="A18" s="157">
        <f>'Raw Data'!A18</f>
        <v>1.5110735893249512</v>
      </c>
      <c r="B18" s="8">
        <f>'Raw Data'!E18</f>
        <v>0</v>
      </c>
      <c r="C18" s="8">
        <f t="shared" ref="C18:C136" si="1">1-B18</f>
        <v>1</v>
      </c>
      <c r="D18" s="80">
        <f t="shared" ref="D18:D136" si="2">B18-B17</f>
        <v>0</v>
      </c>
      <c r="E18" s="70">
        <f>(2*Table!$AC$16*0.147)/A18</f>
        <v>72.286537145508575</v>
      </c>
      <c r="F18" s="70">
        <f t="shared" ref="F18:F136" si="3">E18*2</f>
        <v>144.57307429101715</v>
      </c>
      <c r="G18" s="157">
        <f>IF((('Raw Data'!C18)/('Raw Data'!C$136)*100)&lt;0,0,('Raw Data'!C18)/('Raw Data'!C$136)*100)</f>
        <v>0</v>
      </c>
      <c r="H18" s="157">
        <f t="shared" ref="H18:H136" si="4">G18-G17</f>
        <v>0</v>
      </c>
      <c r="I18" s="146">
        <f t="shared" ref="I18:I136" si="5">IF(E17&gt;0,LOG(E17)-LOG(E18), LOG(E18))</f>
        <v>1.8590574205607959</v>
      </c>
      <c r="J18" s="70">
        <f>'Raw Data'!F18/I18</f>
        <v>0</v>
      </c>
      <c r="K18" s="138">
        <f t="shared" ref="K18:K136" si="6">(0.217*A18*(SQRT(P$9/P$10)))/($AB$4*-COS(RADIANS($AB$3)))</f>
        <v>1.8881278345647279E-2</v>
      </c>
      <c r="L18" s="157">
        <f>A18*Table!$AC$9/$AC$16</f>
        <v>0.28470031644445304</v>
      </c>
      <c r="M18" s="157">
        <f>A18*Table!$AD$9/$AC$16</f>
        <v>9.7611537066669612E-2</v>
      </c>
      <c r="N18" s="157">
        <f>ABS(A18*Table!$AE$9/$AC$16)</f>
        <v>0.12327885325318244</v>
      </c>
      <c r="O18" s="157">
        <f>($L18*(Table!$AC$10/Table!$AC$9)/(Table!$AC$12-Table!$AC$14))</f>
        <v>0.6106827894561413</v>
      </c>
      <c r="P18" s="157">
        <f>$N18*(Table!$AE$10/Table!$AE$9)/(Table!$AC$12-Table!$AC$13)</f>
        <v>1.0121416523249789</v>
      </c>
      <c r="Q18" s="157">
        <f>'Raw Data'!C18</f>
        <v>0</v>
      </c>
      <c r="R18" s="157">
        <f>'Raw Data'!C18/'Raw Data'!I$23*100</f>
        <v>0</v>
      </c>
      <c r="S18" s="95">
        <f t="shared" ref="S18:S136" si="7">D18/MAX($D$18:$D$136)</f>
        <v>0</v>
      </c>
      <c r="T18" s="95">
        <f t="shared" ref="T18:T136" si="8">1-(X18/$X$136)</f>
        <v>1</v>
      </c>
      <c r="U18" s="71">
        <f t="shared" ref="U18:U136" si="9">R18/A18</f>
        <v>0</v>
      </c>
      <c r="V18" s="71">
        <f t="shared" ref="V18:V136" si="10">(U18^1.691)*399</f>
        <v>0</v>
      </c>
      <c r="W18" s="71">
        <f t="shared" ref="W18:W136" si="11">((E18*E18)/8)*S18</f>
        <v>0</v>
      </c>
      <c r="X18" s="42">
        <f t="shared" ref="X18:X136" si="12">W18+X17</f>
        <v>0</v>
      </c>
      <c r="Z18" s="109"/>
      <c r="AA18" s="118"/>
      <c r="AB18" s="118"/>
      <c r="AC18" s="6"/>
      <c r="AN18" s="66">
        <f>E73</f>
        <v>0.52720996631498607</v>
      </c>
      <c r="AO18" s="66">
        <f>$B73</f>
        <v>0.70299183185501934</v>
      </c>
      <c r="AP18" s="66">
        <f t="shared" si="0"/>
        <v>3.5251258374385364E-2</v>
      </c>
      <c r="AR18" s="150">
        <v>0.47874420207019219</v>
      </c>
      <c r="AS18" s="150"/>
      <c r="AT18" s="150"/>
      <c r="AU18" s="43"/>
      <c r="AV18" s="72"/>
    </row>
    <row r="19" spans="1:48" ht="12.4" customHeight="1" x14ac:dyDescent="0.2">
      <c r="A19" s="157">
        <f>'Raw Data'!A19</f>
        <v>1.588789701461792</v>
      </c>
      <c r="B19" s="8">
        <f>'Raw Data'!E19</f>
        <v>0</v>
      </c>
      <c r="C19" s="8">
        <f t="shared" si="1"/>
        <v>1</v>
      </c>
      <c r="D19" s="80">
        <f t="shared" si="2"/>
        <v>0</v>
      </c>
      <c r="E19" s="70">
        <f>(2*Table!$AC$16*0.147)/A19</f>
        <v>68.750620075039478</v>
      </c>
      <c r="F19" s="70">
        <f t="shared" si="3"/>
        <v>137.50124015007896</v>
      </c>
      <c r="G19" s="157">
        <f>IF((('Raw Data'!C19)/('Raw Data'!C$136)*100)&lt;0,0,('Raw Data'!C19)/('Raw Data'!C$136)*100)</f>
        <v>0</v>
      </c>
      <c r="H19" s="157">
        <f t="shared" si="4"/>
        <v>0</v>
      </c>
      <c r="I19" s="146">
        <f t="shared" si="5"/>
        <v>2.178080105553426E-2</v>
      </c>
      <c r="J19" s="70">
        <f>'Raw Data'!F19/I19</f>
        <v>0</v>
      </c>
      <c r="K19" s="138">
        <f t="shared" si="6"/>
        <v>1.9852362451387464E-2</v>
      </c>
      <c r="L19" s="157">
        <f>A19*Table!$AC$9/$AC$16</f>
        <v>0.29934275469133914</v>
      </c>
      <c r="M19" s="157">
        <f>A19*Table!$AD$9/$AC$16</f>
        <v>0.10263180160845914</v>
      </c>
      <c r="N19" s="157">
        <f>ABS(A19*Table!$AE$9/$AC$16)</f>
        <v>0.12961921500075657</v>
      </c>
      <c r="O19" s="157">
        <f>($L19*(Table!$AC$10/Table!$AC$9)/(Table!$AC$12-Table!$AC$14))</f>
        <v>0.64209085090377338</v>
      </c>
      <c r="P19" s="157">
        <f>$N19*(Table!$AE$10/Table!$AE$9)/(Table!$AC$12-Table!$AC$13)</f>
        <v>1.0641971674938959</v>
      </c>
      <c r="Q19" s="157">
        <f>'Raw Data'!C19</f>
        <v>0</v>
      </c>
      <c r="R19" s="157">
        <f>'Raw Data'!C19/'Raw Data'!I$23*100</f>
        <v>0</v>
      </c>
      <c r="S19" s="95">
        <f t="shared" si="7"/>
        <v>0</v>
      </c>
      <c r="T19" s="95">
        <f t="shared" si="8"/>
        <v>1</v>
      </c>
      <c r="U19" s="71">
        <f t="shared" si="9"/>
        <v>0</v>
      </c>
      <c r="V19" s="71">
        <f t="shared" si="10"/>
        <v>0</v>
      </c>
      <c r="W19" s="71">
        <f t="shared" si="11"/>
        <v>0</v>
      </c>
      <c r="X19" s="42">
        <f t="shared" si="12"/>
        <v>0</v>
      </c>
      <c r="AN19" s="66">
        <f>E68</f>
        <v>0.81833134190630974</v>
      </c>
      <c r="AO19" s="66">
        <f>$B68</f>
        <v>0.66774057348063398</v>
      </c>
      <c r="AP19" s="66">
        <f t="shared" si="0"/>
        <v>2.957688920446655E-2</v>
      </c>
      <c r="AR19" s="150">
        <v>0.74938444802644799</v>
      </c>
      <c r="AS19" s="150"/>
      <c r="AT19" s="150"/>
      <c r="AU19" s="43"/>
      <c r="AV19" s="72"/>
    </row>
    <row r="20" spans="1:48" ht="12.4" customHeight="1" x14ac:dyDescent="0.2">
      <c r="A20" s="157">
        <f>'Raw Data'!A20</f>
        <v>1.8008730411529541</v>
      </c>
      <c r="B20" s="8">
        <f>'Raw Data'!E20</f>
        <v>0</v>
      </c>
      <c r="C20" s="8">
        <f t="shared" si="1"/>
        <v>1</v>
      </c>
      <c r="D20" s="80">
        <f t="shared" si="2"/>
        <v>0</v>
      </c>
      <c r="E20" s="70">
        <f>(2*Table!$AC$16*0.147)/A20</f>
        <v>60.654068692373613</v>
      </c>
      <c r="F20" s="70">
        <f t="shared" si="3"/>
        <v>121.30813738474723</v>
      </c>
      <c r="G20" s="157">
        <f>IF((('Raw Data'!C20)/('Raw Data'!C$136)*100)&lt;0,0,('Raw Data'!C20)/('Raw Data'!C$136)*100)</f>
        <v>0</v>
      </c>
      <c r="H20" s="157">
        <f t="shared" si="4"/>
        <v>0</v>
      </c>
      <c r="I20" s="146">
        <f t="shared" si="5"/>
        <v>5.4416680726753874E-2</v>
      </c>
      <c r="J20" s="70">
        <f>'Raw Data'!F20/I20</f>
        <v>0</v>
      </c>
      <c r="K20" s="138">
        <f t="shared" si="6"/>
        <v>2.2502401865399195E-2</v>
      </c>
      <c r="L20" s="157">
        <f>A20*Table!$AC$9/$AC$16</f>
        <v>0.33930122815631725</v>
      </c>
      <c r="M20" s="157">
        <f>A20*Table!$AD$9/$AC$16</f>
        <v>0.11633184965359449</v>
      </c>
      <c r="N20" s="157">
        <f>ABS(A20*Table!$AE$9/$AC$16)</f>
        <v>0.14692174155931531</v>
      </c>
      <c r="O20" s="157">
        <f>($L20*(Table!$AC$10/Table!$AC$9)/(Table!$AC$12-Table!$AC$14))</f>
        <v>0.72780186219716281</v>
      </c>
      <c r="P20" s="157">
        <f>$N20*(Table!$AE$10/Table!$AE$9)/(Table!$AC$12-Table!$AC$13)</f>
        <v>1.2062540357907658</v>
      </c>
      <c r="Q20" s="157">
        <f>'Raw Data'!C20</f>
        <v>0</v>
      </c>
      <c r="R20" s="157">
        <f>'Raw Data'!C20/'Raw Data'!I$23*100</f>
        <v>0</v>
      </c>
      <c r="S20" s="95">
        <f t="shared" si="7"/>
        <v>0</v>
      </c>
      <c r="T20" s="95">
        <f t="shared" si="8"/>
        <v>1</v>
      </c>
      <c r="U20" s="71">
        <f t="shared" si="9"/>
        <v>0</v>
      </c>
      <c r="V20" s="71">
        <f t="shared" si="10"/>
        <v>0</v>
      </c>
      <c r="W20" s="71">
        <f t="shared" si="11"/>
        <v>0</v>
      </c>
      <c r="X20" s="42">
        <f t="shared" si="12"/>
        <v>0</v>
      </c>
      <c r="AN20" s="100">
        <f>E64</f>
        <v>1.1810944520327769</v>
      </c>
      <c r="AO20" s="66">
        <f>$B64</f>
        <v>0.63816368427616743</v>
      </c>
      <c r="AP20" s="66">
        <f t="shared" si="0"/>
        <v>9.8787718556054505E-2</v>
      </c>
      <c r="AR20" s="21">
        <v>1.0742552826940897</v>
      </c>
      <c r="AS20" s="150"/>
      <c r="AT20" s="150"/>
      <c r="AU20" s="43"/>
      <c r="AV20" s="72"/>
    </row>
    <row r="21" spans="1:48" ht="12.4" customHeight="1" x14ac:dyDescent="0.2">
      <c r="A21" s="157">
        <f>'Raw Data'!A21</f>
        <v>2.0034613609313965</v>
      </c>
      <c r="B21" s="8">
        <f>'Raw Data'!E21</f>
        <v>0</v>
      </c>
      <c r="C21" s="8">
        <f t="shared" si="1"/>
        <v>1</v>
      </c>
      <c r="D21" s="80">
        <f t="shared" si="2"/>
        <v>0</v>
      </c>
      <c r="E21" s="70">
        <f>(2*Table!$AC$16*0.147)/A21</f>
        <v>54.520780522342882</v>
      </c>
      <c r="F21" s="70">
        <f t="shared" si="3"/>
        <v>109.04156104468576</v>
      </c>
      <c r="G21" s="157">
        <f>IF((('Raw Data'!C21)/('Raw Data'!C$136)*100)&lt;0,0,('Raw Data'!C21)/('Raw Data'!C$136)*100)</f>
        <v>0</v>
      </c>
      <c r="H21" s="157">
        <f t="shared" si="4"/>
        <v>0</v>
      </c>
      <c r="I21" s="146">
        <f t="shared" si="5"/>
        <v>4.6297874188870658E-2</v>
      </c>
      <c r="J21" s="70">
        <f>'Raw Data'!F21/I21</f>
        <v>0</v>
      </c>
      <c r="K21" s="138">
        <f t="shared" si="6"/>
        <v>2.5033798405141899E-2</v>
      </c>
      <c r="L21" s="157">
        <f>A21*Table!$AC$9/$AC$16</f>
        <v>0.37747075157088428</v>
      </c>
      <c r="M21" s="157">
        <f>A21*Table!$AD$9/$AC$16</f>
        <v>0.12941854339573175</v>
      </c>
      <c r="N21" s="157">
        <f>ABS(A21*Table!$AE$9/$AC$16)</f>
        <v>0.16344963002299531</v>
      </c>
      <c r="O21" s="157">
        <f>($L21*(Table!$AC$10/Table!$AC$9)/(Table!$AC$12-Table!$AC$14))</f>
        <v>0.80967557179511873</v>
      </c>
      <c r="P21" s="157">
        <f>$N21*(Table!$AE$10/Table!$AE$9)/(Table!$AC$12-Table!$AC$13)</f>
        <v>1.3419509854104703</v>
      </c>
      <c r="Q21" s="157">
        <f>'Raw Data'!C21</f>
        <v>0</v>
      </c>
      <c r="R21" s="157">
        <f>'Raw Data'!C21/'Raw Data'!I$23*100</f>
        <v>0</v>
      </c>
      <c r="S21" s="95">
        <f t="shared" si="7"/>
        <v>0</v>
      </c>
      <c r="T21" s="95">
        <f t="shared" si="8"/>
        <v>1</v>
      </c>
      <c r="U21" s="71">
        <f t="shared" si="9"/>
        <v>0</v>
      </c>
      <c r="V21" s="71">
        <f t="shared" si="10"/>
        <v>0</v>
      </c>
      <c r="W21" s="71">
        <f t="shared" si="11"/>
        <v>0</v>
      </c>
      <c r="X21" s="42">
        <f t="shared" si="12"/>
        <v>0</v>
      </c>
      <c r="AN21" s="100">
        <f>$E55</f>
        <v>2.6724317958522392</v>
      </c>
      <c r="AO21" s="66">
        <f>$B55</f>
        <v>0.53937596572011293</v>
      </c>
      <c r="AP21" s="66">
        <f t="shared" si="0"/>
        <v>0.17888515220753481</v>
      </c>
      <c r="AR21" s="21">
        <v>2.3818202604521379</v>
      </c>
      <c r="AS21" s="150"/>
      <c r="AT21" s="150"/>
      <c r="AU21" s="43"/>
      <c r="AV21" s="72"/>
    </row>
    <row r="22" spans="1:48" ht="12.4" customHeight="1" x14ac:dyDescent="0.2">
      <c r="A22" s="157">
        <f>'Raw Data'!A22</f>
        <v>2.1601700782775879</v>
      </c>
      <c r="B22" s="8">
        <f>'Raw Data'!E22</f>
        <v>0</v>
      </c>
      <c r="C22" s="8">
        <f t="shared" si="1"/>
        <v>1</v>
      </c>
      <c r="D22" s="80">
        <f t="shared" si="2"/>
        <v>0</v>
      </c>
      <c r="E22" s="70">
        <f>(2*Table!$AC$16*0.147)/A22</f>
        <v>50.56559122021995</v>
      </c>
      <c r="F22" s="70">
        <f t="shared" si="3"/>
        <v>101.1311824404399</v>
      </c>
      <c r="G22" s="157">
        <f>IF((('Raw Data'!C22)/('Raw Data'!C$136)*100)&lt;0,0,('Raw Data'!C22)/('Raw Data'!C$136)*100)</f>
        <v>0</v>
      </c>
      <c r="H22" s="157">
        <f t="shared" si="4"/>
        <v>0</v>
      </c>
      <c r="I22" s="146">
        <f t="shared" si="5"/>
        <v>3.270697514928278E-2</v>
      </c>
      <c r="J22" s="70">
        <f>'Raw Data'!F22/I22</f>
        <v>0</v>
      </c>
      <c r="K22" s="138">
        <f t="shared" si="6"/>
        <v>2.6991916747164297E-2</v>
      </c>
      <c r="L22" s="157">
        <f>A22*Table!$AC$9/$AC$16</f>
        <v>0.40699613123025358</v>
      </c>
      <c r="M22" s="157">
        <f>A22*Table!$AD$9/$AC$16</f>
        <v>0.13954153070751552</v>
      </c>
      <c r="N22" s="157">
        <f>ABS(A22*Table!$AE$9/$AC$16)</f>
        <v>0.17623449444369235</v>
      </c>
      <c r="O22" s="157">
        <f>($L22*(Table!$AC$10/Table!$AC$9)/(Table!$AC$12-Table!$AC$14))</f>
        <v>0.8730075744964686</v>
      </c>
      <c r="P22" s="157">
        <f>$N22*(Table!$AE$10/Table!$AE$9)/(Table!$AC$12-Table!$AC$13)</f>
        <v>1.4469170315574083</v>
      </c>
      <c r="Q22" s="157">
        <f>'Raw Data'!C22</f>
        <v>0</v>
      </c>
      <c r="R22" s="157">
        <f>'Raw Data'!C22/'Raw Data'!I$23*100</f>
        <v>0</v>
      </c>
      <c r="S22" s="95">
        <f t="shared" si="7"/>
        <v>0</v>
      </c>
      <c r="T22" s="95">
        <f t="shared" si="8"/>
        <v>1</v>
      </c>
      <c r="U22" s="71">
        <f t="shared" si="9"/>
        <v>0</v>
      </c>
      <c r="V22" s="71">
        <f t="shared" si="10"/>
        <v>0</v>
      </c>
      <c r="W22" s="71">
        <f t="shared" si="11"/>
        <v>0</v>
      </c>
      <c r="X22" s="42">
        <f t="shared" si="12"/>
        <v>0</v>
      </c>
      <c r="AN22" s="100">
        <f>$E47</f>
        <v>5.3896153798000288</v>
      </c>
      <c r="AO22" s="66">
        <f>$B47</f>
        <v>0.36049081351257811</v>
      </c>
      <c r="AP22" s="66">
        <f t="shared" si="0"/>
        <v>0.35667886576469304</v>
      </c>
      <c r="AR22" s="21">
        <v>4.9092259390712378</v>
      </c>
      <c r="AS22" s="150"/>
      <c r="AT22" s="150"/>
      <c r="AU22" s="43"/>
      <c r="AV22" s="72"/>
    </row>
    <row r="23" spans="1:48" ht="12.4" customHeight="1" x14ac:dyDescent="0.2">
      <c r="A23" s="157">
        <f>'Raw Data'!A23</f>
        <v>2.3577313423156738</v>
      </c>
      <c r="B23" s="8">
        <f>'Raw Data'!E23</f>
        <v>0</v>
      </c>
      <c r="C23" s="8">
        <f t="shared" si="1"/>
        <v>1</v>
      </c>
      <c r="D23" s="80">
        <f t="shared" si="2"/>
        <v>0</v>
      </c>
      <c r="E23" s="70">
        <f>(2*Table!$AC$16*0.147)/A23</f>
        <v>46.328551172863165</v>
      </c>
      <c r="F23" s="70">
        <f t="shared" si="3"/>
        <v>92.657102345726329</v>
      </c>
      <c r="G23" s="157">
        <f>IF((('Raw Data'!C23)/('Raw Data'!C$136)*100)&lt;0,0,('Raw Data'!C23)/('Raw Data'!C$136)*100)</f>
        <v>0</v>
      </c>
      <c r="H23" s="157">
        <f t="shared" si="4"/>
        <v>0</v>
      </c>
      <c r="I23" s="146">
        <f t="shared" si="5"/>
        <v>3.8006370663259625E-2</v>
      </c>
      <c r="J23" s="70">
        <f>'Raw Data'!F23/I23</f>
        <v>0</v>
      </c>
      <c r="K23" s="138">
        <f t="shared" si="6"/>
        <v>2.9460498848640528E-2</v>
      </c>
      <c r="L23" s="157">
        <f>A23*Table!$AC$9/$AC$16</f>
        <v>0.44421851059427653</v>
      </c>
      <c r="M23" s="157">
        <f>A23*Table!$AD$9/$AC$16</f>
        <v>0.15230348934660912</v>
      </c>
      <c r="N23" s="157">
        <f>ABS(A23*Table!$AE$9/$AC$16)</f>
        <v>0.19235225750296517</v>
      </c>
      <c r="O23" s="157">
        <f>($L23*(Table!$AC$10/Table!$AC$9)/(Table!$AC$12-Table!$AC$14))</f>
        <v>0.95284965807438138</v>
      </c>
      <c r="P23" s="157">
        <f>$N23*(Table!$AE$10/Table!$AE$9)/(Table!$AC$12-Table!$AC$13)</f>
        <v>1.5792467775284493</v>
      </c>
      <c r="Q23" s="157">
        <f>'Raw Data'!C23</f>
        <v>0</v>
      </c>
      <c r="R23" s="157">
        <f>'Raw Data'!C23/'Raw Data'!I$23*100</f>
        <v>0</v>
      </c>
      <c r="S23" s="95">
        <f t="shared" si="7"/>
        <v>0</v>
      </c>
      <c r="T23" s="95">
        <f t="shared" si="8"/>
        <v>1</v>
      </c>
      <c r="U23" s="71">
        <f t="shared" si="9"/>
        <v>0</v>
      </c>
      <c r="V23" s="71">
        <f t="shared" si="10"/>
        <v>0</v>
      </c>
      <c r="W23" s="71">
        <f t="shared" si="11"/>
        <v>0</v>
      </c>
      <c r="X23" s="42">
        <f t="shared" si="12"/>
        <v>0</v>
      </c>
      <c r="AN23" s="100">
        <f>$E42</f>
        <v>8.4747626031927741</v>
      </c>
      <c r="AO23" s="66">
        <f>$B42</f>
        <v>3.8119477478850568E-3</v>
      </c>
      <c r="AP23" s="66">
        <f t="shared" si="0"/>
        <v>3.8119477478850568E-3</v>
      </c>
      <c r="AR23" s="21">
        <v>7.6545393934362336</v>
      </c>
      <c r="AS23" s="150"/>
      <c r="AT23" s="150"/>
      <c r="AU23" s="43"/>
      <c r="AV23" s="72"/>
    </row>
    <row r="24" spans="1:48" ht="12.4" customHeight="1" x14ac:dyDescent="0.2">
      <c r="A24" s="157">
        <f>'Raw Data'!A24</f>
        <v>2.5686178207397461</v>
      </c>
      <c r="B24" s="8">
        <f>'Raw Data'!E24</f>
        <v>0</v>
      </c>
      <c r="C24" s="8">
        <f t="shared" si="1"/>
        <v>1</v>
      </c>
      <c r="D24" s="80">
        <f t="shared" si="2"/>
        <v>0</v>
      </c>
      <c r="E24" s="70">
        <f>(2*Table!$AC$16*0.147)/A24</f>
        <v>42.524923817929988</v>
      </c>
      <c r="F24" s="70">
        <f t="shared" si="3"/>
        <v>85.049847635859976</v>
      </c>
      <c r="G24" s="157">
        <f>IF((('Raw Data'!C24)/('Raw Data'!C$136)*100)&lt;0,0,('Raw Data'!C24)/('Raw Data'!C$136)*100)</f>
        <v>0</v>
      </c>
      <c r="H24" s="157">
        <f t="shared" si="4"/>
        <v>0</v>
      </c>
      <c r="I24" s="146">
        <f t="shared" si="5"/>
        <v>3.7205174516762307E-2</v>
      </c>
      <c r="J24" s="70">
        <f>'Raw Data'!F24/I24</f>
        <v>0</v>
      </c>
      <c r="K24" s="138">
        <f t="shared" si="6"/>
        <v>3.2095583153328201E-2</v>
      </c>
      <c r="L24" s="157">
        <f>A24*Table!$AC$9/$AC$16</f>
        <v>0.48395148426633405</v>
      </c>
      <c r="M24" s="157">
        <f>A24*Table!$AD$9/$AC$16</f>
        <v>0.16592622317702882</v>
      </c>
      <c r="N24" s="157">
        <f>ABS(A24*Table!$AE$9/$AC$16)</f>
        <v>0.2095571397869152</v>
      </c>
      <c r="O24" s="157">
        <f>($L24*(Table!$AC$10/Table!$AC$9)/(Table!$AC$12-Table!$AC$14))</f>
        <v>1.0380769718282585</v>
      </c>
      <c r="P24" s="157">
        <f>$N24*(Table!$AE$10/Table!$AE$9)/(Table!$AC$12-Table!$AC$13)</f>
        <v>1.7205019686938847</v>
      </c>
      <c r="Q24" s="157">
        <f>'Raw Data'!C24</f>
        <v>0</v>
      </c>
      <c r="R24" s="157">
        <f>'Raw Data'!C24/'Raw Data'!I$23*100</f>
        <v>0</v>
      </c>
      <c r="S24" s="95">
        <f t="shared" si="7"/>
        <v>0</v>
      </c>
      <c r="T24" s="95">
        <f t="shared" si="8"/>
        <v>1</v>
      </c>
      <c r="U24" s="71">
        <f t="shared" si="9"/>
        <v>0</v>
      </c>
      <c r="V24" s="71">
        <f t="shared" si="10"/>
        <v>0</v>
      </c>
      <c r="W24" s="71">
        <f t="shared" si="11"/>
        <v>0</v>
      </c>
      <c r="X24" s="42">
        <f t="shared" si="12"/>
        <v>0</v>
      </c>
      <c r="AN24" s="13">
        <f>$E39</f>
        <v>11.045986921147863</v>
      </c>
      <c r="AO24" s="66">
        <f>$B39</f>
        <v>0</v>
      </c>
      <c r="AP24" s="66">
        <f t="shared" si="0"/>
        <v>0</v>
      </c>
      <c r="AR24" s="102">
        <v>10.01194107647434</v>
      </c>
      <c r="AS24" s="150"/>
      <c r="AT24" s="150"/>
      <c r="AU24" s="43"/>
      <c r="AV24" s="72"/>
    </row>
    <row r="25" spans="1:48" ht="12.4" customHeight="1" x14ac:dyDescent="0.2">
      <c r="A25" s="157">
        <f>'Raw Data'!A25</f>
        <v>2.8085479736328125</v>
      </c>
      <c r="B25" s="8">
        <f>'Raw Data'!E25</f>
        <v>0</v>
      </c>
      <c r="C25" s="8">
        <f t="shared" si="1"/>
        <v>1</v>
      </c>
      <c r="D25" s="80">
        <f t="shared" si="2"/>
        <v>0</v>
      </c>
      <c r="E25" s="70">
        <f>(2*Table!$AC$16*0.147)/A25</f>
        <v>38.892081662770181</v>
      </c>
      <c r="F25" s="70">
        <f t="shared" si="3"/>
        <v>77.784163325540362</v>
      </c>
      <c r="G25" s="157">
        <f>IF((('Raw Data'!C25)/('Raw Data'!C$136)*100)&lt;0,0,('Raw Data'!C25)/('Raw Data'!C$136)*100)</f>
        <v>0</v>
      </c>
      <c r="H25" s="157">
        <f t="shared" si="4"/>
        <v>0</v>
      </c>
      <c r="I25" s="146">
        <f t="shared" si="5"/>
        <v>3.8782355279509462E-2</v>
      </c>
      <c r="J25" s="70">
        <f>'Raw Data'!F25/I25</f>
        <v>0</v>
      </c>
      <c r="K25" s="138">
        <f t="shared" si="6"/>
        <v>3.5093576124875993E-2</v>
      </c>
      <c r="L25" s="157">
        <f>A25*Table!$AC$9/$AC$16</f>
        <v>0.52915655629974678</v>
      </c>
      <c r="M25" s="157">
        <f>A25*Table!$AD$9/$AC$16</f>
        <v>0.18142510501705605</v>
      </c>
      <c r="N25" s="157">
        <f>ABS(A25*Table!$AE$9/$AC$16)</f>
        <v>0.22913151016733566</v>
      </c>
      <c r="O25" s="157">
        <f>($L25*(Table!$AC$10/Table!$AC$9)/(Table!$AC$12-Table!$AC$14))</f>
        <v>1.1350419483049052</v>
      </c>
      <c r="P25" s="157">
        <f>$N25*(Table!$AE$10/Table!$AE$9)/(Table!$AC$12-Table!$AC$13)</f>
        <v>1.881211085117698</v>
      </c>
      <c r="Q25" s="157">
        <f>'Raw Data'!C25</f>
        <v>0</v>
      </c>
      <c r="R25" s="157">
        <f>'Raw Data'!C25/'Raw Data'!I$23*100</f>
        <v>0</v>
      </c>
      <c r="S25" s="95">
        <f t="shared" si="7"/>
        <v>0</v>
      </c>
      <c r="T25" s="95">
        <f t="shared" si="8"/>
        <v>1</v>
      </c>
      <c r="U25" s="71">
        <f t="shared" si="9"/>
        <v>0</v>
      </c>
      <c r="V25" s="71">
        <f t="shared" si="10"/>
        <v>0</v>
      </c>
      <c r="W25" s="71">
        <f t="shared" si="11"/>
        <v>0</v>
      </c>
      <c r="X25" s="42">
        <f t="shared" si="12"/>
        <v>0</v>
      </c>
      <c r="AN25" s="13">
        <f>$E29</f>
        <v>26.987923271319225</v>
      </c>
      <c r="AO25" s="66">
        <f>$B29</f>
        <v>0</v>
      </c>
      <c r="AP25" s="66">
        <f t="shared" si="0"/>
        <v>0</v>
      </c>
      <c r="AR25" s="102">
        <v>23.954008145687514</v>
      </c>
      <c r="AS25" s="150"/>
      <c r="AT25" s="150"/>
      <c r="AU25" s="43"/>
      <c r="AV25" s="72"/>
    </row>
    <row r="26" spans="1:48" ht="12.4" customHeight="1" x14ac:dyDescent="0.2">
      <c r="A26" s="157">
        <f>'Raw Data'!A26</f>
        <v>3.092841625213623</v>
      </c>
      <c r="B26" s="8">
        <f>'Raw Data'!E26</f>
        <v>0</v>
      </c>
      <c r="C26" s="8">
        <f t="shared" si="1"/>
        <v>1</v>
      </c>
      <c r="D26" s="80">
        <f t="shared" si="2"/>
        <v>0</v>
      </c>
      <c r="E26" s="70">
        <f>(2*Table!$AC$16*0.147)/A26</f>
        <v>35.317125925188783</v>
      </c>
      <c r="F26" s="70">
        <f t="shared" si="3"/>
        <v>70.634251850377566</v>
      </c>
      <c r="G26" s="157">
        <f>IF((('Raw Data'!C26)/('Raw Data'!C$136)*100)&lt;0,0,('Raw Data'!C26)/('Raw Data'!C$136)*100)</f>
        <v>0</v>
      </c>
      <c r="H26" s="157">
        <f t="shared" si="4"/>
        <v>0</v>
      </c>
      <c r="I26" s="146">
        <f t="shared" si="5"/>
        <v>4.1875835117709315E-2</v>
      </c>
      <c r="J26" s="70">
        <f>'Raw Data'!F26/I26</f>
        <v>0</v>
      </c>
      <c r="K26" s="138">
        <f t="shared" si="6"/>
        <v>3.8645903162631806E-2</v>
      </c>
      <c r="L26" s="157">
        <f>A26*Table!$AC$9/$AC$16</f>
        <v>0.58272012404389872</v>
      </c>
      <c r="M26" s="157">
        <f>A26*Table!$AD$9/$AC$16</f>
        <v>0.19978975681505098</v>
      </c>
      <c r="N26" s="157">
        <f>ABS(A26*Table!$AE$9/$AC$16)</f>
        <v>0.25232521535921781</v>
      </c>
      <c r="O26" s="157">
        <f>($L26*(Table!$AC$10/Table!$AC$9)/(Table!$AC$12-Table!$AC$14))</f>
        <v>1.2499359160100789</v>
      </c>
      <c r="P26" s="157">
        <f>$N26*(Table!$AE$10/Table!$AE$9)/(Table!$AC$12-Table!$AC$13)</f>
        <v>2.0716355940822475</v>
      </c>
      <c r="Q26" s="157">
        <f>'Raw Data'!C26</f>
        <v>0</v>
      </c>
      <c r="R26" s="157">
        <f>'Raw Data'!C26/'Raw Data'!I$23*100</f>
        <v>0</v>
      </c>
      <c r="S26" s="95">
        <f t="shared" si="7"/>
        <v>0</v>
      </c>
      <c r="T26" s="95">
        <f t="shared" si="8"/>
        <v>1</v>
      </c>
      <c r="U26" s="71">
        <f t="shared" si="9"/>
        <v>0</v>
      </c>
      <c r="V26" s="71">
        <f t="shared" si="10"/>
        <v>0</v>
      </c>
      <c r="W26" s="71">
        <f t="shared" si="11"/>
        <v>0</v>
      </c>
      <c r="X26" s="42">
        <f t="shared" si="12"/>
        <v>0</v>
      </c>
      <c r="AN26" s="13">
        <f>$E21</f>
        <v>54.520780522342882</v>
      </c>
      <c r="AO26" s="66">
        <f>$B22</f>
        <v>0</v>
      </c>
      <c r="AP26" s="66">
        <f t="shared" si="0"/>
        <v>0</v>
      </c>
      <c r="AR26" s="102">
        <v>51.76790385987443</v>
      </c>
      <c r="AS26" s="150"/>
      <c r="AT26" s="150"/>
      <c r="AU26" s="43"/>
      <c r="AV26" s="72"/>
    </row>
    <row r="27" spans="1:48" ht="12.4" customHeight="1" x14ac:dyDescent="0.2">
      <c r="A27" s="157">
        <f>'Raw Data'!A27</f>
        <v>3.3805665969848633</v>
      </c>
      <c r="B27" s="8">
        <f>'Raw Data'!E27</f>
        <v>0</v>
      </c>
      <c r="C27" s="8">
        <f t="shared" si="1"/>
        <v>1</v>
      </c>
      <c r="D27" s="80">
        <f t="shared" si="2"/>
        <v>0</v>
      </c>
      <c r="E27" s="70">
        <f>(2*Table!$AC$16*0.147)/A27</f>
        <v>32.311233638100141</v>
      </c>
      <c r="F27" s="70">
        <f t="shared" si="3"/>
        <v>64.622467276200283</v>
      </c>
      <c r="G27" s="157">
        <f>IF((('Raw Data'!C27)/('Raw Data'!C$136)*100)&lt;0,0,('Raw Data'!C27)/('Raw Data'!C$136)*100)</f>
        <v>0</v>
      </c>
      <c r="H27" s="157">
        <f t="shared" si="4"/>
        <v>0</v>
      </c>
      <c r="I27" s="146">
        <f t="shared" si="5"/>
        <v>3.8631814230125627E-2</v>
      </c>
      <c r="J27" s="70">
        <f>'Raw Data'!F27/I27</f>
        <v>0</v>
      </c>
      <c r="K27" s="138">
        <f t="shared" si="6"/>
        <v>4.2241105485923837E-2</v>
      </c>
      <c r="L27" s="157">
        <f>A27*Table!$AC$9/$AC$16</f>
        <v>0.63693018442145977</v>
      </c>
      <c r="M27" s="157">
        <f>A27*Table!$AD$9/$AC$16</f>
        <v>0.21837606323021477</v>
      </c>
      <c r="N27" s="157">
        <f>ABS(A27*Table!$AE$9/$AC$16)</f>
        <v>0.27579886007304583</v>
      </c>
      <c r="O27" s="157">
        <f>($L27*(Table!$AC$10/Table!$AC$9)/(Table!$AC$12-Table!$AC$14))</f>
        <v>1.3662166118006431</v>
      </c>
      <c r="P27" s="157">
        <f>$N27*(Table!$AE$10/Table!$AE$9)/(Table!$AC$12-Table!$AC$13)</f>
        <v>2.2643584570857613</v>
      </c>
      <c r="Q27" s="157">
        <f>'Raw Data'!C27</f>
        <v>0</v>
      </c>
      <c r="R27" s="157">
        <f>'Raw Data'!C27/'Raw Data'!I$23*100</f>
        <v>0</v>
      </c>
      <c r="S27" s="95">
        <f t="shared" si="7"/>
        <v>0</v>
      </c>
      <c r="T27" s="95">
        <f t="shared" si="8"/>
        <v>1</v>
      </c>
      <c r="U27" s="71">
        <f t="shared" si="9"/>
        <v>0</v>
      </c>
      <c r="V27" s="71">
        <f t="shared" si="10"/>
        <v>0</v>
      </c>
      <c r="W27" s="71">
        <f t="shared" si="11"/>
        <v>0</v>
      </c>
      <c r="X27" s="42">
        <f t="shared" si="12"/>
        <v>0</v>
      </c>
      <c r="AN27" s="13">
        <f>$E18</f>
        <v>72.286537145508575</v>
      </c>
      <c r="AO27" s="66">
        <f>$B18</f>
        <v>0</v>
      </c>
      <c r="AP27" s="66">
        <f t="shared" si="0"/>
        <v>0</v>
      </c>
      <c r="AR27" s="102">
        <v>72.33793188366559</v>
      </c>
      <c r="AS27" s="150"/>
      <c r="AT27" s="150"/>
      <c r="AU27" s="43"/>
      <c r="AV27" s="72"/>
    </row>
    <row r="28" spans="1:48" ht="12.4" customHeight="1" x14ac:dyDescent="0.2">
      <c r="A28" s="157">
        <f>'Raw Data'!A28</f>
        <v>3.7120962142944336</v>
      </c>
      <c r="B28" s="8">
        <f>'Raw Data'!E28</f>
        <v>0</v>
      </c>
      <c r="C28" s="8">
        <f t="shared" si="1"/>
        <v>1</v>
      </c>
      <c r="D28" s="80">
        <f t="shared" si="2"/>
        <v>0</v>
      </c>
      <c r="E28" s="70">
        <f>(2*Table!$AC$16*0.147)/A28</f>
        <v>29.42549730357587</v>
      </c>
      <c r="F28" s="70">
        <f t="shared" si="3"/>
        <v>58.85099460715174</v>
      </c>
      <c r="G28" s="157">
        <f>IF((('Raw Data'!C28)/('Raw Data'!C$136)*100)&lt;0,0,('Raw Data'!C28)/('Raw Data'!C$136)*100)</f>
        <v>0</v>
      </c>
      <c r="H28" s="157">
        <f t="shared" si="4"/>
        <v>0</v>
      </c>
      <c r="I28" s="146">
        <f t="shared" si="5"/>
        <v>4.062972829172895E-2</v>
      </c>
      <c r="J28" s="70">
        <f>'Raw Data'!F28/I28</f>
        <v>0</v>
      </c>
      <c r="K28" s="138">
        <f t="shared" si="6"/>
        <v>4.6383658852265419E-2</v>
      </c>
      <c r="L28" s="157">
        <f>A28*Table!$AC$9/$AC$16</f>
        <v>0.69939344737936027</v>
      </c>
      <c r="M28" s="157">
        <f>A28*Table!$AD$9/$AC$16</f>
        <v>0.23979203910149496</v>
      </c>
      <c r="N28" s="157">
        <f>ABS(A28*Table!$AE$9/$AC$16)</f>
        <v>0.30284624633545054</v>
      </c>
      <c r="O28" s="157">
        <f>($L28*(Table!$AC$10/Table!$AC$9)/(Table!$AC$12-Table!$AC$14))</f>
        <v>1.5002004448291728</v>
      </c>
      <c r="P28" s="157">
        <f>$N28*(Table!$AE$10/Table!$AE$9)/(Table!$AC$12-Table!$AC$13)</f>
        <v>2.4864223837064898</v>
      </c>
      <c r="Q28" s="157">
        <f>'Raw Data'!C28</f>
        <v>0</v>
      </c>
      <c r="R28" s="157">
        <f>'Raw Data'!C28/'Raw Data'!I$23*100</f>
        <v>0</v>
      </c>
      <c r="S28" s="95">
        <f t="shared" si="7"/>
        <v>0</v>
      </c>
      <c r="T28" s="95">
        <f t="shared" si="8"/>
        <v>1</v>
      </c>
      <c r="U28" s="71">
        <f t="shared" si="9"/>
        <v>0</v>
      </c>
      <c r="V28" s="71">
        <f t="shared" si="10"/>
        <v>0</v>
      </c>
      <c r="W28" s="71">
        <f t="shared" si="11"/>
        <v>0</v>
      </c>
      <c r="X28" s="42">
        <f t="shared" si="12"/>
        <v>0</v>
      </c>
      <c r="AN28" s="60"/>
      <c r="AO28" s="66"/>
      <c r="AP28" s="66"/>
      <c r="AS28" s="150"/>
      <c r="AT28" s="150"/>
      <c r="AU28" s="72"/>
      <c r="AV28" s="72"/>
    </row>
    <row r="29" spans="1:48" ht="12.4" customHeight="1" x14ac:dyDescent="0.2">
      <c r="A29" s="157">
        <f>'Raw Data'!A29</f>
        <v>4.0473761558532715</v>
      </c>
      <c r="B29" s="8">
        <f>'Raw Data'!E29</f>
        <v>0</v>
      </c>
      <c r="C29" s="8">
        <f t="shared" si="1"/>
        <v>1</v>
      </c>
      <c r="D29" s="80">
        <f t="shared" si="2"/>
        <v>0</v>
      </c>
      <c r="E29" s="70">
        <f>(2*Table!$AC$16*0.147)/A29</f>
        <v>26.987923271319225</v>
      </c>
      <c r="F29" s="70">
        <f t="shared" si="3"/>
        <v>53.97584654263845</v>
      </c>
      <c r="G29" s="157">
        <f>IF((('Raw Data'!C29)/('Raw Data'!C$136)*100)&lt;0,0,('Raw Data'!C29)/('Raw Data'!C$136)*100)</f>
        <v>0</v>
      </c>
      <c r="H29" s="157">
        <f t="shared" si="4"/>
        <v>0</v>
      </c>
      <c r="I29" s="146">
        <f t="shared" si="5"/>
        <v>3.7554344587883204E-2</v>
      </c>
      <c r="J29" s="70">
        <f>'Raw Data'!F29/I29</f>
        <v>0</v>
      </c>
      <c r="K29" s="138">
        <f t="shared" si="6"/>
        <v>5.057307354722599E-2</v>
      </c>
      <c r="L29" s="157">
        <f>A29*Table!$AC$9/$AC$16</f>
        <v>0.76256330630193048</v>
      </c>
      <c r="M29" s="157">
        <f>A29*Table!$AD$9/$AC$16</f>
        <v>0.26145027644637614</v>
      </c>
      <c r="N29" s="157">
        <f>ABS(A29*Table!$AE$9/$AC$16)</f>
        <v>0.33019959762566298</v>
      </c>
      <c r="O29" s="157">
        <f>($L29*(Table!$AC$10/Table!$AC$9)/(Table!$AC$12-Table!$AC$14))</f>
        <v>1.635699927717569</v>
      </c>
      <c r="P29" s="157">
        <f>$N29*(Table!$AE$10/Table!$AE$9)/(Table!$AC$12-Table!$AC$13)</f>
        <v>2.7109983384701386</v>
      </c>
      <c r="Q29" s="157">
        <f>'Raw Data'!C29</f>
        <v>0</v>
      </c>
      <c r="R29" s="157">
        <f>'Raw Data'!C29/'Raw Data'!I$23*100</f>
        <v>0</v>
      </c>
      <c r="S29" s="95">
        <f t="shared" si="7"/>
        <v>0</v>
      </c>
      <c r="T29" s="95">
        <f t="shared" si="8"/>
        <v>1</v>
      </c>
      <c r="U29" s="71">
        <f t="shared" si="9"/>
        <v>0</v>
      </c>
      <c r="V29" s="71">
        <f t="shared" si="10"/>
        <v>0</v>
      </c>
      <c r="W29" s="71">
        <f t="shared" si="11"/>
        <v>0</v>
      </c>
      <c r="X29" s="42">
        <f t="shared" si="12"/>
        <v>0</v>
      </c>
      <c r="AS29" s="150"/>
      <c r="AT29" s="150"/>
    </row>
    <row r="30" spans="1:48" ht="12.4" customHeight="1" x14ac:dyDescent="0.2">
      <c r="A30" s="157">
        <f>'Raw Data'!A30</f>
        <v>4.4245462417602539</v>
      </c>
      <c r="B30" s="8">
        <f>'Raw Data'!E30</f>
        <v>0</v>
      </c>
      <c r="C30" s="8">
        <f t="shared" si="1"/>
        <v>1</v>
      </c>
      <c r="D30" s="80">
        <f t="shared" si="2"/>
        <v>0</v>
      </c>
      <c r="E30" s="70">
        <f>(2*Table!$AC$16*0.147)/A30</f>
        <v>24.687339938587478</v>
      </c>
      <c r="F30" s="70">
        <f t="shared" si="3"/>
        <v>49.374679877174955</v>
      </c>
      <c r="G30" s="157">
        <f>IF((('Raw Data'!C30)/('Raw Data'!C$136)*100)&lt;0,0,('Raw Data'!C30)/('Raw Data'!C$136)*100)</f>
        <v>0</v>
      </c>
      <c r="H30" s="157">
        <f t="shared" si="4"/>
        <v>0</v>
      </c>
      <c r="I30" s="146">
        <f t="shared" si="5"/>
        <v>3.8695169540352126E-2</v>
      </c>
      <c r="J30" s="70">
        <f>'Raw Data'!F30/I30</f>
        <v>0</v>
      </c>
      <c r="K30" s="138">
        <f t="shared" si="6"/>
        <v>5.5285917068528499E-2</v>
      </c>
      <c r="L30" s="157">
        <f>A30*Table!$AC$9/$AC$16</f>
        <v>0.83362565797672217</v>
      </c>
      <c r="M30" s="157">
        <f>A30*Table!$AD$9/$AC$16</f>
        <v>0.28581451130630475</v>
      </c>
      <c r="N30" s="157">
        <f>ABS(A30*Table!$AE$9/$AC$16)</f>
        <v>0.36097049852717955</v>
      </c>
      <c r="O30" s="157">
        <f>($L30*(Table!$AC$10/Table!$AC$9)/(Table!$AC$12-Table!$AC$14))</f>
        <v>1.788128824488894</v>
      </c>
      <c r="P30" s="157">
        <f>$N30*(Table!$AE$10/Table!$AE$9)/(Table!$AC$12-Table!$AC$13)</f>
        <v>2.9636329928339857</v>
      </c>
      <c r="Q30" s="157">
        <f>'Raw Data'!C30</f>
        <v>0</v>
      </c>
      <c r="R30" s="157">
        <f>'Raw Data'!C30/'Raw Data'!I$23*100</f>
        <v>0</v>
      </c>
      <c r="S30" s="95">
        <f t="shared" si="7"/>
        <v>0</v>
      </c>
      <c r="T30" s="95">
        <f t="shared" si="8"/>
        <v>1</v>
      </c>
      <c r="U30" s="71">
        <f t="shared" si="9"/>
        <v>0</v>
      </c>
      <c r="V30" s="71">
        <f t="shared" si="10"/>
        <v>0</v>
      </c>
      <c r="W30" s="71">
        <f t="shared" si="11"/>
        <v>0</v>
      </c>
      <c r="X30" s="42">
        <f t="shared" si="12"/>
        <v>0</v>
      </c>
      <c r="AS30" s="150"/>
      <c r="AT30" s="150"/>
    </row>
    <row r="31" spans="1:48" ht="12.4" customHeight="1" x14ac:dyDescent="0.2">
      <c r="A31" s="157">
        <f>'Raw Data'!A31</f>
        <v>4.8120889663696289</v>
      </c>
      <c r="B31" s="8">
        <f>'Raw Data'!E31</f>
        <v>0</v>
      </c>
      <c r="C31" s="8">
        <f t="shared" si="1"/>
        <v>1</v>
      </c>
      <c r="D31" s="80">
        <f t="shared" si="2"/>
        <v>0</v>
      </c>
      <c r="E31" s="70">
        <f>(2*Table!$AC$16*0.147)/A31</f>
        <v>22.699139169644518</v>
      </c>
      <c r="F31" s="70">
        <f t="shared" si="3"/>
        <v>45.398278339289035</v>
      </c>
      <c r="G31" s="157">
        <f>IF((('Raw Data'!C31)/('Raw Data'!C$136)*100)&lt;0,0,('Raw Data'!C31)/('Raw Data'!C$136)*100)</f>
        <v>0</v>
      </c>
      <c r="H31" s="157">
        <f t="shared" si="4"/>
        <v>0</v>
      </c>
      <c r="I31" s="146">
        <f t="shared" si="5"/>
        <v>3.6464909665807177E-2</v>
      </c>
      <c r="J31" s="70">
        <f>'Raw Data'!F31/I31</f>
        <v>0</v>
      </c>
      <c r="K31" s="138">
        <f t="shared" si="6"/>
        <v>6.0128369551235863E-2</v>
      </c>
      <c r="L31" s="157">
        <f>A31*Table!$AC$9/$AC$16</f>
        <v>0.90664231124330752</v>
      </c>
      <c r="M31" s="157">
        <f>A31*Table!$AD$9/$AC$16</f>
        <v>0.31084879242627683</v>
      </c>
      <c r="N31" s="157">
        <f>ABS(A31*Table!$AE$9/$AC$16)</f>
        <v>0.39258763684127107</v>
      </c>
      <c r="O31" s="157">
        <f>($L31*(Table!$AC$10/Table!$AC$9)/(Table!$AC$12-Table!$AC$14))</f>
        <v>1.9447497023665974</v>
      </c>
      <c r="P31" s="157">
        <f>$N31*(Table!$AE$10/Table!$AE$9)/(Table!$AC$12-Table!$AC$13)</f>
        <v>3.2232154092058374</v>
      </c>
      <c r="Q31" s="157">
        <f>'Raw Data'!C31</f>
        <v>0</v>
      </c>
      <c r="R31" s="157">
        <f>'Raw Data'!C31/'Raw Data'!I$23*100</f>
        <v>0</v>
      </c>
      <c r="S31" s="95">
        <f t="shared" si="7"/>
        <v>0</v>
      </c>
      <c r="T31" s="95">
        <f t="shared" si="8"/>
        <v>1</v>
      </c>
      <c r="U31" s="71">
        <f t="shared" si="9"/>
        <v>0</v>
      </c>
      <c r="V31" s="71">
        <f t="shared" si="10"/>
        <v>0</v>
      </c>
      <c r="W31" s="71">
        <f t="shared" si="11"/>
        <v>0</v>
      </c>
      <c r="X31" s="42">
        <f t="shared" si="12"/>
        <v>0</v>
      </c>
      <c r="AS31" s="150"/>
      <c r="AT31" s="150"/>
    </row>
    <row r="32" spans="1:48" ht="12.4" customHeight="1" x14ac:dyDescent="0.2">
      <c r="A32" s="157">
        <f>'Raw Data'!A32</f>
        <v>5.2726402282714844</v>
      </c>
      <c r="B32" s="8">
        <f>'Raw Data'!E32</f>
        <v>0</v>
      </c>
      <c r="C32" s="8">
        <f t="shared" si="1"/>
        <v>1</v>
      </c>
      <c r="D32" s="80">
        <f t="shared" si="2"/>
        <v>0</v>
      </c>
      <c r="E32" s="70">
        <f>(2*Table!$AC$16*0.147)/A32</f>
        <v>20.716429040360243</v>
      </c>
      <c r="F32" s="70">
        <f t="shared" si="3"/>
        <v>41.432858080720486</v>
      </c>
      <c r="G32" s="157">
        <f>IF((('Raw Data'!C32)/('Raw Data'!C$136)*100)&lt;0,0,('Raw Data'!C32)/('Raw Data'!C$136)*100)</f>
        <v>0</v>
      </c>
      <c r="H32" s="157">
        <f t="shared" si="4"/>
        <v>0</v>
      </c>
      <c r="I32" s="146">
        <f t="shared" si="5"/>
        <v>3.9694490804203619E-2</v>
      </c>
      <c r="J32" s="70">
        <f>'Raw Data'!F32/I32</f>
        <v>0</v>
      </c>
      <c r="K32" s="138">
        <f t="shared" si="6"/>
        <v>6.5883083702710607E-2</v>
      </c>
      <c r="L32" s="157">
        <f>A32*Table!$AC$9/$AC$16</f>
        <v>0.99341445187805044</v>
      </c>
      <c r="M32" s="157">
        <f>A32*Table!$AD$9/$AC$16</f>
        <v>0.34059924064390301</v>
      </c>
      <c r="N32" s="157">
        <f>ABS(A32*Table!$AE$9/$AC$16)</f>
        <v>0.43016107590649272</v>
      </c>
      <c r="O32" s="157">
        <f>($L32*(Table!$AC$10/Table!$AC$9)/(Table!$AC$12-Table!$AC$14))</f>
        <v>2.1308761301545487</v>
      </c>
      <c r="P32" s="157">
        <f>$N32*(Table!$AE$10/Table!$AE$9)/(Table!$AC$12-Table!$AC$13)</f>
        <v>3.5317001305951776</v>
      </c>
      <c r="Q32" s="157">
        <f>'Raw Data'!C32</f>
        <v>0</v>
      </c>
      <c r="R32" s="157">
        <f>'Raw Data'!C32/'Raw Data'!I$23*100</f>
        <v>0</v>
      </c>
      <c r="S32" s="95">
        <f t="shared" si="7"/>
        <v>0</v>
      </c>
      <c r="T32" s="95">
        <f t="shared" si="8"/>
        <v>1</v>
      </c>
      <c r="U32" s="71">
        <f t="shared" si="9"/>
        <v>0</v>
      </c>
      <c r="V32" s="71">
        <f t="shared" si="10"/>
        <v>0</v>
      </c>
      <c r="W32" s="71">
        <f t="shared" si="11"/>
        <v>0</v>
      </c>
      <c r="X32" s="42">
        <f t="shared" si="12"/>
        <v>0</v>
      </c>
      <c r="AS32" s="150"/>
      <c r="AT32" s="150"/>
    </row>
    <row r="33" spans="1:46" ht="12.4" customHeight="1" x14ac:dyDescent="0.2">
      <c r="A33" s="157">
        <f>'Raw Data'!A33</f>
        <v>5.7738046646118164</v>
      </c>
      <c r="B33" s="8">
        <f>'Raw Data'!E33</f>
        <v>0</v>
      </c>
      <c r="C33" s="8">
        <f t="shared" si="1"/>
        <v>1</v>
      </c>
      <c r="D33" s="80">
        <f t="shared" si="2"/>
        <v>0</v>
      </c>
      <c r="E33" s="70">
        <f>(2*Table!$AC$16*0.147)/A33</f>
        <v>18.918249488732712</v>
      </c>
      <c r="F33" s="70">
        <f t="shared" si="3"/>
        <v>37.836498977465425</v>
      </c>
      <c r="G33" s="157">
        <f>IF((('Raw Data'!C33)/('Raw Data'!C$136)*100)&lt;0,0,('Raw Data'!C33)/('Raw Data'!C$136)*100)</f>
        <v>0</v>
      </c>
      <c r="H33" s="157">
        <f t="shared" si="4"/>
        <v>0</v>
      </c>
      <c r="I33" s="146">
        <f t="shared" si="5"/>
        <v>3.9433948216102799E-2</v>
      </c>
      <c r="J33" s="70">
        <f>'Raw Data'!F33/I33</f>
        <v>0</v>
      </c>
      <c r="K33" s="138">
        <f t="shared" si="6"/>
        <v>7.2145270591774377E-2</v>
      </c>
      <c r="L33" s="157">
        <f>A33*Table!$AC$9/$AC$16</f>
        <v>1.0878384922588629</v>
      </c>
      <c r="M33" s="157">
        <f>A33*Table!$AD$9/$AC$16</f>
        <v>0.37297319734589585</v>
      </c>
      <c r="N33" s="157">
        <f>ABS(A33*Table!$AE$9/$AC$16)</f>
        <v>0.47104788475536835</v>
      </c>
      <c r="O33" s="157">
        <f>($L33*(Table!$AC$10/Table!$AC$9)/(Table!$AC$12-Table!$AC$14))</f>
        <v>2.3334158993111607</v>
      </c>
      <c r="P33" s="157">
        <f>$N33*(Table!$AE$10/Table!$AE$9)/(Table!$AC$12-Table!$AC$13)</f>
        <v>3.8673882163823334</v>
      </c>
      <c r="Q33" s="157">
        <f>'Raw Data'!C33</f>
        <v>0</v>
      </c>
      <c r="R33" s="157">
        <f>'Raw Data'!C33/'Raw Data'!I$23*100</f>
        <v>0</v>
      </c>
      <c r="S33" s="95">
        <f t="shared" si="7"/>
        <v>0</v>
      </c>
      <c r="T33" s="95">
        <f t="shared" si="8"/>
        <v>1</v>
      </c>
      <c r="U33" s="71">
        <f t="shared" si="9"/>
        <v>0</v>
      </c>
      <c r="V33" s="71">
        <f t="shared" si="10"/>
        <v>0</v>
      </c>
      <c r="W33" s="71">
        <f t="shared" si="11"/>
        <v>0</v>
      </c>
      <c r="X33" s="42">
        <f t="shared" si="12"/>
        <v>0</v>
      </c>
      <c r="AS33" s="150"/>
      <c r="AT33" s="150"/>
    </row>
    <row r="34" spans="1:46" ht="12.4" customHeight="1" x14ac:dyDescent="0.2">
      <c r="A34" s="157">
        <f>'Raw Data'!A34</f>
        <v>6.3101568222045898</v>
      </c>
      <c r="B34" s="8">
        <f>'Raw Data'!E34</f>
        <v>0</v>
      </c>
      <c r="C34" s="8">
        <f t="shared" si="1"/>
        <v>1</v>
      </c>
      <c r="D34" s="80">
        <f t="shared" si="2"/>
        <v>0</v>
      </c>
      <c r="E34" s="70">
        <f>(2*Table!$AC$16*0.147)/A34</f>
        <v>17.310231777436726</v>
      </c>
      <c r="F34" s="70">
        <f t="shared" si="3"/>
        <v>34.620463554873453</v>
      </c>
      <c r="G34" s="157">
        <f>IF((('Raw Data'!C34)/('Raw Data'!C$136)*100)&lt;0,0,('Raw Data'!C34)/('Raw Data'!C$136)*100)</f>
        <v>0</v>
      </c>
      <c r="H34" s="157">
        <f t="shared" si="4"/>
        <v>0</v>
      </c>
      <c r="I34" s="146">
        <f t="shared" si="5"/>
        <v>3.8578065574225606E-2</v>
      </c>
      <c r="J34" s="70">
        <f>'Raw Data'!F34/I34</f>
        <v>0</v>
      </c>
      <c r="K34" s="138">
        <f t="shared" si="6"/>
        <v>7.8847137694965375E-2</v>
      </c>
      <c r="L34" s="157">
        <f>A34*Table!$AC$9/$AC$16</f>
        <v>1.1888922265515414</v>
      </c>
      <c r="M34" s="157">
        <f>A34*Table!$AD$9/$AC$16</f>
        <v>0.40762019196052851</v>
      </c>
      <c r="N34" s="157">
        <f>ABS(A34*Table!$AE$9/$AC$16)</f>
        <v>0.51480543527773948</v>
      </c>
      <c r="O34" s="157">
        <f>($L34*(Table!$AC$10/Table!$AC$9)/(Table!$AC$12-Table!$AC$14))</f>
        <v>2.5501763761294329</v>
      </c>
      <c r="P34" s="157">
        <f>$N34*(Table!$AE$10/Table!$AE$9)/(Table!$AC$12-Table!$AC$13)</f>
        <v>4.2266456098336569</v>
      </c>
      <c r="Q34" s="157">
        <f>'Raw Data'!C34</f>
        <v>0</v>
      </c>
      <c r="R34" s="157">
        <f>'Raw Data'!C34/'Raw Data'!I$23*100</f>
        <v>0</v>
      </c>
      <c r="S34" s="95">
        <f t="shared" si="7"/>
        <v>0</v>
      </c>
      <c r="T34" s="95">
        <f t="shared" si="8"/>
        <v>1</v>
      </c>
      <c r="U34" s="71">
        <f t="shared" si="9"/>
        <v>0</v>
      </c>
      <c r="V34" s="71">
        <f t="shared" si="10"/>
        <v>0</v>
      </c>
      <c r="W34" s="71">
        <f t="shared" si="11"/>
        <v>0</v>
      </c>
      <c r="X34" s="42">
        <f t="shared" si="12"/>
        <v>0</v>
      </c>
      <c r="AS34" s="150"/>
      <c r="AT34" s="150"/>
    </row>
    <row r="35" spans="1:46" ht="12.4" customHeight="1" x14ac:dyDescent="0.2">
      <c r="A35" s="157">
        <f>'Raw Data'!A35</f>
        <v>6.9004478454589844</v>
      </c>
      <c r="B35" s="8">
        <f>'Raw Data'!E35</f>
        <v>0</v>
      </c>
      <c r="C35" s="8">
        <f t="shared" si="1"/>
        <v>1</v>
      </c>
      <c r="D35" s="80">
        <f t="shared" si="2"/>
        <v>0</v>
      </c>
      <c r="E35" s="70">
        <f>(2*Table!$AC$16*0.147)/A35</f>
        <v>15.829447535962005</v>
      </c>
      <c r="F35" s="70">
        <f t="shared" si="3"/>
        <v>31.658895071924011</v>
      </c>
      <c r="G35" s="157">
        <f>IF((('Raw Data'!C35)/('Raw Data'!C$136)*100)&lt;0,0,('Raw Data'!C35)/('Raw Data'!C$136)*100)</f>
        <v>0</v>
      </c>
      <c r="H35" s="157">
        <f t="shared" si="4"/>
        <v>0</v>
      </c>
      <c r="I35" s="146">
        <f t="shared" si="5"/>
        <v>3.8837125150975593E-2</v>
      </c>
      <c r="J35" s="70">
        <f>'Raw Data'!F35/I35</f>
        <v>0</v>
      </c>
      <c r="K35" s="138">
        <f t="shared" si="6"/>
        <v>8.6222985697167714E-2</v>
      </c>
      <c r="L35" s="157">
        <f>A35*Table!$AC$9/$AC$16</f>
        <v>1.3001085447388792</v>
      </c>
      <c r="M35" s="157">
        <f>A35*Table!$AD$9/$AC$16</f>
        <v>0.44575150105333</v>
      </c>
      <c r="N35" s="157">
        <f>ABS(A35*Table!$AE$9/$AC$16)</f>
        <v>0.56296351371054343</v>
      </c>
      <c r="O35" s="157">
        <f>($L35*(Table!$AC$10/Table!$AC$9)/(Table!$AC$12-Table!$AC$14))</f>
        <v>2.7887356172005133</v>
      </c>
      <c r="P35" s="157">
        <f>$N35*(Table!$AE$10/Table!$AE$9)/(Table!$AC$12-Table!$AC$13)</f>
        <v>4.6220321322704709</v>
      </c>
      <c r="Q35" s="157">
        <f>'Raw Data'!C35</f>
        <v>0</v>
      </c>
      <c r="R35" s="157">
        <f>'Raw Data'!C35/'Raw Data'!I$23*100</f>
        <v>0</v>
      </c>
      <c r="S35" s="95">
        <f t="shared" si="7"/>
        <v>0</v>
      </c>
      <c r="T35" s="95">
        <f t="shared" si="8"/>
        <v>1</v>
      </c>
      <c r="U35" s="71">
        <f t="shared" si="9"/>
        <v>0</v>
      </c>
      <c r="V35" s="71">
        <f t="shared" si="10"/>
        <v>0</v>
      </c>
      <c r="W35" s="71">
        <f t="shared" si="11"/>
        <v>0</v>
      </c>
      <c r="X35" s="42">
        <f t="shared" si="12"/>
        <v>0</v>
      </c>
      <c r="AS35" s="150"/>
      <c r="AT35" s="150"/>
    </row>
    <row r="36" spans="1:46" ht="12.4" customHeight="1" x14ac:dyDescent="0.2">
      <c r="A36" s="157">
        <f>'Raw Data'!A36</f>
        <v>7.549065113067627</v>
      </c>
      <c r="B36" s="8">
        <f>'Raw Data'!E36</f>
        <v>0</v>
      </c>
      <c r="C36" s="8">
        <f t="shared" si="1"/>
        <v>1</v>
      </c>
      <c r="D36" s="80">
        <f t="shared" si="2"/>
        <v>0</v>
      </c>
      <c r="E36" s="70">
        <f>(2*Table!$AC$16*0.147)/A36</f>
        <v>14.469378063153094</v>
      </c>
      <c r="F36" s="70">
        <f t="shared" si="3"/>
        <v>28.938756126306188</v>
      </c>
      <c r="G36" s="157">
        <f>IF((('Raw Data'!C36)/('Raw Data'!C$136)*100)&lt;0,0,('Raw Data'!C36)/('Raw Data'!C$136)*100)</f>
        <v>0</v>
      </c>
      <c r="H36" s="157">
        <f t="shared" si="4"/>
        <v>0</v>
      </c>
      <c r="I36" s="146">
        <f t="shared" si="5"/>
        <v>3.9015893548293601E-2</v>
      </c>
      <c r="J36" s="70">
        <f>'Raw Data'!F36/I36</f>
        <v>0</v>
      </c>
      <c r="K36" s="138">
        <f t="shared" si="6"/>
        <v>9.4327636096744244E-2</v>
      </c>
      <c r="L36" s="157">
        <f>A36*Table!$AC$9/$AC$16</f>
        <v>1.4223140697669565</v>
      </c>
      <c r="M36" s="157">
        <f>A36*Table!$AD$9/$AC$16</f>
        <v>0.48765053820581367</v>
      </c>
      <c r="N36" s="157">
        <f>ABS(A36*Table!$AE$9/$AC$16)</f>
        <v>0.61588005828910841</v>
      </c>
      <c r="O36" s="157">
        <f>($L36*(Table!$AC$10/Table!$AC$9)/(Table!$AC$12-Table!$AC$14))</f>
        <v>3.0508667305168524</v>
      </c>
      <c r="P36" s="157">
        <f>$N36*(Table!$AE$10/Table!$AE$9)/(Table!$AC$12-Table!$AC$13)</f>
        <v>5.056486521257046</v>
      </c>
      <c r="Q36" s="157">
        <f>'Raw Data'!C36</f>
        <v>0</v>
      </c>
      <c r="R36" s="157">
        <f>'Raw Data'!C36/'Raw Data'!I$23*100</f>
        <v>0</v>
      </c>
      <c r="S36" s="95">
        <f t="shared" si="7"/>
        <v>0</v>
      </c>
      <c r="T36" s="95">
        <f t="shared" si="8"/>
        <v>1</v>
      </c>
      <c r="U36" s="71">
        <f t="shared" si="9"/>
        <v>0</v>
      </c>
      <c r="V36" s="71">
        <f t="shared" si="10"/>
        <v>0</v>
      </c>
      <c r="W36" s="71">
        <f t="shared" si="11"/>
        <v>0</v>
      </c>
      <c r="X36" s="42">
        <f t="shared" si="12"/>
        <v>0</v>
      </c>
      <c r="AS36" s="150"/>
      <c r="AT36" s="150"/>
    </row>
    <row r="37" spans="1:46" ht="12.4" customHeight="1" x14ac:dyDescent="0.2">
      <c r="A37" s="157">
        <f>'Raw Data'!A37</f>
        <v>8.2571268081665039</v>
      </c>
      <c r="B37" s="8">
        <f>'Raw Data'!E37</f>
        <v>0</v>
      </c>
      <c r="C37" s="8">
        <f t="shared" si="1"/>
        <v>1</v>
      </c>
      <c r="D37" s="80">
        <f t="shared" si="2"/>
        <v>0</v>
      </c>
      <c r="E37" s="70">
        <f>(2*Table!$AC$16*0.147)/A37</f>
        <v>13.228605988744606</v>
      </c>
      <c r="F37" s="70">
        <f t="shared" si="3"/>
        <v>26.457211977489212</v>
      </c>
      <c r="G37" s="157">
        <f>IF((('Raw Data'!C37)/('Raw Data'!C$136)*100)&lt;0,0,('Raw Data'!C37)/('Raw Data'!C$136)*100)</f>
        <v>0</v>
      </c>
      <c r="H37" s="157">
        <f t="shared" si="4"/>
        <v>0</v>
      </c>
      <c r="I37" s="146">
        <f t="shared" si="5"/>
        <v>3.8935782975475508E-2</v>
      </c>
      <c r="J37" s="70">
        <f>'Raw Data'!F37/I37</f>
        <v>0</v>
      </c>
      <c r="K37" s="138">
        <f t="shared" si="6"/>
        <v>0.10317506089822275</v>
      </c>
      <c r="L37" s="157">
        <f>A37*Table!$AC$9/$AC$16</f>
        <v>1.5557194777371277</v>
      </c>
      <c r="M37" s="157">
        <f>A37*Table!$AD$9/$AC$16</f>
        <v>0.53338953522415811</v>
      </c>
      <c r="N37" s="157">
        <f>ABS(A37*Table!$AE$9/$AC$16)</f>
        <v>0.67364629444130608</v>
      </c>
      <c r="O37" s="157">
        <f>($L37*(Table!$AC$10/Table!$AC$9)/(Table!$AC$12-Table!$AC$14))</f>
        <v>3.3370216167677564</v>
      </c>
      <c r="P37" s="157">
        <f>$N37*(Table!$AE$10/Table!$AE$9)/(Table!$AC$12-Table!$AC$13)</f>
        <v>5.5307577540337105</v>
      </c>
      <c r="Q37" s="157">
        <f>'Raw Data'!C37</f>
        <v>0</v>
      </c>
      <c r="R37" s="157">
        <f>'Raw Data'!C37/'Raw Data'!I$23*100</f>
        <v>0</v>
      </c>
      <c r="S37" s="95">
        <f t="shared" si="7"/>
        <v>0</v>
      </c>
      <c r="T37" s="95">
        <f t="shared" si="8"/>
        <v>1</v>
      </c>
      <c r="U37" s="71">
        <f t="shared" si="9"/>
        <v>0</v>
      </c>
      <c r="V37" s="71">
        <f t="shared" si="10"/>
        <v>0</v>
      </c>
      <c r="W37" s="71">
        <f t="shared" si="11"/>
        <v>0</v>
      </c>
      <c r="X37" s="42">
        <f t="shared" si="12"/>
        <v>0</v>
      </c>
      <c r="AS37" s="150"/>
      <c r="AT37" s="150"/>
    </row>
    <row r="38" spans="1:46" ht="12.4" customHeight="1" x14ac:dyDescent="0.2">
      <c r="A38" s="157">
        <f>'Raw Data'!A38</f>
        <v>9.0387554168701172</v>
      </c>
      <c r="B38" s="8">
        <f>'Raw Data'!E38</f>
        <v>0</v>
      </c>
      <c r="C38" s="8">
        <f t="shared" si="1"/>
        <v>1</v>
      </c>
      <c r="D38" s="80">
        <f t="shared" si="2"/>
        <v>0</v>
      </c>
      <c r="E38" s="70">
        <f>(2*Table!$AC$16*0.147)/A38</f>
        <v>12.084659016269589</v>
      </c>
      <c r="F38" s="70">
        <f t="shared" si="3"/>
        <v>24.169318032539177</v>
      </c>
      <c r="G38" s="157">
        <f>IF((('Raw Data'!C38)/('Raw Data'!C$136)*100)&lt;0,0,('Raw Data'!C38)/('Raw Data'!C$136)*100)</f>
        <v>0</v>
      </c>
      <c r="H38" s="157">
        <f t="shared" si="4"/>
        <v>0</v>
      </c>
      <c r="I38" s="146">
        <f t="shared" si="5"/>
        <v>3.9279680522003479E-2</v>
      </c>
      <c r="J38" s="70">
        <f>'Raw Data'!F38/I38</f>
        <v>0</v>
      </c>
      <c r="K38" s="138">
        <f t="shared" si="6"/>
        <v>0.11294172443341624</v>
      </c>
      <c r="L38" s="157">
        <f>A38*Table!$AC$9/$AC$16</f>
        <v>1.702985576365301</v>
      </c>
      <c r="M38" s="157">
        <f>A38*Table!$AD$9/$AC$16</f>
        <v>0.58388076903953179</v>
      </c>
      <c r="N38" s="157">
        <f>ABS(A38*Table!$AE$9/$AC$16)</f>
        <v>0.73741438570541751</v>
      </c>
      <c r="O38" s="157">
        <f>($L38*(Table!$AC$10/Table!$AC$9)/(Table!$AC$12-Table!$AC$14))</f>
        <v>3.6529077142112856</v>
      </c>
      <c r="P38" s="157">
        <f>$N38*(Table!$AE$10/Table!$AE$9)/(Table!$AC$12-Table!$AC$13)</f>
        <v>6.0543053013581059</v>
      </c>
      <c r="Q38" s="157">
        <f>'Raw Data'!C38</f>
        <v>0</v>
      </c>
      <c r="R38" s="157">
        <f>'Raw Data'!C38/'Raw Data'!I$23*100</f>
        <v>0</v>
      </c>
      <c r="S38" s="95">
        <f t="shared" si="7"/>
        <v>0</v>
      </c>
      <c r="T38" s="95">
        <f t="shared" si="8"/>
        <v>1</v>
      </c>
      <c r="U38" s="71">
        <f t="shared" si="9"/>
        <v>0</v>
      </c>
      <c r="V38" s="71">
        <f t="shared" si="10"/>
        <v>0</v>
      </c>
      <c r="W38" s="71">
        <f t="shared" si="11"/>
        <v>0</v>
      </c>
      <c r="X38" s="42">
        <f t="shared" si="12"/>
        <v>0</v>
      </c>
      <c r="AS38" s="150"/>
      <c r="AT38" s="150"/>
    </row>
    <row r="39" spans="1:46" ht="12.4" customHeight="1" x14ac:dyDescent="0.2">
      <c r="A39" s="157">
        <f>'Raw Data'!A39</f>
        <v>9.8886842727661133</v>
      </c>
      <c r="B39" s="8">
        <f>'Raw Data'!E39</f>
        <v>0</v>
      </c>
      <c r="C39" s="8">
        <f t="shared" si="1"/>
        <v>1</v>
      </c>
      <c r="D39" s="80">
        <f t="shared" si="2"/>
        <v>0</v>
      </c>
      <c r="E39" s="70">
        <f>(2*Table!$AC$16*0.147)/A39</f>
        <v>11.045986921147863</v>
      </c>
      <c r="F39" s="70">
        <f t="shared" si="3"/>
        <v>22.091973842295726</v>
      </c>
      <c r="G39" s="157">
        <f>IF((('Raw Data'!C39)/('Raw Data'!C$136)*100)&lt;0,0,('Raw Data'!C39)/('Raw Data'!C$136)*100)</f>
        <v>0</v>
      </c>
      <c r="H39" s="157">
        <f t="shared" si="4"/>
        <v>0</v>
      </c>
      <c r="I39" s="146">
        <f t="shared" si="5"/>
        <v>3.9029876088509274E-2</v>
      </c>
      <c r="J39" s="70">
        <f>'Raw Data'!F39/I39</f>
        <v>0</v>
      </c>
      <c r="K39" s="138">
        <f t="shared" si="6"/>
        <v>0.123561818263088</v>
      </c>
      <c r="L39" s="157">
        <f>A39*Table!$AC$9/$AC$16</f>
        <v>1.863120076722071</v>
      </c>
      <c r="M39" s="157">
        <f>A39*Table!$AD$9/$AC$16</f>
        <v>0.6387840263047101</v>
      </c>
      <c r="N39" s="157">
        <f>ABS(A39*Table!$AE$9/$AC$16)</f>
        <v>0.80675465837106297</v>
      </c>
      <c r="O39" s="157">
        <f>($L39*(Table!$AC$10/Table!$AC$9)/(Table!$AC$12-Table!$AC$14))</f>
        <v>3.9963965609654037</v>
      </c>
      <c r="P39" s="157">
        <f>$N39*(Table!$AE$10/Table!$AE$9)/(Table!$AC$12-Table!$AC$13)</f>
        <v>6.6236014644586438</v>
      </c>
      <c r="Q39" s="157">
        <f>'Raw Data'!C39</f>
        <v>0</v>
      </c>
      <c r="R39" s="157">
        <f>'Raw Data'!C39/'Raw Data'!I$23*100</f>
        <v>0</v>
      </c>
      <c r="S39" s="95">
        <f t="shared" si="7"/>
        <v>0</v>
      </c>
      <c r="T39" s="95">
        <f t="shared" si="8"/>
        <v>1</v>
      </c>
      <c r="U39" s="71">
        <f t="shared" si="9"/>
        <v>0</v>
      </c>
      <c r="V39" s="71">
        <f t="shared" si="10"/>
        <v>0</v>
      </c>
      <c r="W39" s="71">
        <f t="shared" si="11"/>
        <v>0</v>
      </c>
      <c r="X39" s="42">
        <f t="shared" si="12"/>
        <v>0</v>
      </c>
      <c r="AS39" s="150"/>
      <c r="AT39" s="150"/>
    </row>
    <row r="40" spans="1:46" ht="12.4" customHeight="1" x14ac:dyDescent="0.2">
      <c r="A40" s="157">
        <f>'Raw Data'!A40</f>
        <v>10.793349266052246</v>
      </c>
      <c r="B40" s="8">
        <f>'Raw Data'!E40</f>
        <v>0</v>
      </c>
      <c r="C40" s="8">
        <f t="shared" si="1"/>
        <v>1</v>
      </c>
      <c r="D40" s="80">
        <f t="shared" si="2"/>
        <v>0</v>
      </c>
      <c r="E40" s="70">
        <f>(2*Table!$AC$16*0.147)/A40</f>
        <v>10.120146624726701</v>
      </c>
      <c r="F40" s="70">
        <f t="shared" si="3"/>
        <v>20.240293249453401</v>
      </c>
      <c r="G40" s="157">
        <f>IF((('Raw Data'!C40)/('Raw Data'!C$136)*100)&lt;0,0,('Raw Data'!C40)/('Raw Data'!C$136)*100)</f>
        <v>0</v>
      </c>
      <c r="H40" s="157">
        <f t="shared" si="4"/>
        <v>0</v>
      </c>
      <c r="I40" s="146">
        <f t="shared" si="5"/>
        <v>3.8017719886135337E-2</v>
      </c>
      <c r="J40" s="70">
        <f>'Raw Data'!F40/I40</f>
        <v>0</v>
      </c>
      <c r="K40" s="138">
        <f t="shared" si="6"/>
        <v>0.13486585512037261</v>
      </c>
      <c r="L40" s="157">
        <f>A40*Table!$AC$9/$AC$16</f>
        <v>2.0335673743813736</v>
      </c>
      <c r="M40" s="157">
        <f>A40*Table!$AD$9/$AC$16</f>
        <v>0.69722309978789954</v>
      </c>
      <c r="N40" s="157">
        <f>ABS(A40*Table!$AE$9/$AC$16)</f>
        <v>0.88056050326074509</v>
      </c>
      <c r="O40" s="157">
        <f>($L40*(Table!$AC$10/Table!$AC$9)/(Table!$AC$12-Table!$AC$14))</f>
        <v>4.3620063800544271</v>
      </c>
      <c r="P40" s="157">
        <f>$N40*(Table!$AE$10/Table!$AE$9)/(Table!$AC$12-Table!$AC$13)</f>
        <v>7.2295607821079217</v>
      </c>
      <c r="Q40" s="157">
        <f>'Raw Data'!C40</f>
        <v>0</v>
      </c>
      <c r="R40" s="157">
        <f>'Raw Data'!C40/'Raw Data'!I$23*100</f>
        <v>0</v>
      </c>
      <c r="S40" s="95">
        <f t="shared" si="7"/>
        <v>0</v>
      </c>
      <c r="T40" s="95">
        <f t="shared" si="8"/>
        <v>1</v>
      </c>
      <c r="U40" s="71">
        <f t="shared" si="9"/>
        <v>0</v>
      </c>
      <c r="V40" s="71">
        <f t="shared" si="10"/>
        <v>0</v>
      </c>
      <c r="W40" s="71">
        <f t="shared" si="11"/>
        <v>0</v>
      </c>
      <c r="X40" s="42">
        <f t="shared" si="12"/>
        <v>0</v>
      </c>
      <c r="AS40" s="150"/>
      <c r="AT40" s="150"/>
    </row>
    <row r="41" spans="1:46" ht="12.4" customHeight="1" x14ac:dyDescent="0.2">
      <c r="A41" s="157">
        <f>'Raw Data'!A41</f>
        <v>11.889033317565918</v>
      </c>
      <c r="B41" s="8">
        <f>'Raw Data'!E41</f>
        <v>1.2331268849311344E-3</v>
      </c>
      <c r="C41" s="8">
        <f t="shared" si="1"/>
        <v>0.99876687311506884</v>
      </c>
      <c r="D41" s="80">
        <f t="shared" si="2"/>
        <v>1.2331268849311344E-3</v>
      </c>
      <c r="E41" s="70">
        <f>(2*Table!$AC$16*0.147)/A41</f>
        <v>9.1874817932378487</v>
      </c>
      <c r="F41" s="70">
        <f t="shared" si="3"/>
        <v>18.374963586475697</v>
      </c>
      <c r="G41" s="157">
        <f>IF((('Raw Data'!C41)/('Raw Data'!C$136)*100)&lt;0,0,('Raw Data'!C41)/('Raw Data'!C$136)*100)</f>
        <v>0.12331268849311344</v>
      </c>
      <c r="H41" s="157">
        <f t="shared" si="4"/>
        <v>0.12331268849311344</v>
      </c>
      <c r="I41" s="146">
        <f t="shared" si="5"/>
        <v>4.1990313326229045E-2</v>
      </c>
      <c r="J41" s="70">
        <f>'Raw Data'!F41/I41</f>
        <v>2.9366936973077257E-2</v>
      </c>
      <c r="K41" s="138">
        <f t="shared" si="6"/>
        <v>0.14855672742577647</v>
      </c>
      <c r="L41" s="157">
        <f>A41*Table!$AC$9/$AC$16</f>
        <v>2.2400044389908067</v>
      </c>
      <c r="M41" s="157">
        <f>A41*Table!$AD$9/$AC$16</f>
        <v>0.76800152193970517</v>
      </c>
      <c r="N41" s="157">
        <f>ABS(A41*Table!$AE$9/$AC$16)</f>
        <v>0.96995037437797427</v>
      </c>
      <c r="O41" s="157">
        <f>($L41*(Table!$AC$10/Table!$AC$9)/(Table!$AC$12-Table!$AC$14))</f>
        <v>4.8048143264496073</v>
      </c>
      <c r="P41" s="157">
        <f>$N41*(Table!$AE$10/Table!$AE$9)/(Table!$AC$12-Table!$AC$13)</f>
        <v>7.9634677699341054</v>
      </c>
      <c r="Q41" s="157">
        <f>'Raw Data'!C41</f>
        <v>1.9639447685331074E-3</v>
      </c>
      <c r="R41" s="157">
        <f>'Raw Data'!C41/'Raw Data'!I$23*100</f>
        <v>3.4764711147297983E-2</v>
      </c>
      <c r="S41" s="95">
        <f t="shared" si="7"/>
        <v>9.9355490264522485E-3</v>
      </c>
      <c r="T41" s="95">
        <f t="shared" si="8"/>
        <v>0.99405286114746438</v>
      </c>
      <c r="U41" s="71">
        <f t="shared" si="9"/>
        <v>2.9240990599238626E-3</v>
      </c>
      <c r="V41" s="71">
        <f t="shared" si="10"/>
        <v>2.0699769284846448E-2</v>
      </c>
      <c r="W41" s="71">
        <f t="shared" si="11"/>
        <v>0.10483224022814287</v>
      </c>
      <c r="X41" s="42">
        <f t="shared" si="12"/>
        <v>0.10483224022814287</v>
      </c>
      <c r="AS41" s="150"/>
      <c r="AT41" s="150"/>
    </row>
    <row r="42" spans="1:46" ht="12.4" customHeight="1" x14ac:dyDescent="0.2">
      <c r="A42" s="157">
        <f>'Raw Data'!A42</f>
        <v>12.888889312744141</v>
      </c>
      <c r="B42" s="8">
        <f>'Raw Data'!E42</f>
        <v>3.8119477478850568E-3</v>
      </c>
      <c r="C42" s="8">
        <f t="shared" si="1"/>
        <v>0.99618805225211493</v>
      </c>
      <c r="D42" s="80">
        <f t="shared" si="2"/>
        <v>2.5788208629539226E-3</v>
      </c>
      <c r="E42" s="70">
        <f>(2*Table!$AC$16*0.147)/A42</f>
        <v>8.4747626031927741</v>
      </c>
      <c r="F42" s="70">
        <f t="shared" si="3"/>
        <v>16.949525206385548</v>
      </c>
      <c r="G42" s="157">
        <f>IF((('Raw Data'!C42)/('Raw Data'!C$136)*100)&lt;0,0,('Raw Data'!C42)/('Raw Data'!C$136)*100)</f>
        <v>0.38119477478850566</v>
      </c>
      <c r="H42" s="157">
        <f t="shared" si="4"/>
        <v>0.25788208629539222</v>
      </c>
      <c r="I42" s="146">
        <f t="shared" si="5"/>
        <v>3.5068949956629347E-2</v>
      </c>
      <c r="J42" s="70">
        <f>'Raw Data'!F42/I42</f>
        <v>7.3535730785872264E-2</v>
      </c>
      <c r="K42" s="138">
        <f t="shared" si="6"/>
        <v>0.16105020192224881</v>
      </c>
      <c r="L42" s="157">
        <f>A42*Table!$AC$9/$AC$16</f>
        <v>2.428386606634469</v>
      </c>
      <c r="M42" s="157">
        <f>A42*Table!$AD$9/$AC$16</f>
        <v>0.83258969370324654</v>
      </c>
      <c r="N42" s="157">
        <f>ABS(A42*Table!$AE$9/$AC$16)</f>
        <v>1.0515222457776696</v>
      </c>
      <c r="O42" s="157">
        <f>($L42*(Table!$AC$10/Table!$AC$9)/(Table!$AC$12-Table!$AC$14))</f>
        <v>5.2088944801254167</v>
      </c>
      <c r="P42" s="157">
        <f>$N42*(Table!$AE$10/Table!$AE$9)/(Table!$AC$12-Table!$AC$13)</f>
        <v>8.633187567961162</v>
      </c>
      <c r="Q42" s="157">
        <f>'Raw Data'!C42</f>
        <v>6.0711147643160088E-3</v>
      </c>
      <c r="R42" s="157">
        <f>'Raw Data'!C42/'Raw Data'!I$23*100</f>
        <v>0.1074676612627888</v>
      </c>
      <c r="S42" s="95">
        <f t="shared" si="7"/>
        <v>2.0778073552218019E-2</v>
      </c>
      <c r="T42" s="95">
        <f t="shared" si="8"/>
        <v>0.98347047542933852</v>
      </c>
      <c r="U42" s="71">
        <f t="shared" si="9"/>
        <v>8.3380079272251991E-3</v>
      </c>
      <c r="V42" s="71">
        <f t="shared" si="10"/>
        <v>0.12175568579767415</v>
      </c>
      <c r="W42" s="71">
        <f t="shared" si="11"/>
        <v>0.18653931399574664</v>
      </c>
      <c r="X42" s="42">
        <f t="shared" si="12"/>
        <v>0.2913715542238895</v>
      </c>
      <c r="AS42" s="150"/>
      <c r="AT42" s="150"/>
    </row>
    <row r="43" spans="1:46" ht="12.4" customHeight="1" x14ac:dyDescent="0.2">
      <c r="A43" s="157">
        <f>'Raw Data'!A43</f>
        <v>14.186123847961426</v>
      </c>
      <c r="B43" s="8">
        <f>'Raw Data'!E43</f>
        <v>1.5883014449972411E-2</v>
      </c>
      <c r="C43" s="8">
        <f t="shared" si="1"/>
        <v>0.98411698555002758</v>
      </c>
      <c r="D43" s="80">
        <f t="shared" si="2"/>
        <v>1.2071066702087354E-2</v>
      </c>
      <c r="E43" s="70">
        <f>(2*Table!$AC$16*0.147)/A43</f>
        <v>7.6997972324929096</v>
      </c>
      <c r="F43" s="70">
        <f t="shared" si="3"/>
        <v>15.399594464985819</v>
      </c>
      <c r="G43" s="157">
        <f>IF((('Raw Data'!C43)/('Raw Data'!C$136)*100)&lt;0,0,('Raw Data'!C43)/('Raw Data'!C$136)*100)</f>
        <v>1.588301444997241</v>
      </c>
      <c r="H43" s="157">
        <f t="shared" si="4"/>
        <v>1.2071066702087354</v>
      </c>
      <c r="I43" s="146">
        <f t="shared" si="5"/>
        <v>4.1648252945293174E-2</v>
      </c>
      <c r="J43" s="70">
        <f>'Raw Data'!F43/I43</f>
        <v>0.28983368685220084</v>
      </c>
      <c r="K43" s="138">
        <f t="shared" si="6"/>
        <v>0.17725950272140181</v>
      </c>
      <c r="L43" s="157">
        <f>A43*Table!$AC$9/$AC$16</f>
        <v>2.6727976566906237</v>
      </c>
      <c r="M43" s="157">
        <f>A43*Table!$AD$9/$AC$16</f>
        <v>0.91638776800821387</v>
      </c>
      <c r="N43" s="157">
        <f>ABS(A43*Table!$AE$9/$AC$16)</f>
        <v>1.1573553349347996</v>
      </c>
      <c r="O43" s="157">
        <f>($L43*(Table!$AC$10/Table!$AC$9)/(Table!$AC$12-Table!$AC$14))</f>
        <v>5.7331567067580949</v>
      </c>
      <c r="P43" s="157">
        <f>$N43*(Table!$AE$10/Table!$AE$9)/(Table!$AC$12-Table!$AC$13)</f>
        <v>9.5020963459343122</v>
      </c>
      <c r="Q43" s="157">
        <f>'Raw Data'!C43</f>
        <v>2.529615039518103E-2</v>
      </c>
      <c r="R43" s="157">
        <f>'Raw Data'!C43/'Raw Data'!I$23*100</f>
        <v>0.44777906981769156</v>
      </c>
      <c r="S43" s="95">
        <f t="shared" si="7"/>
        <v>9.7258989716100433E-2</v>
      </c>
      <c r="T43" s="95">
        <f t="shared" si="8"/>
        <v>0.94258099840933263</v>
      </c>
      <c r="U43" s="71">
        <f t="shared" si="9"/>
        <v>3.156458202513425E-2</v>
      </c>
      <c r="V43" s="71">
        <f t="shared" si="10"/>
        <v>1.1564321795472345</v>
      </c>
      <c r="W43" s="71">
        <f t="shared" si="11"/>
        <v>0.72077272517973845</v>
      </c>
      <c r="X43" s="42">
        <f t="shared" si="12"/>
        <v>1.0121442794036279</v>
      </c>
      <c r="AS43" s="150"/>
      <c r="AT43" s="150"/>
    </row>
    <row r="44" spans="1:46" ht="12.4" customHeight="1" x14ac:dyDescent="0.2">
      <c r="A44" s="157">
        <f>'Raw Data'!A44</f>
        <v>15.484156608581543</v>
      </c>
      <c r="B44" s="8">
        <f>'Raw Data'!E44</f>
        <v>5.9458877752718554E-2</v>
      </c>
      <c r="C44" s="8">
        <f t="shared" si="1"/>
        <v>0.94054112224728148</v>
      </c>
      <c r="D44" s="80">
        <f t="shared" si="2"/>
        <v>4.357586330274614E-2</v>
      </c>
      <c r="E44" s="70">
        <f>(2*Table!$AC$16*0.147)/A44</f>
        <v>7.0543252632692992</v>
      </c>
      <c r="F44" s="70">
        <f t="shared" si="3"/>
        <v>14.108650526538598</v>
      </c>
      <c r="G44" s="157">
        <f>IF((('Raw Data'!C44)/('Raw Data'!C$136)*100)&lt;0,0,('Raw Data'!C44)/('Raw Data'!C$136)*100)</f>
        <v>5.9458877752718555</v>
      </c>
      <c r="H44" s="157">
        <f t="shared" si="4"/>
        <v>4.3575863302746143</v>
      </c>
      <c r="I44" s="146">
        <f t="shared" si="5"/>
        <v>3.8023808159812433E-2</v>
      </c>
      <c r="J44" s="70">
        <f>'Raw Data'!F44/I44</f>
        <v>1.1460152312887404</v>
      </c>
      <c r="K44" s="138">
        <f t="shared" si="6"/>
        <v>0.19347877756557813</v>
      </c>
      <c r="L44" s="157">
        <f>A44*Table!$AC$9/$AC$16</f>
        <v>2.9173590998357621</v>
      </c>
      <c r="M44" s="157">
        <f>A44*Table!$AD$9/$AC$16</f>
        <v>1.0002374056579757</v>
      </c>
      <c r="N44" s="157">
        <f>ABS(A44*Table!$AE$9/$AC$16)</f>
        <v>1.2632535462097363</v>
      </c>
      <c r="O44" s="157">
        <f>($L44*(Table!$AC$10/Table!$AC$9)/(Table!$AC$12-Table!$AC$14))</f>
        <v>6.2577415268892373</v>
      </c>
      <c r="P44" s="157">
        <f>$N44*(Table!$AE$10/Table!$AE$9)/(Table!$AC$12-Table!$AC$13)</f>
        <v>10.371539788257275</v>
      </c>
      <c r="Q44" s="157">
        <f>'Raw Data'!C44</f>
        <v>9.469743408588692E-2</v>
      </c>
      <c r="R44" s="157">
        <f>'Raw Data'!C44/'Raw Data'!I$23*100</f>
        <v>1.6762838727104723</v>
      </c>
      <c r="S44" s="95">
        <f t="shared" si="7"/>
        <v>0.35109941361678637</v>
      </c>
      <c r="T44" s="95">
        <f t="shared" si="8"/>
        <v>0.81868300016923035</v>
      </c>
      <c r="U44" s="71">
        <f t="shared" si="9"/>
        <v>0.10825800300814908</v>
      </c>
      <c r="V44" s="71">
        <f t="shared" si="10"/>
        <v>9.2949011454401482</v>
      </c>
      <c r="W44" s="71">
        <f t="shared" si="11"/>
        <v>2.1839921746159847</v>
      </c>
      <c r="X44" s="42">
        <f t="shared" si="12"/>
        <v>3.1961364540196127</v>
      </c>
      <c r="AS44" s="150"/>
      <c r="AT44" s="150"/>
    </row>
    <row r="45" spans="1:46" ht="12.4" customHeight="1" x14ac:dyDescent="0.2">
      <c r="A45" s="157">
        <f>'Raw Data'!A45</f>
        <v>16.876182556152344</v>
      </c>
      <c r="B45" s="8">
        <f>'Raw Data'!E45</f>
        <v>0.18357148407654392</v>
      </c>
      <c r="C45" s="8">
        <f t="shared" si="1"/>
        <v>0.81642851592345611</v>
      </c>
      <c r="D45" s="80">
        <f t="shared" si="2"/>
        <v>0.12411260632382537</v>
      </c>
      <c r="E45" s="70">
        <f>(2*Table!$AC$16*0.147)/A45</f>
        <v>6.4724517396568633</v>
      </c>
      <c r="F45" s="70">
        <f t="shared" si="3"/>
        <v>12.944903479313727</v>
      </c>
      <c r="G45" s="157">
        <f>IF((('Raw Data'!C45)/('Raw Data'!C$136)*100)&lt;0,0,('Raw Data'!C45)/('Raw Data'!C$136)*100)</f>
        <v>18.357148407654392</v>
      </c>
      <c r="H45" s="157">
        <f t="shared" si="4"/>
        <v>12.411260632382536</v>
      </c>
      <c r="I45" s="146">
        <f t="shared" si="5"/>
        <v>3.7386659490953877E-2</v>
      </c>
      <c r="J45" s="70">
        <f>'Raw Data'!F45/I45</f>
        <v>3.3197030174320821</v>
      </c>
      <c r="K45" s="138">
        <f t="shared" si="6"/>
        <v>0.21087252302319628</v>
      </c>
      <c r="L45" s="157">
        <f>A45*Table!$AC$9/$AC$16</f>
        <v>3.1796297334912298</v>
      </c>
      <c r="M45" s="157">
        <f>A45*Table!$AD$9/$AC$16</f>
        <v>1.0901587657684215</v>
      </c>
      <c r="N45" s="157">
        <f>ABS(A45*Table!$AE$9/$AC$16)</f>
        <v>1.3768200619158748</v>
      </c>
      <c r="O45" s="157">
        <f>($L45*(Table!$AC$10/Table!$AC$9)/(Table!$AC$12-Table!$AC$14))</f>
        <v>6.8203125986512871</v>
      </c>
      <c r="P45" s="157">
        <f>$N45*(Table!$AE$10/Table!$AE$9)/(Table!$AC$12-Table!$AC$13)</f>
        <v>11.30394139504002</v>
      </c>
      <c r="Q45" s="157">
        <f>'Raw Data'!C45</f>
        <v>0.29236590346833691</v>
      </c>
      <c r="R45" s="157">
        <f>'Raw Data'!C45/'Raw Data'!I$23*100</f>
        <v>5.1753065291073117</v>
      </c>
      <c r="S45" s="95">
        <f t="shared" si="7"/>
        <v>1</v>
      </c>
      <c r="T45" s="95">
        <f t="shared" si="8"/>
        <v>0.52161158394942186</v>
      </c>
      <c r="U45" s="71">
        <f t="shared" si="9"/>
        <v>0.30666334118438493</v>
      </c>
      <c r="V45" s="71">
        <f t="shared" si="10"/>
        <v>54.065236394115729</v>
      </c>
      <c r="W45" s="71">
        <f t="shared" si="11"/>
        <v>5.2365789402733949</v>
      </c>
      <c r="X45" s="42">
        <f t="shared" si="12"/>
        <v>8.4327153942930071</v>
      </c>
      <c r="AS45" s="150"/>
      <c r="AT45" s="150"/>
    </row>
    <row r="46" spans="1:46" ht="12.4" customHeight="1" x14ac:dyDescent="0.2">
      <c r="A46" s="157">
        <f>'Raw Data'!A46</f>
        <v>18.474388122558594</v>
      </c>
      <c r="B46" s="8">
        <f>'Raw Data'!E46</f>
        <v>0.29385647021123773</v>
      </c>
      <c r="C46" s="8">
        <f t="shared" si="1"/>
        <v>0.70614352978876227</v>
      </c>
      <c r="D46" s="80">
        <f t="shared" si="2"/>
        <v>0.11028498613469381</v>
      </c>
      <c r="E46" s="70">
        <f>(2*Table!$AC$16*0.147)/A46</f>
        <v>5.9125247569610604</v>
      </c>
      <c r="F46" s="70">
        <f t="shared" si="3"/>
        <v>11.825049513922121</v>
      </c>
      <c r="G46" s="157">
        <f>IF((('Raw Data'!C46)/('Raw Data'!C$136)*100)&lt;0,0,('Raw Data'!C46)/('Raw Data'!C$136)*100)</f>
        <v>29.385647021123773</v>
      </c>
      <c r="H46" s="157">
        <f t="shared" si="4"/>
        <v>11.028498613469381</v>
      </c>
      <c r="I46" s="146">
        <f t="shared" si="5"/>
        <v>3.9295848672097011E-2</v>
      </c>
      <c r="J46" s="70">
        <f>'Raw Data'!F46/I46</f>
        <v>2.8065302025912064</v>
      </c>
      <c r="K46" s="138">
        <f t="shared" si="6"/>
        <v>0.23084253928584569</v>
      </c>
      <c r="L46" s="157">
        <f>A46*Table!$AC$9/$AC$16</f>
        <v>3.4807465247008582</v>
      </c>
      <c r="M46" s="157">
        <f>A46*Table!$AD$9/$AC$16</f>
        <v>1.1933988084688658</v>
      </c>
      <c r="N46" s="157">
        <f>ABS(A46*Table!$AE$9/$AC$16)</f>
        <v>1.5072074572626715</v>
      </c>
      <c r="O46" s="157">
        <f>($L46*(Table!$AC$10/Table!$AC$9)/(Table!$AC$12-Table!$AC$14))</f>
        <v>7.466208761692104</v>
      </c>
      <c r="P46" s="157">
        <f>$N46*(Table!$AE$10/Table!$AE$9)/(Table!$AC$12-Table!$AC$13)</f>
        <v>12.374445461926692</v>
      </c>
      <c r="Q46" s="157">
        <f>'Raw Data'!C46</f>
        <v>0.46801175485132263</v>
      </c>
      <c r="R46" s="157">
        <f>'Raw Data'!C46/'Raw Data'!I$23*100</f>
        <v>8.2844964540926149</v>
      </c>
      <c r="S46" s="95">
        <f t="shared" si="7"/>
        <v>0.88858810882551642</v>
      </c>
      <c r="T46" s="95">
        <f t="shared" si="8"/>
        <v>0.30133432357076029</v>
      </c>
      <c r="U46" s="71">
        <f t="shared" si="9"/>
        <v>0.44843143919752515</v>
      </c>
      <c r="V46" s="71">
        <f t="shared" si="10"/>
        <v>102.79948084537298</v>
      </c>
      <c r="W46" s="71">
        <f t="shared" si="11"/>
        <v>3.8829022239774269</v>
      </c>
      <c r="X46" s="42">
        <f t="shared" si="12"/>
        <v>12.315617618270434</v>
      </c>
      <c r="AS46" s="150"/>
      <c r="AT46" s="150"/>
    </row>
    <row r="47" spans="1:46" ht="12.4" customHeight="1" x14ac:dyDescent="0.2">
      <c r="A47" s="157">
        <f>'Raw Data'!A47</f>
        <v>20.266803741455078</v>
      </c>
      <c r="B47" s="8">
        <f>'Raw Data'!E47</f>
        <v>0.36049081351257811</v>
      </c>
      <c r="C47" s="8">
        <f t="shared" si="1"/>
        <v>0.63950918648742183</v>
      </c>
      <c r="D47" s="80">
        <f t="shared" si="2"/>
        <v>6.6634343301340382E-2</v>
      </c>
      <c r="E47" s="70">
        <f>(2*Table!$AC$16*0.147)/A47</f>
        <v>5.3896153798000288</v>
      </c>
      <c r="F47" s="70">
        <f t="shared" si="3"/>
        <v>10.779230759600058</v>
      </c>
      <c r="G47" s="157">
        <f>IF((('Raw Data'!C47)/('Raw Data'!C$136)*100)&lt;0,0,('Raw Data'!C47)/('Raw Data'!C$136)*100)</f>
        <v>36.049081351257811</v>
      </c>
      <c r="H47" s="157">
        <f t="shared" si="4"/>
        <v>6.663434330134038</v>
      </c>
      <c r="I47" s="146">
        <f t="shared" si="5"/>
        <v>4.0215198581670331E-2</v>
      </c>
      <c r="J47" s="70">
        <f>'Raw Data'!F47/I47</f>
        <v>1.6569442810537711</v>
      </c>
      <c r="K47" s="138">
        <f t="shared" si="6"/>
        <v>0.25323926334386399</v>
      </c>
      <c r="L47" s="157">
        <f>A47*Table!$AC$9/$AC$16</f>
        <v>3.8184542958543326</v>
      </c>
      <c r="M47" s="157">
        <f>A47*Table!$AD$9/$AC$16</f>
        <v>1.3091843300071997</v>
      </c>
      <c r="N47" s="157">
        <f>ABS(A47*Table!$AE$9/$AC$16)</f>
        <v>1.6534392116998364</v>
      </c>
      <c r="O47" s="157">
        <f>($L47*(Table!$AC$10/Table!$AC$9)/(Table!$AC$12-Table!$AC$14))</f>
        <v>8.1905926552001986</v>
      </c>
      <c r="P47" s="157">
        <f>$N47*(Table!$AE$10/Table!$AE$9)/(Table!$AC$12-Table!$AC$13)</f>
        <v>13.575034578816389</v>
      </c>
      <c r="Q47" s="157">
        <f>'Raw Data'!C47</f>
        <v>0.57413722460670391</v>
      </c>
      <c r="R47" s="157">
        <f>'Raw Data'!C47/'Raw Data'!I$23*100</f>
        <v>10.163073367522216</v>
      </c>
      <c r="S47" s="95">
        <f t="shared" si="7"/>
        <v>0.53688618162995483</v>
      </c>
      <c r="T47" s="95">
        <f t="shared" si="8"/>
        <v>0.19074301462172016</v>
      </c>
      <c r="U47" s="71">
        <f t="shared" si="9"/>
        <v>0.50146404421600954</v>
      </c>
      <c r="V47" s="71">
        <f t="shared" si="10"/>
        <v>124.18764614942209</v>
      </c>
      <c r="W47" s="71">
        <f t="shared" si="11"/>
        <v>1.9494306345222761</v>
      </c>
      <c r="X47" s="42">
        <f t="shared" si="12"/>
        <v>14.26504825279271</v>
      </c>
      <c r="AS47" s="150"/>
      <c r="AT47" s="150"/>
    </row>
    <row r="48" spans="1:46" ht="12.4" customHeight="1" x14ac:dyDescent="0.2">
      <c r="A48" s="157">
        <f>'Raw Data'!A48</f>
        <v>22.161190032958984</v>
      </c>
      <c r="B48" s="8">
        <f>'Raw Data'!E48</f>
        <v>0.40320706721959076</v>
      </c>
      <c r="C48" s="8">
        <f t="shared" si="1"/>
        <v>0.59679293278040924</v>
      </c>
      <c r="D48" s="80">
        <f t="shared" si="2"/>
        <v>4.2716253707012652E-2</v>
      </c>
      <c r="E48" s="70">
        <f>(2*Table!$AC$16*0.147)/A48</f>
        <v>4.9288994400518895</v>
      </c>
      <c r="F48" s="70">
        <f t="shared" si="3"/>
        <v>9.857798880103779</v>
      </c>
      <c r="G48" s="157">
        <f>IF((('Raw Data'!C48)/('Raw Data'!C$136)*100)&lt;0,0,('Raw Data'!C48)/('Raw Data'!C$136)*100)</f>
        <v>40.320706721959077</v>
      </c>
      <c r="H48" s="157">
        <f t="shared" si="4"/>
        <v>4.2716253707012655</v>
      </c>
      <c r="I48" s="146">
        <f t="shared" si="5"/>
        <v>3.8807815927249911E-2</v>
      </c>
      <c r="J48" s="70">
        <f>'Raw Data'!F48/I48</f>
        <v>1.1007126447695381</v>
      </c>
      <c r="K48" s="138">
        <f t="shared" si="6"/>
        <v>0.27691013888344823</v>
      </c>
      <c r="L48" s="157">
        <f>A48*Table!$AC$9/$AC$16</f>
        <v>4.1753742900024235</v>
      </c>
      <c r="M48" s="157">
        <f>A48*Table!$AD$9/$AC$16</f>
        <v>1.4315568994294021</v>
      </c>
      <c r="N48" s="157">
        <f>ABS(A48*Table!$AE$9/$AC$16)</f>
        <v>1.8079901027252563</v>
      </c>
      <c r="O48" s="157">
        <f>($L48*(Table!$AC$10/Table!$AC$9)/(Table!$AC$12-Table!$AC$14))</f>
        <v>8.9561868082420073</v>
      </c>
      <c r="P48" s="157">
        <f>$N48*(Table!$AE$10/Table!$AE$9)/(Table!$AC$12-Table!$AC$13)</f>
        <v>14.843925309731166</v>
      </c>
      <c r="Q48" s="157">
        <f>'Raw Data'!C48</f>
        <v>0.64216944742528714</v>
      </c>
      <c r="R48" s="157">
        <f>'Raw Data'!C48/'Raw Data'!I$23*100</f>
        <v>11.367343779242194</v>
      </c>
      <c r="S48" s="95">
        <f t="shared" si="7"/>
        <v>0.34417336781696922</v>
      </c>
      <c r="T48" s="95">
        <f t="shared" si="8"/>
        <v>0.13145042730861189</v>
      </c>
      <c r="U48" s="71">
        <f t="shared" si="9"/>
        <v>0.51293923125681595</v>
      </c>
      <c r="V48" s="71">
        <f t="shared" si="10"/>
        <v>129.0310883988123</v>
      </c>
      <c r="W48" s="71">
        <f t="shared" si="11"/>
        <v>1.0451706124711999</v>
      </c>
      <c r="X48" s="42">
        <f t="shared" si="12"/>
        <v>15.310218865263909</v>
      </c>
      <c r="AS48" s="150"/>
      <c r="AT48" s="150"/>
    </row>
    <row r="49" spans="1:46" ht="12.4" customHeight="1" x14ac:dyDescent="0.2">
      <c r="A49" s="157">
        <f>'Raw Data'!A49</f>
        <v>24.307954788208008</v>
      </c>
      <c r="B49" s="8">
        <f>'Raw Data'!E49</f>
        <v>0.43587022860791608</v>
      </c>
      <c r="C49" s="8">
        <f t="shared" si="1"/>
        <v>0.56412977139208387</v>
      </c>
      <c r="D49" s="80">
        <f t="shared" si="2"/>
        <v>3.2663161388325312E-2</v>
      </c>
      <c r="E49" s="70">
        <f>(2*Table!$AC$16*0.147)/A49</f>
        <v>4.4936021189789104</v>
      </c>
      <c r="F49" s="70">
        <f t="shared" si="3"/>
        <v>8.9872042379578208</v>
      </c>
      <c r="G49" s="157">
        <f>IF((('Raw Data'!C49)/('Raw Data'!C$136)*100)&lt;0,0,('Raw Data'!C49)/('Raw Data'!C$136)*100)</f>
        <v>43.587022860791606</v>
      </c>
      <c r="H49" s="157">
        <f t="shared" si="4"/>
        <v>3.2663161388325292</v>
      </c>
      <c r="I49" s="146">
        <f t="shared" si="5"/>
        <v>4.0155342059646215E-2</v>
      </c>
      <c r="J49" s="70">
        <f>'Raw Data'!F49/I49</f>
        <v>0.81342007595920574</v>
      </c>
      <c r="K49" s="138">
        <f t="shared" si="6"/>
        <v>0.30373455244797221</v>
      </c>
      <c r="L49" s="157">
        <f>A49*Table!$AC$9/$AC$16</f>
        <v>4.5798447337114112</v>
      </c>
      <c r="M49" s="157">
        <f>A49*Table!$AD$9/$AC$16</f>
        <v>1.5702324801296266</v>
      </c>
      <c r="N49" s="157">
        <f>ABS(A49*Table!$AE$9/$AC$16)</f>
        <v>1.98313094239123</v>
      </c>
      <c r="O49" s="157">
        <f>($L49*(Table!$AC$10/Table!$AC$9)/(Table!$AC$12-Table!$AC$14))</f>
        <v>9.8237767775877565</v>
      </c>
      <c r="P49" s="157">
        <f>$N49*(Table!$AE$10/Table!$AE$9)/(Table!$AC$12-Table!$AC$13)</f>
        <v>16.281863238023231</v>
      </c>
      <c r="Q49" s="157">
        <f>'Raw Data'!C49</f>
        <v>0.69419057008204976</v>
      </c>
      <c r="R49" s="157">
        <f>'Raw Data'!C49/'Raw Data'!I$23*100</f>
        <v>12.288194167550873</v>
      </c>
      <c r="S49" s="95">
        <f t="shared" si="7"/>
        <v>0.26317359981227872</v>
      </c>
      <c r="T49" s="95">
        <f t="shared" si="8"/>
        <v>9.3766619763534065E-2</v>
      </c>
      <c r="U49" s="71">
        <f t="shared" si="9"/>
        <v>0.50552151650010391</v>
      </c>
      <c r="V49" s="71">
        <f t="shared" si="10"/>
        <v>125.89156594457104</v>
      </c>
      <c r="W49" s="71">
        <f t="shared" si="11"/>
        <v>0.66426529852962723</v>
      </c>
      <c r="X49" s="42">
        <f t="shared" si="12"/>
        <v>15.974484163793537</v>
      </c>
      <c r="AS49" s="150"/>
      <c r="AT49" s="150"/>
    </row>
    <row r="50" spans="1:46" ht="12.4" customHeight="1" x14ac:dyDescent="0.2">
      <c r="A50" s="157">
        <f>'Raw Data'!A50</f>
        <v>26.609672546386719</v>
      </c>
      <c r="B50" s="8">
        <f>'Raw Data'!E50</f>
        <v>0.45855502649298285</v>
      </c>
      <c r="C50" s="8">
        <f t="shared" si="1"/>
        <v>0.54144497350701715</v>
      </c>
      <c r="D50" s="80">
        <f t="shared" si="2"/>
        <v>2.2684797885066776E-2</v>
      </c>
      <c r="E50" s="70">
        <f>(2*Table!$AC$16*0.147)/A50</f>
        <v>4.1049087302341585</v>
      </c>
      <c r="F50" s="70">
        <f t="shared" si="3"/>
        <v>8.209817460468317</v>
      </c>
      <c r="G50" s="157">
        <f>IF((('Raw Data'!C50)/('Raw Data'!C$136)*100)&lt;0,0,('Raw Data'!C50)/('Raw Data'!C$136)*100)</f>
        <v>45.855502649298288</v>
      </c>
      <c r="H50" s="157">
        <f t="shared" si="4"/>
        <v>2.2684797885066814</v>
      </c>
      <c r="I50" s="146">
        <f t="shared" si="5"/>
        <v>3.9291110332030921E-2</v>
      </c>
      <c r="J50" s="70">
        <f>'Raw Data'!F50/I50</f>
        <v>0.5773519173514845</v>
      </c>
      <c r="K50" s="138">
        <f t="shared" si="6"/>
        <v>0.33249514622203608</v>
      </c>
      <c r="L50" s="157">
        <f>A50*Table!$AC$9/$AC$16</f>
        <v>5.0135097641564474</v>
      </c>
      <c r="M50" s="157">
        <f>A50*Table!$AD$9/$AC$16</f>
        <v>1.7189176334250678</v>
      </c>
      <c r="N50" s="157">
        <f>ABS(A50*Table!$AE$9/$AC$16)</f>
        <v>2.170913408940407</v>
      </c>
      <c r="O50" s="157">
        <f>($L50*(Table!$AC$10/Table!$AC$9)/(Table!$AC$12-Table!$AC$14))</f>
        <v>10.753989198104779</v>
      </c>
      <c r="P50" s="157">
        <f>$N50*(Table!$AE$10/Table!$AE$9)/(Table!$AC$12-Table!$AC$13)</f>
        <v>17.823591206407279</v>
      </c>
      <c r="Q50" s="157">
        <f>'Raw Data'!C50</f>
        <v>0.73031960974214594</v>
      </c>
      <c r="R50" s="157">
        <f>'Raw Data'!C50/'Raw Data'!I$23*100</f>
        <v>12.92773131133249</v>
      </c>
      <c r="S50" s="95">
        <f t="shared" si="7"/>
        <v>0.18277593676406481</v>
      </c>
      <c r="T50" s="95">
        <f t="shared" si="8"/>
        <v>7.192678974381006E-2</v>
      </c>
      <c r="U50" s="71">
        <f t="shared" si="9"/>
        <v>0.48582827499273096</v>
      </c>
      <c r="V50" s="71">
        <f t="shared" si="10"/>
        <v>117.71052275672436</v>
      </c>
      <c r="W50" s="71">
        <f t="shared" si="11"/>
        <v>0.38497811534925885</v>
      </c>
      <c r="X50" s="42">
        <f t="shared" si="12"/>
        <v>16.359462279142797</v>
      </c>
      <c r="AS50" s="150"/>
      <c r="AT50" s="150"/>
    </row>
    <row r="51" spans="1:46" ht="12.4" customHeight="1" x14ac:dyDescent="0.2">
      <c r="A51" s="157">
        <f>'Raw Data'!A51</f>
        <v>29.00745964050293</v>
      </c>
      <c r="B51" s="8">
        <f>'Raw Data'!E51</f>
        <v>0.47619483057254908</v>
      </c>
      <c r="C51" s="8">
        <f t="shared" si="1"/>
        <v>0.52380516942745092</v>
      </c>
      <c r="D51" s="80">
        <f t="shared" si="2"/>
        <v>1.7639804079566224E-2</v>
      </c>
      <c r="E51" s="70">
        <f>(2*Table!$AC$16*0.147)/A51</f>
        <v>3.7655926612690176</v>
      </c>
      <c r="F51" s="70">
        <f t="shared" si="3"/>
        <v>7.5311853225380352</v>
      </c>
      <c r="G51" s="157">
        <f>IF((('Raw Data'!C51)/('Raw Data'!C$136)*100)&lt;0,0,('Raw Data'!C51)/('Raw Data'!C$136)*100)</f>
        <v>47.619483057254911</v>
      </c>
      <c r="H51" s="157">
        <f t="shared" si="4"/>
        <v>1.7639804079566233</v>
      </c>
      <c r="I51" s="146">
        <f t="shared" si="5"/>
        <v>3.7470166423073104E-2</v>
      </c>
      <c r="J51" s="70">
        <f>'Raw Data'!F51/I51</f>
        <v>0.4707693016464457</v>
      </c>
      <c r="K51" s="138">
        <f t="shared" si="6"/>
        <v>0.36245615265973979</v>
      </c>
      <c r="L51" s="157">
        <f>A51*Table!$AC$9/$AC$16</f>
        <v>5.4652751508880595</v>
      </c>
      <c r="M51" s="157">
        <f>A51*Table!$AD$9/$AC$16</f>
        <v>1.8738086231616202</v>
      </c>
      <c r="N51" s="157">
        <f>ABS(A51*Table!$AE$9/$AC$16)</f>
        <v>2.3665335596704451</v>
      </c>
      <c r="O51" s="157">
        <f>($L51*(Table!$AC$10/Table!$AC$9)/(Table!$AC$12-Table!$AC$14))</f>
        <v>11.723026921681811</v>
      </c>
      <c r="P51" s="157">
        <f>$N51*(Table!$AE$10/Table!$AE$9)/(Table!$AC$12-Table!$AC$13)</f>
        <v>19.429667977589858</v>
      </c>
      <c r="Q51" s="157">
        <f>'Raw Data'!C51</f>
        <v>0.75841371859936035</v>
      </c>
      <c r="R51" s="157">
        <f>'Raw Data'!C51/'Raw Data'!I$23*100</f>
        <v>13.425038361413794</v>
      </c>
      <c r="S51" s="95">
        <f t="shared" si="7"/>
        <v>0.14212741640073015</v>
      </c>
      <c r="T51" s="95">
        <f t="shared" si="8"/>
        <v>5.7635620443608593E-2</v>
      </c>
      <c r="U51" s="71">
        <f t="shared" si="9"/>
        <v>0.46281330829358458</v>
      </c>
      <c r="V51" s="71">
        <f t="shared" si="10"/>
        <v>108.43616978727992</v>
      </c>
      <c r="W51" s="71">
        <f t="shared" si="11"/>
        <v>0.25191530421070235</v>
      </c>
      <c r="X51" s="42">
        <f t="shared" si="12"/>
        <v>16.611377583353498</v>
      </c>
      <c r="AS51" s="150"/>
      <c r="AT51" s="150"/>
    </row>
    <row r="52" spans="1:46" ht="12.4" customHeight="1" x14ac:dyDescent="0.2">
      <c r="A52" s="157">
        <f>'Raw Data'!A52</f>
        <v>29.897552490234375</v>
      </c>
      <c r="B52" s="8">
        <f>'Raw Data'!E52</f>
        <v>0.49308657894431951</v>
      </c>
      <c r="C52" s="8">
        <f t="shared" si="1"/>
        <v>0.50691342105568049</v>
      </c>
      <c r="D52" s="80">
        <f t="shared" si="2"/>
        <v>1.6891748371770432E-2</v>
      </c>
      <c r="E52" s="70">
        <f>(2*Table!$AC$16*0.147)/A52</f>
        <v>3.6534855881602222</v>
      </c>
      <c r="F52" s="70">
        <f t="shared" si="3"/>
        <v>7.3069711763204443</v>
      </c>
      <c r="G52" s="157">
        <f>IF((('Raw Data'!C52)/('Raw Data'!C$136)*100)&lt;0,0,('Raw Data'!C52)/('Raw Data'!C$136)*100)</f>
        <v>49.308657894431953</v>
      </c>
      <c r="H52" s="157">
        <f t="shared" si="4"/>
        <v>1.6891748371770419</v>
      </c>
      <c r="I52" s="146">
        <f t="shared" si="5"/>
        <v>1.3125940375728895E-2</v>
      </c>
      <c r="J52" s="70">
        <f>'Raw Data'!F52/I52</f>
        <v>1.2868981488750986</v>
      </c>
      <c r="K52" s="138">
        <f t="shared" si="6"/>
        <v>0.37357810659234592</v>
      </c>
      <c r="L52" s="157">
        <f>A52*Table!$AC$9/$AC$16</f>
        <v>5.6329769211881375</v>
      </c>
      <c r="M52" s="157">
        <f>A52*Table!$AD$9/$AC$16</f>
        <v>1.9313063729787898</v>
      </c>
      <c r="N52" s="157">
        <f>ABS(A52*Table!$AE$9/$AC$16)</f>
        <v>2.4391505563401905</v>
      </c>
      <c r="O52" s="157">
        <f>($L52*(Table!$AC$10/Table!$AC$9)/(Table!$AC$12-Table!$AC$14))</f>
        <v>12.082747578696136</v>
      </c>
      <c r="P52" s="157">
        <f>$N52*(Table!$AE$10/Table!$AE$9)/(Table!$AC$12-Table!$AC$13)</f>
        <v>20.025866636618964</v>
      </c>
      <c r="Q52" s="157">
        <f>'Raw Data'!C52</f>
        <v>0.78531643335767887</v>
      </c>
      <c r="R52" s="157">
        <f>'Raw Data'!C52/'Raw Data'!I$23*100</f>
        <v>13.901255983536466</v>
      </c>
      <c r="S52" s="95">
        <f t="shared" si="7"/>
        <v>0.13610018250440845</v>
      </c>
      <c r="T52" s="95">
        <f t="shared" si="8"/>
        <v>4.475322194046838E-2</v>
      </c>
      <c r="U52" s="71">
        <f t="shared" si="9"/>
        <v>0.46496300953320913</v>
      </c>
      <c r="V52" s="71">
        <f t="shared" si="10"/>
        <v>109.28924261417207</v>
      </c>
      <c r="W52" s="71">
        <f t="shared" si="11"/>
        <v>0.22708242199861498</v>
      </c>
      <c r="X52" s="42">
        <f t="shared" si="12"/>
        <v>16.838460005352115</v>
      </c>
      <c r="AS52" s="150"/>
      <c r="AT52" s="150"/>
    </row>
    <row r="53" spans="1:46" ht="12.4" customHeight="1" x14ac:dyDescent="0.2">
      <c r="A53" s="157">
        <f>'Raw Data'!A53</f>
        <v>35.258438110351562</v>
      </c>
      <c r="B53" s="8">
        <f>'Raw Data'!E53</f>
        <v>0.5090851726215837</v>
      </c>
      <c r="C53" s="8">
        <f t="shared" si="1"/>
        <v>0.4909148273784163</v>
      </c>
      <c r="D53" s="80">
        <f t="shared" si="2"/>
        <v>1.5998593677264195E-2</v>
      </c>
      <c r="E53" s="70">
        <f>(2*Table!$AC$16*0.147)/A53</f>
        <v>3.0979896727832084</v>
      </c>
      <c r="F53" s="70">
        <f t="shared" si="3"/>
        <v>6.1959793455664167</v>
      </c>
      <c r="G53" s="157">
        <f>IF((('Raw Data'!C53)/('Raw Data'!C$136)*100)&lt;0,0,('Raw Data'!C53)/('Raw Data'!C$136)*100)</f>
        <v>50.908517262158369</v>
      </c>
      <c r="H53" s="157">
        <f t="shared" si="4"/>
        <v>1.5998593677264168</v>
      </c>
      <c r="I53" s="146">
        <f t="shared" si="5"/>
        <v>7.162743283549583E-2</v>
      </c>
      <c r="J53" s="70">
        <f>'Raw Data'!F53/I53</f>
        <v>0.22335846817248908</v>
      </c>
      <c r="K53" s="138">
        <f t="shared" si="6"/>
        <v>0.44056384063447762</v>
      </c>
      <c r="L53" s="157">
        <f>A53*Table!$AC$9/$AC$16</f>
        <v>6.6430176255271682</v>
      </c>
      <c r="M53" s="157">
        <f>A53*Table!$AD$9/$AC$16</f>
        <v>2.2776060430378862</v>
      </c>
      <c r="N53" s="157">
        <f>ABS(A53*Table!$AE$9/$AC$16)</f>
        <v>2.8765110107471545</v>
      </c>
      <c r="O53" s="157">
        <f>($L53*(Table!$AC$10/Table!$AC$9)/(Table!$AC$12-Table!$AC$14))</f>
        <v>14.249287056042833</v>
      </c>
      <c r="P53" s="157">
        <f>$N53*(Table!$AE$10/Table!$AE$9)/(Table!$AC$12-Table!$AC$13)</f>
        <v>23.616674965083362</v>
      </c>
      <c r="Q53" s="157">
        <f>'Raw Data'!C53</f>
        <v>0.81079666149989849</v>
      </c>
      <c r="R53" s="157">
        <f>'Raw Data'!C53/'Raw Data'!I$23*100</f>
        <v>14.352293500234625</v>
      </c>
      <c r="S53" s="95">
        <f t="shared" si="7"/>
        <v>0.12890385715953667</v>
      </c>
      <c r="T53" s="95">
        <f t="shared" si="8"/>
        <v>3.5980202958051488E-2</v>
      </c>
      <c r="U53" s="71">
        <f t="shared" si="9"/>
        <v>0.40705982083820441</v>
      </c>
      <c r="V53" s="71">
        <f t="shared" si="10"/>
        <v>87.278037969005325</v>
      </c>
      <c r="W53" s="71">
        <f t="shared" si="11"/>
        <v>0.15464499085954167</v>
      </c>
      <c r="X53" s="42">
        <f t="shared" si="12"/>
        <v>16.993104996211656</v>
      </c>
      <c r="Z53" s="8"/>
      <c r="AS53" s="150"/>
      <c r="AT53" s="150"/>
    </row>
    <row r="54" spans="1:46" ht="12.4" customHeight="1" x14ac:dyDescent="0.2">
      <c r="A54" s="157">
        <f>'Raw Data'!A54</f>
        <v>37.542892456054687</v>
      </c>
      <c r="B54" s="8">
        <f>'Raw Data'!E54</f>
        <v>0.52447776693962456</v>
      </c>
      <c r="C54" s="8">
        <f t="shared" si="1"/>
        <v>0.47552223306037544</v>
      </c>
      <c r="D54" s="80">
        <f t="shared" si="2"/>
        <v>1.5392594318040853E-2</v>
      </c>
      <c r="E54" s="70">
        <f>(2*Table!$AC$16*0.147)/A54</f>
        <v>2.9094795312373183</v>
      </c>
      <c r="F54" s="70">
        <f t="shared" si="3"/>
        <v>5.8189590624746366</v>
      </c>
      <c r="G54" s="157">
        <f>IF((('Raw Data'!C54)/('Raw Data'!C$136)*100)&lt;0,0,('Raw Data'!C54)/('Raw Data'!C$136)*100)</f>
        <v>52.447776693962453</v>
      </c>
      <c r="H54" s="157">
        <f t="shared" si="4"/>
        <v>1.5392594318040835</v>
      </c>
      <c r="I54" s="146">
        <f t="shared" si="5"/>
        <v>2.7264659502591881E-2</v>
      </c>
      <c r="J54" s="70">
        <f>'Raw Data'!F54/I54</f>
        <v>0.56456213277035694</v>
      </c>
      <c r="K54" s="138">
        <f t="shared" si="6"/>
        <v>0.4691087233416219</v>
      </c>
      <c r="L54" s="157">
        <f>A54*Table!$AC$9/$AC$16</f>
        <v>7.0734300685208513</v>
      </c>
      <c r="M54" s="157">
        <f>A54*Table!$AD$9/$AC$16</f>
        <v>2.4251760234928632</v>
      </c>
      <c r="N54" s="157">
        <f>ABS(A54*Table!$AE$9/$AC$16)</f>
        <v>3.0628850656158799</v>
      </c>
      <c r="O54" s="157">
        <f>($L54*(Table!$AC$10/Table!$AC$9)/(Table!$AC$12-Table!$AC$14))</f>
        <v>15.172522669499898</v>
      </c>
      <c r="P54" s="157">
        <f>$N54*(Table!$AE$10/Table!$AE$9)/(Table!$AC$12-Table!$AC$13)</f>
        <v>25.146839619177992</v>
      </c>
      <c r="Q54" s="157">
        <f>'Raw Data'!C54</f>
        <v>0.83531174218987703</v>
      </c>
      <c r="R54" s="157">
        <f>'Raw Data'!C54/'Raw Data'!I$23*100</f>
        <v>14.786246487403593</v>
      </c>
      <c r="S54" s="95">
        <f t="shared" si="7"/>
        <v>0.12402119957000696</v>
      </c>
      <c r="T54" s="95">
        <f t="shared" si="8"/>
        <v>2.8535459018630749E-2</v>
      </c>
      <c r="U54" s="71">
        <f t="shared" si="9"/>
        <v>0.39384942182362292</v>
      </c>
      <c r="V54" s="71">
        <f t="shared" si="10"/>
        <v>82.542246498283475</v>
      </c>
      <c r="W54" s="71">
        <f t="shared" si="11"/>
        <v>0.13123103469521627</v>
      </c>
      <c r="X54" s="42">
        <f t="shared" si="12"/>
        <v>17.124336030906871</v>
      </c>
      <c r="Z54" s="8"/>
      <c r="AS54" s="150"/>
      <c r="AT54" s="150"/>
    </row>
    <row r="55" spans="1:46" ht="12.4" customHeight="1" x14ac:dyDescent="0.2">
      <c r="A55" s="157">
        <f>'Raw Data'!A55</f>
        <v>40.872989654541016</v>
      </c>
      <c r="B55" s="8">
        <f>'Raw Data'!E55</f>
        <v>0.53937596572011293</v>
      </c>
      <c r="C55" s="8">
        <f t="shared" si="1"/>
        <v>0.46062403427988707</v>
      </c>
      <c r="D55" s="80">
        <f t="shared" si="2"/>
        <v>1.489819878048837E-2</v>
      </c>
      <c r="E55" s="70">
        <f>(2*Table!$AC$16*0.147)/A55</f>
        <v>2.6724317958522392</v>
      </c>
      <c r="F55" s="70">
        <f t="shared" si="3"/>
        <v>5.3448635917044784</v>
      </c>
      <c r="G55" s="157">
        <f>IF((('Raw Data'!C55)/('Raw Data'!C$136)*100)&lt;0,0,('Raw Data'!C55)/('Raw Data'!C$136)*100)</f>
        <v>53.937596572011294</v>
      </c>
      <c r="H55" s="157">
        <f t="shared" si="4"/>
        <v>1.4898198780488414</v>
      </c>
      <c r="I55" s="146">
        <f t="shared" si="5"/>
        <v>3.6908675965105109E-2</v>
      </c>
      <c r="J55" s="70">
        <f>'Raw Data'!F55/I55</f>
        <v>0.40365031773487903</v>
      </c>
      <c r="K55" s="138">
        <f t="shared" si="6"/>
        <v>0.5107191998709415</v>
      </c>
      <c r="L55" s="157">
        <f>A55*Table!$AC$9/$AC$16</f>
        <v>7.7008513489254566</v>
      </c>
      <c r="M55" s="157">
        <f>A55*Table!$AD$9/$AC$16</f>
        <v>2.6402918910601567</v>
      </c>
      <c r="N55" s="157">
        <f>ABS(A55*Table!$AE$9/$AC$16)</f>
        <v>3.3345664494685536</v>
      </c>
      <c r="O55" s="157">
        <f>($L55*(Table!$AC$10/Table!$AC$9)/(Table!$AC$12-Table!$AC$14))</f>
        <v>16.518342661787766</v>
      </c>
      <c r="P55" s="157">
        <f>$N55*(Table!$AE$10/Table!$AE$9)/(Table!$AC$12-Table!$AC$13)</f>
        <v>27.377392852779582</v>
      </c>
      <c r="Q55" s="157">
        <f>'Raw Data'!C55</f>
        <v>0.85903942172801362</v>
      </c>
      <c r="R55" s="157">
        <f>'Raw Data'!C55/'Raw Data'!I$23*100</f>
        <v>15.206261316005461</v>
      </c>
      <c r="S55" s="95">
        <f t="shared" si="7"/>
        <v>0.1200377562100106</v>
      </c>
      <c r="T55" s="95">
        <f t="shared" si="8"/>
        <v>2.2456148117853236E-2</v>
      </c>
      <c r="U55" s="71">
        <f t="shared" si="9"/>
        <v>0.37203692327204246</v>
      </c>
      <c r="V55" s="71">
        <f t="shared" si="10"/>
        <v>74.96074537039155</v>
      </c>
      <c r="W55" s="71">
        <f t="shared" si="11"/>
        <v>0.10716208189760908</v>
      </c>
      <c r="X55" s="42">
        <f t="shared" si="12"/>
        <v>17.231498112804481</v>
      </c>
      <c r="Z55" s="8"/>
      <c r="AS55" s="150"/>
      <c r="AT55" s="150"/>
    </row>
    <row r="56" spans="1:46" ht="12.4" customHeight="1" x14ac:dyDescent="0.2">
      <c r="A56" s="157">
        <f>'Raw Data'!A56</f>
        <v>45.372196197509766</v>
      </c>
      <c r="B56" s="8">
        <f>'Raw Data'!E56</f>
        <v>0.55364851300973317</v>
      </c>
      <c r="C56" s="8">
        <f t="shared" si="1"/>
        <v>0.44635148699026683</v>
      </c>
      <c r="D56" s="80">
        <f t="shared" si="2"/>
        <v>1.4272547289620241E-2</v>
      </c>
      <c r="E56" s="70">
        <f>(2*Table!$AC$16*0.147)/A56</f>
        <v>2.4074275943982211</v>
      </c>
      <c r="F56" s="70">
        <f t="shared" si="3"/>
        <v>4.8148551887964421</v>
      </c>
      <c r="G56" s="157">
        <f>IF((('Raw Data'!C56)/('Raw Data'!C$136)*100)&lt;0,0,('Raw Data'!C56)/('Raw Data'!C$136)*100)</f>
        <v>55.364851300973314</v>
      </c>
      <c r="H56" s="157">
        <f t="shared" si="4"/>
        <v>1.4272547289620192</v>
      </c>
      <c r="I56" s="146">
        <f t="shared" si="5"/>
        <v>4.5353396041156457E-2</v>
      </c>
      <c r="J56" s="70">
        <f>'Raw Data'!F56/I56</f>
        <v>0.31469633005361836</v>
      </c>
      <c r="K56" s="138">
        <f t="shared" si="6"/>
        <v>0.56693801785074671</v>
      </c>
      <c r="L56" s="157">
        <f>A56*Table!$AC$9/$AC$16</f>
        <v>8.5485437019526778</v>
      </c>
      <c r="M56" s="157">
        <f>A56*Table!$AD$9/$AC$16</f>
        <v>2.9309292692409179</v>
      </c>
      <c r="N56" s="157">
        <f>ABS(A56*Table!$AE$9/$AC$16)</f>
        <v>3.7016280056262438</v>
      </c>
      <c r="O56" s="157">
        <f>($L56*(Table!$AC$10/Table!$AC$9)/(Table!$AC$12-Table!$AC$14))</f>
        <v>18.336644577333075</v>
      </c>
      <c r="P56" s="157">
        <f>$N56*(Table!$AE$10/Table!$AE$9)/(Table!$AC$12-Table!$AC$13)</f>
        <v>30.391034528951092</v>
      </c>
      <c r="Q56" s="157">
        <f>'Raw Data'!C56</f>
        <v>0.88177065476301186</v>
      </c>
      <c r="R56" s="157">
        <f>'Raw Data'!C56/'Raw Data'!I$23*100</f>
        <v>15.608637575839831</v>
      </c>
      <c r="S56" s="95">
        <f t="shared" si="7"/>
        <v>0.11499675747990799</v>
      </c>
      <c r="T56" s="95">
        <f t="shared" si="8"/>
        <v>1.7729913378311202E-2</v>
      </c>
      <c r="U56" s="71">
        <f t="shared" si="9"/>
        <v>0.34401326988655895</v>
      </c>
      <c r="V56" s="71">
        <f t="shared" si="10"/>
        <v>65.663125501445279</v>
      </c>
      <c r="W56" s="71">
        <f t="shared" si="11"/>
        <v>8.3310947982829758E-2</v>
      </c>
      <c r="X56" s="42">
        <f t="shared" si="12"/>
        <v>17.314809060787312</v>
      </c>
      <c r="Z56" s="8"/>
      <c r="AS56" s="150"/>
      <c r="AT56" s="150"/>
    </row>
    <row r="57" spans="1:46" ht="12.4" customHeight="1" x14ac:dyDescent="0.2">
      <c r="A57" s="157">
        <f>'Raw Data'!A57</f>
        <v>48.300151824951172</v>
      </c>
      <c r="B57" s="8">
        <f>'Raw Data'!E57</f>
        <v>0.56728734594712837</v>
      </c>
      <c r="C57" s="8">
        <f t="shared" si="1"/>
        <v>0.43271265405287163</v>
      </c>
      <c r="D57" s="80">
        <f t="shared" si="2"/>
        <v>1.3638832937395207E-2</v>
      </c>
      <c r="E57" s="70">
        <f>(2*Table!$AC$16*0.147)/A57</f>
        <v>2.2614893125016686</v>
      </c>
      <c r="F57" s="70">
        <f t="shared" si="3"/>
        <v>4.5229786250033372</v>
      </c>
      <c r="G57" s="157">
        <f>IF((('Raw Data'!C57)/('Raw Data'!C$136)*100)&lt;0,0,('Raw Data'!C57)/('Raw Data'!C$136)*100)</f>
        <v>56.72873459471284</v>
      </c>
      <c r="H57" s="157">
        <f t="shared" si="4"/>
        <v>1.3638832937395264</v>
      </c>
      <c r="I57" s="146">
        <f t="shared" si="5"/>
        <v>2.7158694517820159E-2</v>
      </c>
      <c r="J57" s="70">
        <f>'Raw Data'!F57/I57</f>
        <v>0.50219029962747641</v>
      </c>
      <c r="K57" s="138">
        <f t="shared" si="6"/>
        <v>0.60352362531287074</v>
      </c>
      <c r="L57" s="157">
        <f>A57*Table!$AC$9/$AC$16</f>
        <v>9.1001977706603956</v>
      </c>
      <c r="M57" s="157">
        <f>A57*Table!$AD$9/$AC$16</f>
        <v>3.1200678070835646</v>
      </c>
      <c r="N57" s="157">
        <f>ABS(A57*Table!$AE$9/$AC$16)</f>
        <v>3.9405012244272091</v>
      </c>
      <c r="O57" s="157">
        <f>($L57*(Table!$AC$10/Table!$AC$9)/(Table!$AC$12-Table!$AC$14))</f>
        <v>19.519943738010291</v>
      </c>
      <c r="P57" s="157">
        <f>$N57*(Table!$AE$10/Table!$AE$9)/(Table!$AC$12-Table!$AC$13)</f>
        <v>32.352226801537014</v>
      </c>
      <c r="Q57" s="157">
        <f>'Raw Data'!C57</f>
        <v>0.90349259994450082</v>
      </c>
      <c r="R57" s="157">
        <f>'Raw Data'!C57/'Raw Data'!I$23*100</f>
        <v>15.993147956116943</v>
      </c>
      <c r="S57" s="95">
        <f t="shared" si="7"/>
        <v>0.10989079466923593</v>
      </c>
      <c r="T57" s="95">
        <f t="shared" si="8"/>
        <v>1.3744497762541497E-2</v>
      </c>
      <c r="U57" s="71">
        <f t="shared" si="9"/>
        <v>0.33112003486198383</v>
      </c>
      <c r="V57" s="71">
        <f t="shared" si="10"/>
        <v>61.555704629678758</v>
      </c>
      <c r="W57" s="71">
        <f t="shared" si="11"/>
        <v>7.0252277204397404E-2</v>
      </c>
      <c r="X57" s="42">
        <f t="shared" si="12"/>
        <v>17.385061337991708</v>
      </c>
      <c r="Z57" s="8"/>
      <c r="AS57" s="150"/>
      <c r="AT57" s="150"/>
    </row>
    <row r="58" spans="1:46" ht="12.4" customHeight="1" x14ac:dyDescent="0.2">
      <c r="A58" s="157">
        <f>'Raw Data'!A58</f>
        <v>54.405387878417969</v>
      </c>
      <c r="B58" s="8">
        <f>'Raw Data'!E58</f>
        <v>0.57958973250231927</v>
      </c>
      <c r="C58" s="8">
        <f t="shared" si="1"/>
        <v>0.42041026749768073</v>
      </c>
      <c r="D58" s="80">
        <f t="shared" si="2"/>
        <v>1.2302386555190892E-2</v>
      </c>
      <c r="E58" s="70">
        <f>(2*Table!$AC$16*0.147)/A58</f>
        <v>2.0077106588861491</v>
      </c>
      <c r="F58" s="70">
        <f t="shared" si="3"/>
        <v>4.0154213177722982</v>
      </c>
      <c r="G58" s="157">
        <f>IF((('Raw Data'!C58)/('Raw Data'!C$136)*100)&lt;0,0,('Raw Data'!C58)/('Raw Data'!C$136)*100)</f>
        <v>57.958973250231928</v>
      </c>
      <c r="H58" s="157">
        <f t="shared" si="4"/>
        <v>1.2302386555190878</v>
      </c>
      <c r="I58" s="146">
        <f t="shared" si="5"/>
        <v>5.1693415012153743E-2</v>
      </c>
      <c r="J58" s="70">
        <f>'Raw Data'!F58/I58</f>
        <v>0.23798749903248709</v>
      </c>
      <c r="K58" s="138">
        <f t="shared" si="6"/>
        <v>0.67981022187954421</v>
      </c>
      <c r="L58" s="157">
        <f>A58*Table!$AC$9/$AC$16</f>
        <v>10.250481018722841</v>
      </c>
      <c r="M58" s="157">
        <f>A58*Table!$AD$9/$AC$16</f>
        <v>3.5144506349906881</v>
      </c>
      <c r="N58" s="157">
        <f>ABS(A58*Table!$AE$9/$AC$16)</f>
        <v>4.4385884816120855</v>
      </c>
      <c r="O58" s="157">
        <f>($L58*(Table!$AC$10/Table!$AC$9)/(Table!$AC$12-Table!$AC$14))</f>
        <v>21.987303772464269</v>
      </c>
      <c r="P58" s="157">
        <f>$N58*(Table!$AE$10/Table!$AE$9)/(Table!$AC$12-Table!$AC$13)</f>
        <v>36.441613149524507</v>
      </c>
      <c r="Q58" s="157">
        <f>'Raw Data'!C58</f>
        <v>0.92308604812148087</v>
      </c>
      <c r="R58" s="157">
        <f>'Raw Data'!C58/'Raw Data'!I$23*100</f>
        <v>16.33998080863195</v>
      </c>
      <c r="S58" s="95">
        <f t="shared" si="7"/>
        <v>9.9122779865668281E-2</v>
      </c>
      <c r="T58" s="95">
        <f t="shared" si="8"/>
        <v>1.091115610244564E-2</v>
      </c>
      <c r="U58" s="71">
        <f t="shared" si="9"/>
        <v>0.30033754828010045</v>
      </c>
      <c r="V58" s="71">
        <f t="shared" si="10"/>
        <v>52.192822337630915</v>
      </c>
      <c r="W58" s="71">
        <f t="shared" si="11"/>
        <v>4.9944277563476087E-2</v>
      </c>
      <c r="X58" s="42">
        <f t="shared" si="12"/>
        <v>17.435005615555184</v>
      </c>
      <c r="Z58" s="8"/>
      <c r="AS58" s="150"/>
      <c r="AT58" s="150"/>
    </row>
    <row r="59" spans="1:46" ht="12.4" customHeight="1" x14ac:dyDescent="0.2">
      <c r="A59" s="157">
        <f>'Raw Data'!A59</f>
        <v>58.909255981445313</v>
      </c>
      <c r="B59" s="8">
        <f>'Raw Data'!E59</f>
        <v>0.5910020169607404</v>
      </c>
      <c r="C59" s="8">
        <f t="shared" si="1"/>
        <v>0.4089979830392596</v>
      </c>
      <c r="D59" s="80">
        <f t="shared" si="2"/>
        <v>1.1412284458421129E-2</v>
      </c>
      <c r="E59" s="70">
        <f>(2*Table!$AC$16*0.147)/A59</f>
        <v>1.8542124717843895</v>
      </c>
      <c r="F59" s="70">
        <f t="shared" si="3"/>
        <v>3.7084249435687791</v>
      </c>
      <c r="G59" s="157">
        <f>IF((('Raw Data'!C59)/('Raw Data'!C$136)*100)&lt;0,0,('Raw Data'!C59)/('Raw Data'!C$136)*100)</f>
        <v>59.100201696074038</v>
      </c>
      <c r="H59" s="157">
        <f t="shared" si="4"/>
        <v>1.1412284458421098</v>
      </c>
      <c r="I59" s="146">
        <f t="shared" si="5"/>
        <v>3.4541626759368282E-2</v>
      </c>
      <c r="J59" s="70">
        <f>'Raw Data'!F59/I59</f>
        <v>0.33039221163276339</v>
      </c>
      <c r="K59" s="138">
        <f t="shared" si="6"/>
        <v>0.73608728732897177</v>
      </c>
      <c r="L59" s="157">
        <f>A59*Table!$AC$9/$AC$16</f>
        <v>11.099051653015238</v>
      </c>
      <c r="M59" s="157">
        <f>A59*Table!$AD$9/$AC$16</f>
        <v>3.8053891381766527</v>
      </c>
      <c r="N59" s="157">
        <f>ABS(A59*Table!$AE$9/$AC$16)</f>
        <v>4.8060303447134318</v>
      </c>
      <c r="O59" s="157">
        <f>($L59*(Table!$AC$10/Table!$AC$9)/(Table!$AC$12-Table!$AC$14))</f>
        <v>23.807489603207291</v>
      </c>
      <c r="P59" s="157">
        <f>$N59*(Table!$AE$10/Table!$AE$9)/(Table!$AC$12-Table!$AC$13)</f>
        <v>39.458377214395981</v>
      </c>
      <c r="Q59" s="157">
        <f>'Raw Data'!C59</f>
        <v>0.94126187141510709</v>
      </c>
      <c r="R59" s="157">
        <f>'Raw Data'!C59/'Raw Data'!I$23*100</f>
        <v>16.661719615543106</v>
      </c>
      <c r="S59" s="95">
        <f t="shared" si="7"/>
        <v>9.1951049909024113E-2</v>
      </c>
      <c r="T59" s="95">
        <f t="shared" si="8"/>
        <v>8.6693455296220634E-3</v>
      </c>
      <c r="U59" s="71">
        <f t="shared" si="9"/>
        <v>0.28283704042690777</v>
      </c>
      <c r="V59" s="71">
        <f t="shared" si="10"/>
        <v>47.154240289836096</v>
      </c>
      <c r="W59" s="71">
        <f t="shared" si="11"/>
        <v>3.9517157803710727E-2</v>
      </c>
      <c r="X59" s="42">
        <f t="shared" si="12"/>
        <v>17.474522773358895</v>
      </c>
      <c r="Z59" s="8"/>
      <c r="AS59" s="150"/>
      <c r="AT59" s="150"/>
    </row>
    <row r="60" spans="1:46" ht="12.4" customHeight="1" x14ac:dyDescent="0.2">
      <c r="A60" s="157">
        <f>'Raw Data'!A60</f>
        <v>64.634506225585938</v>
      </c>
      <c r="B60" s="8">
        <f>'Raw Data'!E60</f>
        <v>0.60226874885704396</v>
      </c>
      <c r="C60" s="8">
        <f t="shared" si="1"/>
        <v>0.39773125114295604</v>
      </c>
      <c r="D60" s="80">
        <f t="shared" si="2"/>
        <v>1.1266731896303561E-2</v>
      </c>
      <c r="E60" s="70">
        <f>(2*Table!$AC$16*0.147)/A60</f>
        <v>1.6899684630234806</v>
      </c>
      <c r="F60" s="70">
        <f t="shared" si="3"/>
        <v>3.3799369260469612</v>
      </c>
      <c r="G60" s="157">
        <f>IF((('Raw Data'!C60)/('Raw Data'!C$136)*100)&lt;0,0,('Raw Data'!C60)/('Raw Data'!C$136)*100)</f>
        <v>60.226874885704397</v>
      </c>
      <c r="H60" s="157">
        <f t="shared" si="4"/>
        <v>1.1266731896303597</v>
      </c>
      <c r="I60" s="146">
        <f t="shared" si="5"/>
        <v>4.0280897699295354E-2</v>
      </c>
      <c r="J60" s="70">
        <f>'Raw Data'!F60/I60</f>
        <v>0.27970409151285258</v>
      </c>
      <c r="K60" s="138">
        <f t="shared" si="6"/>
        <v>0.80762585713906043</v>
      </c>
      <c r="L60" s="157">
        <f>A60*Table!$AC$9/$AC$16</f>
        <v>12.177742040925919</v>
      </c>
      <c r="M60" s="157">
        <f>A60*Table!$AD$9/$AC$16</f>
        <v>4.1752258426031723</v>
      </c>
      <c r="N60" s="157">
        <f>ABS(A60*Table!$AE$9/$AC$16)</f>
        <v>5.2731169840878023</v>
      </c>
      <c r="O60" s="157">
        <f>($L60*(Table!$AC$10/Table!$AC$9)/(Table!$AC$12-Table!$AC$14))</f>
        <v>26.121282799068901</v>
      </c>
      <c r="P60" s="157">
        <f>$N60*(Table!$AE$10/Table!$AE$9)/(Table!$AC$12-Table!$AC$13)</f>
        <v>43.293242890704441</v>
      </c>
      <c r="Q60" s="157">
        <f>'Raw Data'!C60</f>
        <v>0.95920587980273231</v>
      </c>
      <c r="R60" s="157">
        <f>'Raw Data'!C60/'Raw Data'!I$23*100</f>
        <v>16.979354957644105</v>
      </c>
      <c r="S60" s="95">
        <f t="shared" si="7"/>
        <v>9.0778303913038802E-2</v>
      </c>
      <c r="T60" s="95">
        <f t="shared" si="8"/>
        <v>6.8308503758520711E-3</v>
      </c>
      <c r="U60" s="71">
        <f t="shared" si="9"/>
        <v>0.26269799135438787</v>
      </c>
      <c r="V60" s="71">
        <f t="shared" si="10"/>
        <v>41.617334722601157</v>
      </c>
      <c r="W60" s="71">
        <f t="shared" si="11"/>
        <v>3.2407779673096097E-2</v>
      </c>
      <c r="X60" s="42">
        <f t="shared" si="12"/>
        <v>17.506930553031992</v>
      </c>
      <c r="Z60" s="8"/>
      <c r="AS60" s="150"/>
      <c r="AT60" s="150"/>
    </row>
    <row r="61" spans="1:46" ht="12.4" customHeight="1" x14ac:dyDescent="0.2">
      <c r="A61" s="157">
        <f>'Raw Data'!A61</f>
        <v>70.703018188476563</v>
      </c>
      <c r="B61" s="8">
        <f>'Raw Data'!E61</f>
        <v>0.61278043317675912</v>
      </c>
      <c r="C61" s="8">
        <f t="shared" si="1"/>
        <v>0.38721956682324088</v>
      </c>
      <c r="D61" s="80">
        <f t="shared" si="2"/>
        <v>1.0511684319715164E-2</v>
      </c>
      <c r="E61" s="70">
        <f>(2*Table!$AC$16*0.147)/A61</f>
        <v>1.5449167509816122</v>
      </c>
      <c r="F61" s="70">
        <f t="shared" si="3"/>
        <v>3.0898335019632244</v>
      </c>
      <c r="G61" s="157">
        <f>IF((('Raw Data'!C61)/('Raw Data'!C$136)*100)&lt;0,0,('Raw Data'!C61)/('Raw Data'!C$136)*100)</f>
        <v>61.278043317675909</v>
      </c>
      <c r="H61" s="157">
        <f t="shared" si="4"/>
        <v>1.0511684319715116</v>
      </c>
      <c r="I61" s="146">
        <f t="shared" si="5"/>
        <v>3.8973518096196452E-2</v>
      </c>
      <c r="J61" s="70">
        <f>'Raw Data'!F61/I61</f>
        <v>0.26971350889518575</v>
      </c>
      <c r="K61" s="138">
        <f t="shared" si="6"/>
        <v>0.88345357613613162</v>
      </c>
      <c r="L61" s="157">
        <f>A61*Table!$AC$9/$AC$16</f>
        <v>13.321106128808454</v>
      </c>
      <c r="M61" s="157">
        <f>A61*Table!$AD$9/$AC$16</f>
        <v>4.5672363870200412</v>
      </c>
      <c r="N61" s="157">
        <f>ABS(A61*Table!$AE$9/$AC$16)</f>
        <v>5.7682081570283508</v>
      </c>
      <c r="O61" s="157">
        <f>($L61*(Table!$AC$10/Table!$AC$9)/(Table!$AC$12-Table!$AC$14))</f>
        <v>28.573801220095358</v>
      </c>
      <c r="P61" s="157">
        <f>$N61*(Table!$AE$10/Table!$AE$9)/(Table!$AC$12-Table!$AC$13)</f>
        <v>47.358030845881366</v>
      </c>
      <c r="Q61" s="157">
        <f>'Raw Data'!C61</f>
        <v>0.97594735846194502</v>
      </c>
      <c r="R61" s="157">
        <f>'Raw Data'!C61/'Raw Data'!I$23*100</f>
        <v>17.275703754764756</v>
      </c>
      <c r="S61" s="95">
        <f t="shared" si="7"/>
        <v>8.4694735136645674E-2</v>
      </c>
      <c r="T61" s="95">
        <f t="shared" si="8"/>
        <v>5.3973764319560358E-3</v>
      </c>
      <c r="U61" s="71">
        <f t="shared" si="9"/>
        <v>0.24434181449951756</v>
      </c>
      <c r="V61" s="71">
        <f t="shared" si="10"/>
        <v>36.819438946088702</v>
      </c>
      <c r="W61" s="71">
        <f t="shared" si="11"/>
        <v>2.5268332987251382E-2</v>
      </c>
      <c r="X61" s="42">
        <f t="shared" si="12"/>
        <v>17.532198886019245</v>
      </c>
      <c r="Z61" s="8"/>
      <c r="AS61" s="150"/>
      <c r="AT61" s="150"/>
    </row>
    <row r="62" spans="1:46" ht="12.4" customHeight="1" x14ac:dyDescent="0.2">
      <c r="A62" s="157">
        <f>'Raw Data'!A62</f>
        <v>77.537406921386719</v>
      </c>
      <c r="B62" s="8">
        <f>'Raw Data'!E62</f>
        <v>0.62165660370701947</v>
      </c>
      <c r="C62" s="8">
        <f t="shared" si="1"/>
        <v>0.37834339629298053</v>
      </c>
      <c r="D62" s="80">
        <f t="shared" si="2"/>
        <v>8.8761705302603522E-3</v>
      </c>
      <c r="E62" s="70">
        <f>(2*Table!$AC$16*0.147)/A62</f>
        <v>1.4087429729895526</v>
      </c>
      <c r="F62" s="70">
        <f t="shared" si="3"/>
        <v>2.8174859459791053</v>
      </c>
      <c r="G62" s="157">
        <f>IF((('Raw Data'!C62)/('Raw Data'!C$136)*100)&lt;0,0,('Raw Data'!C62)/('Raw Data'!C$136)*100)</f>
        <v>62.16566037070195</v>
      </c>
      <c r="H62" s="157">
        <f t="shared" si="4"/>
        <v>0.88761705302604099</v>
      </c>
      <c r="I62" s="146">
        <f t="shared" si="5"/>
        <v>4.0073319364814619E-2</v>
      </c>
      <c r="J62" s="70">
        <f>'Raw Data'!F62/I62</f>
        <v>0.22149826046239265</v>
      </c>
      <c r="K62" s="138">
        <f t="shared" si="6"/>
        <v>0.96885113512998566</v>
      </c>
      <c r="L62" s="157">
        <f>A62*Table!$AC$9/$AC$16</f>
        <v>14.608768522426994</v>
      </c>
      <c r="M62" s="157">
        <f>A62*Table!$AD$9/$AC$16</f>
        <v>5.0087206362606835</v>
      </c>
      <c r="N62" s="157">
        <f>ABS(A62*Table!$AE$9/$AC$16)</f>
        <v>6.3257823292141184</v>
      </c>
      <c r="O62" s="157">
        <f>($L62*(Table!$AC$10/Table!$AC$9)/(Table!$AC$12-Table!$AC$14))</f>
        <v>31.33583981644572</v>
      </c>
      <c r="P62" s="157">
        <f>$N62*(Table!$AE$10/Table!$AE$9)/(Table!$AC$12-Table!$AC$13)</f>
        <v>51.935815510789133</v>
      </c>
      <c r="Q62" s="157">
        <f>'Raw Data'!C62</f>
        <v>0.99008402914079896</v>
      </c>
      <c r="R62" s="157">
        <f>'Raw Data'!C62/'Raw Data'!I$23*100</f>
        <v>17.52594361925031</v>
      </c>
      <c r="S62" s="95">
        <f t="shared" si="7"/>
        <v>7.1517074640277151E-2</v>
      </c>
      <c r="T62" s="95">
        <f t="shared" si="8"/>
        <v>4.3909164953968016E-3</v>
      </c>
      <c r="U62" s="71">
        <f t="shared" si="9"/>
        <v>0.22603210908277388</v>
      </c>
      <c r="V62" s="71">
        <f t="shared" si="10"/>
        <v>32.275620328913277</v>
      </c>
      <c r="W62" s="71">
        <f t="shared" si="11"/>
        <v>1.7741211776887027E-2</v>
      </c>
      <c r="X62" s="42">
        <f t="shared" si="12"/>
        <v>17.549940097796132</v>
      </c>
      <c r="Z62" s="8"/>
      <c r="AS62" s="150"/>
      <c r="AT62" s="150"/>
    </row>
    <row r="63" spans="1:46" x14ac:dyDescent="0.2">
      <c r="A63" s="157">
        <f>'Raw Data'!A63</f>
        <v>84.772804260253906</v>
      </c>
      <c r="B63" s="8">
        <f>'Raw Data'!E63</f>
        <v>0.62961782170307534</v>
      </c>
      <c r="C63" s="8">
        <f t="shared" si="1"/>
        <v>0.37038217829692466</v>
      </c>
      <c r="D63" s="80">
        <f t="shared" si="2"/>
        <v>7.9612179960558693E-3</v>
      </c>
      <c r="E63" s="70">
        <f>(2*Table!$AC$16*0.147)/A63</f>
        <v>1.2885061205359716</v>
      </c>
      <c r="F63" s="70">
        <f t="shared" si="3"/>
        <v>2.5770122410719432</v>
      </c>
      <c r="G63" s="157">
        <f>IF((('Raw Data'!C63)/('Raw Data'!C$136)*100)&lt;0,0,('Raw Data'!C63)/('Raw Data'!C$136)*100)</f>
        <v>62.961782170307536</v>
      </c>
      <c r="H63" s="157">
        <f t="shared" si="4"/>
        <v>0.79612179960558649</v>
      </c>
      <c r="I63" s="146">
        <f t="shared" si="5"/>
        <v>3.8745276901810469E-2</v>
      </c>
      <c r="J63" s="70">
        <f>'Raw Data'!F63/I63</f>
        <v>0.20547583170540876</v>
      </c>
      <c r="K63" s="138">
        <f t="shared" si="6"/>
        <v>1.05925940648197</v>
      </c>
      <c r="L63" s="157">
        <f>A63*Table!$AC$9/$AC$16</f>
        <v>15.971984666583863</v>
      </c>
      <c r="M63" s="157">
        <f>A63*Table!$AD$9/$AC$16</f>
        <v>5.4761090285430392</v>
      </c>
      <c r="N63" s="157">
        <f>ABS(A63*Table!$AE$9/$AC$16)</f>
        <v>6.9160722350585768</v>
      </c>
      <c r="O63" s="157">
        <f>($L63*(Table!$AC$10/Table!$AC$9)/(Table!$AC$12-Table!$AC$14))</f>
        <v>34.259941369763759</v>
      </c>
      <c r="P63" s="157">
        <f>$N63*(Table!$AE$10/Table!$AE$9)/(Table!$AC$12-Table!$AC$13)</f>
        <v>56.782202258280584</v>
      </c>
      <c r="Q63" s="157">
        <f>'Raw Data'!C63</f>
        <v>1.0027634967816159</v>
      </c>
      <c r="R63" s="157">
        <f>'Raw Data'!C63/'Raw Data'!I$23*100</f>
        <v>17.750388846579053</v>
      </c>
      <c r="S63" s="95">
        <f t="shared" si="7"/>
        <v>6.414511975748903E-2</v>
      </c>
      <c r="T63" s="95">
        <f t="shared" si="8"/>
        <v>3.6357202592720572E-3</v>
      </c>
      <c r="U63" s="71">
        <f t="shared" si="9"/>
        <v>0.20938777478783252</v>
      </c>
      <c r="V63" s="71">
        <f t="shared" si="10"/>
        <v>28.359696609366889</v>
      </c>
      <c r="W63" s="71">
        <f t="shared" si="11"/>
        <v>1.3312101030071761E-2</v>
      </c>
      <c r="X63" s="42">
        <f t="shared" si="12"/>
        <v>17.563252198826202</v>
      </c>
      <c r="AS63" s="150"/>
      <c r="AT63" s="150"/>
    </row>
    <row r="64" spans="1:46" x14ac:dyDescent="0.2">
      <c r="A64" s="157">
        <f>'Raw Data'!A64</f>
        <v>92.482254028320313</v>
      </c>
      <c r="B64" s="8">
        <f>'Raw Data'!E64</f>
        <v>0.63816368427616743</v>
      </c>
      <c r="C64" s="8">
        <f t="shared" si="1"/>
        <v>0.36183631572383257</v>
      </c>
      <c r="D64" s="80">
        <f t="shared" si="2"/>
        <v>8.545862573092089E-3</v>
      </c>
      <c r="E64" s="70">
        <f>(2*Table!$AC$16*0.147)/A64</f>
        <v>1.1810944520327769</v>
      </c>
      <c r="F64" s="70">
        <f t="shared" si="3"/>
        <v>2.3621889040655537</v>
      </c>
      <c r="G64" s="157">
        <f>IF((('Raw Data'!C64)/('Raw Data'!C$136)*100)&lt;0,0,('Raw Data'!C64)/('Raw Data'!C$136)*100)</f>
        <v>63.816368427616744</v>
      </c>
      <c r="H64" s="157">
        <f t="shared" si="4"/>
        <v>0.85458625730920801</v>
      </c>
      <c r="I64" s="146">
        <f t="shared" si="5"/>
        <v>3.780185633636142E-2</v>
      </c>
      <c r="J64" s="70">
        <f>'Raw Data'!F64/I64</f>
        <v>0.2260699182878981</v>
      </c>
      <c r="K64" s="138">
        <f t="shared" si="6"/>
        <v>1.1555910927684574</v>
      </c>
      <c r="L64" s="157">
        <f>A64*Table!$AC$9/$AC$16</f>
        <v>17.424516696848286</v>
      </c>
      <c r="M64" s="157">
        <f>A64*Table!$AD$9/$AC$16</f>
        <v>5.9741200103479839</v>
      </c>
      <c r="N64" s="157">
        <f>ABS(A64*Table!$AE$9/$AC$16)</f>
        <v>7.5450370540683656</v>
      </c>
      <c r="O64" s="157">
        <f>($L64*(Table!$AC$10/Table!$AC$9)/(Table!$AC$12-Table!$AC$14))</f>
        <v>37.375625690365268</v>
      </c>
      <c r="P64" s="157">
        <f>$N64*(Table!$AE$10/Table!$AE$9)/(Table!$AC$12-Table!$AC$13)</f>
        <v>61.946117028475896</v>
      </c>
      <c r="Q64" s="157">
        <f>'Raw Data'!C64</f>
        <v>1.0163741010901615</v>
      </c>
      <c r="R64" s="157">
        <f>'Raw Data'!C64/'Raw Data'!I$23*100</f>
        <v>17.991316562525043</v>
      </c>
      <c r="S64" s="95">
        <f t="shared" si="7"/>
        <v>6.8855717611753797E-2</v>
      </c>
      <c r="T64" s="95">
        <f t="shared" si="8"/>
        <v>2.9545863639178771E-3</v>
      </c>
      <c r="U64" s="71">
        <f t="shared" si="9"/>
        <v>0.194538041395657</v>
      </c>
      <c r="V64" s="71">
        <f t="shared" si="10"/>
        <v>25.042608916047143</v>
      </c>
      <c r="W64" s="71">
        <f t="shared" si="11"/>
        <v>1.2006578947597418E-2</v>
      </c>
      <c r="X64" s="42">
        <f t="shared" si="12"/>
        <v>17.575258777773801</v>
      </c>
      <c r="AS64" s="150"/>
      <c r="AT64" s="150"/>
    </row>
    <row r="65" spans="1:46" x14ac:dyDescent="0.2">
      <c r="A65" s="157">
        <f>'Raw Data'!A65</f>
        <v>101.62871551513672</v>
      </c>
      <c r="B65" s="8">
        <f>'Raw Data'!E65</f>
        <v>0.64616917662300011</v>
      </c>
      <c r="C65" s="8">
        <f t="shared" si="1"/>
        <v>0.35383082337699989</v>
      </c>
      <c r="D65" s="80">
        <f t="shared" si="2"/>
        <v>8.0054923468326766E-3</v>
      </c>
      <c r="E65" s="70">
        <f>(2*Table!$AC$16*0.147)/A65</f>
        <v>1.0747973797628696</v>
      </c>
      <c r="F65" s="70">
        <f t="shared" si="3"/>
        <v>2.1495947595257392</v>
      </c>
      <c r="G65" s="157">
        <f>IF((('Raw Data'!C65)/('Raw Data'!C$136)*100)&lt;0,0,('Raw Data'!C65)/('Raw Data'!C$136)*100)</f>
        <v>64.616917662300011</v>
      </c>
      <c r="H65" s="157">
        <f t="shared" si="4"/>
        <v>0.80054923468326677</v>
      </c>
      <c r="I65" s="146">
        <f t="shared" si="5"/>
        <v>4.0958030498196615E-2</v>
      </c>
      <c r="J65" s="70">
        <f>'Raw Data'!F65/I65</f>
        <v>0.19545598871472003</v>
      </c>
      <c r="K65" s="138">
        <f t="shared" si="6"/>
        <v>1.2698786340439772</v>
      </c>
      <c r="L65" s="157">
        <f>A65*Table!$AC$9/$AC$16</f>
        <v>19.147795098403126</v>
      </c>
      <c r="M65" s="157">
        <f>A65*Table!$AD$9/$AC$16</f>
        <v>6.5649583194524999</v>
      </c>
      <c r="N65" s="157">
        <f>ABS(A65*Table!$AE$9/$AC$16)</f>
        <v>8.2912384908381309</v>
      </c>
      <c r="O65" s="157">
        <f>($L65*(Table!$AC$10/Table!$AC$9)/(Table!$AC$12-Table!$AC$14))</f>
        <v>41.072061558136269</v>
      </c>
      <c r="P65" s="157">
        <f>$N65*(Table!$AE$10/Table!$AE$9)/(Table!$AC$12-Table!$AC$13)</f>
        <v>68.072565606224387</v>
      </c>
      <c r="Q65" s="157">
        <f>'Raw Data'!C65</f>
        <v>1.02912408246371</v>
      </c>
      <c r="R65" s="157">
        <f>'Raw Data'!C65/'Raw Data'!I$23*100</f>
        <v>18.217009986640992</v>
      </c>
      <c r="S65" s="95">
        <f t="shared" si="7"/>
        <v>6.450184702386591E-2</v>
      </c>
      <c r="T65" s="95">
        <f t="shared" si="8"/>
        <v>2.4262036833899714E-3</v>
      </c>
      <c r="U65" s="71">
        <f t="shared" si="9"/>
        <v>0.17925061725224428</v>
      </c>
      <c r="V65" s="71">
        <f t="shared" si="10"/>
        <v>21.805942947761455</v>
      </c>
      <c r="W65" s="71">
        <f t="shared" si="11"/>
        <v>9.3139813061332843E-3</v>
      </c>
      <c r="X65" s="42">
        <f t="shared" si="12"/>
        <v>17.584572759079933</v>
      </c>
      <c r="AS65" s="150"/>
      <c r="AT65" s="150"/>
    </row>
    <row r="66" spans="1:46" x14ac:dyDescent="0.2">
      <c r="A66" s="157">
        <f>'Raw Data'!A66</f>
        <v>111.70113372802734</v>
      </c>
      <c r="B66" s="8">
        <f>'Raw Data'!E66</f>
        <v>0.65372761467189988</v>
      </c>
      <c r="C66" s="8">
        <f t="shared" si="1"/>
        <v>0.34627238532810012</v>
      </c>
      <c r="D66" s="80">
        <f t="shared" si="2"/>
        <v>7.5584380488997738E-3</v>
      </c>
      <c r="E66" s="70">
        <f>(2*Table!$AC$16*0.147)/A66</f>
        <v>0.9778797537569458</v>
      </c>
      <c r="F66" s="70">
        <f t="shared" si="3"/>
        <v>1.9557595075138916</v>
      </c>
      <c r="G66" s="157">
        <f>IF((('Raw Data'!C66)/('Raw Data'!C$136)*100)&lt;0,0,('Raw Data'!C66)/('Raw Data'!C$136)*100)</f>
        <v>65.372761467189989</v>
      </c>
      <c r="H66" s="157">
        <f t="shared" si="4"/>
        <v>0.75584380488997738</v>
      </c>
      <c r="I66" s="146">
        <f t="shared" si="5"/>
        <v>4.1041144509930481E-2</v>
      </c>
      <c r="J66" s="70">
        <f>'Raw Data'!F66/I66</f>
        <v>0.18416733108090841</v>
      </c>
      <c r="K66" s="138">
        <f t="shared" si="6"/>
        <v>1.3957362582092672</v>
      </c>
      <c r="L66" s="157">
        <f>A66*Table!$AC$9/$AC$16</f>
        <v>21.045532358076823</v>
      </c>
      <c r="M66" s="157">
        <f>A66*Table!$AD$9/$AC$16</f>
        <v>7.2156110941977678</v>
      </c>
      <c r="N66" s="157">
        <f>ABS(A66*Table!$AE$9/$AC$16)</f>
        <v>9.112982829130976</v>
      </c>
      <c r="O66" s="157">
        <f>($L66*(Table!$AC$10/Table!$AC$9)/(Table!$AC$12-Table!$AC$14))</f>
        <v>45.142712050786841</v>
      </c>
      <c r="P66" s="157">
        <f>$N66*(Table!$AE$10/Table!$AE$9)/(Table!$AC$12-Table!$AC$13)</f>
        <v>74.819235050336403</v>
      </c>
      <c r="Q66" s="157">
        <f>'Raw Data'!C66</f>
        <v>1.0411620609116838</v>
      </c>
      <c r="R66" s="157">
        <f>'Raw Data'!C66/'Raw Data'!I$23*100</f>
        <v>18.43009991169718</v>
      </c>
      <c r="S66" s="95">
        <f t="shared" si="7"/>
        <v>6.0899841464765153E-2</v>
      </c>
      <c r="T66" s="95">
        <f t="shared" si="8"/>
        <v>2.0132414881171012E-3</v>
      </c>
      <c r="U66" s="71">
        <f t="shared" si="9"/>
        <v>0.16499474353206869</v>
      </c>
      <c r="V66" s="71">
        <f t="shared" si="10"/>
        <v>18.954609831236183</v>
      </c>
      <c r="W66" s="71">
        <f t="shared" si="11"/>
        <v>7.2794251376076952E-3</v>
      </c>
      <c r="X66" s="42">
        <f t="shared" si="12"/>
        <v>17.59185218421754</v>
      </c>
      <c r="AS66" s="150"/>
      <c r="AT66" s="150"/>
    </row>
    <row r="67" spans="1:46" x14ac:dyDescent="0.2">
      <c r="A67" s="157">
        <f>'Raw Data'!A67</f>
        <v>120.98873138427734</v>
      </c>
      <c r="B67" s="8">
        <f>'Raw Data'!E67</f>
        <v>0.66052887510671654</v>
      </c>
      <c r="C67" s="8">
        <f t="shared" si="1"/>
        <v>0.33947112489328346</v>
      </c>
      <c r="D67" s="80">
        <f t="shared" si="2"/>
        <v>6.8012604348166583E-3</v>
      </c>
      <c r="E67" s="70">
        <f>(2*Table!$AC$16*0.147)/A67</f>
        <v>0.90281364135808828</v>
      </c>
      <c r="F67" s="70">
        <f t="shared" si="3"/>
        <v>1.8056272827161766</v>
      </c>
      <c r="G67" s="157">
        <f>IF((('Raw Data'!C67)/('Raw Data'!C$136)*100)&lt;0,0,('Raw Data'!C67)/('Raw Data'!C$136)*100)</f>
        <v>66.052887510671653</v>
      </c>
      <c r="H67" s="157">
        <f t="shared" si="4"/>
        <v>0.68012604348166406</v>
      </c>
      <c r="I67" s="146">
        <f t="shared" si="5"/>
        <v>3.4687341920716729E-2</v>
      </c>
      <c r="J67" s="70">
        <f>'Raw Data'!F67/I67</f>
        <v>0.19607326644866557</v>
      </c>
      <c r="K67" s="138">
        <f t="shared" si="6"/>
        <v>1.5117873345756918</v>
      </c>
      <c r="L67" s="157">
        <f>A67*Table!$AC$9/$AC$16</f>
        <v>22.795402126447524</v>
      </c>
      <c r="M67" s="157">
        <f>A67*Table!$AD$9/$AC$16</f>
        <v>7.8155664433534371</v>
      </c>
      <c r="N67" s="157">
        <f>ABS(A67*Table!$AE$9/$AC$16)</f>
        <v>9.870698665492684</v>
      </c>
      <c r="O67" s="157">
        <f>($L67*(Table!$AC$10/Table!$AC$9)/(Table!$AC$12-Table!$AC$14))</f>
        <v>48.896186457416405</v>
      </c>
      <c r="P67" s="157">
        <f>$N67*(Table!$AE$10/Table!$AE$9)/(Table!$AC$12-Table!$AC$13)</f>
        <v>81.040218928511351</v>
      </c>
      <c r="Q67" s="157">
        <f>'Raw Data'!C67</f>
        <v>1.0519941172179863</v>
      </c>
      <c r="R67" s="157">
        <f>'Raw Data'!C67/'Raw Data'!I$23*100</f>
        <v>18.621843241068472</v>
      </c>
      <c r="S67" s="95">
        <f t="shared" si="7"/>
        <v>5.4799110551842868E-2</v>
      </c>
      <c r="T67" s="95">
        <f t="shared" si="8"/>
        <v>1.6965087469217321E-3</v>
      </c>
      <c r="U67" s="71">
        <f t="shared" si="9"/>
        <v>0.15391386477078481</v>
      </c>
      <c r="V67" s="71">
        <f t="shared" si="10"/>
        <v>16.852314672409605</v>
      </c>
      <c r="W67" s="71">
        <f t="shared" si="11"/>
        <v>5.5831558059140085E-3</v>
      </c>
      <c r="X67" s="42">
        <f t="shared" si="12"/>
        <v>17.597435340023456</v>
      </c>
      <c r="AS67" s="150"/>
      <c r="AT67" s="150"/>
    </row>
    <row r="68" spans="1:46" x14ac:dyDescent="0.2">
      <c r="A68" s="157">
        <f>'Raw Data'!A68</f>
        <v>133.47927856445312</v>
      </c>
      <c r="B68" s="8">
        <f>'Raw Data'!E68</f>
        <v>0.66774057348063398</v>
      </c>
      <c r="C68" s="8">
        <f t="shared" si="1"/>
        <v>0.33225942651936602</v>
      </c>
      <c r="D68" s="80">
        <f t="shared" si="2"/>
        <v>7.2116983739174412E-3</v>
      </c>
      <c r="E68" s="70">
        <f>(2*Table!$AC$16*0.147)/A68</f>
        <v>0.81833134190630974</v>
      </c>
      <c r="F68" s="70">
        <f t="shared" si="3"/>
        <v>1.6366626838126195</v>
      </c>
      <c r="G68" s="157">
        <f>IF((('Raw Data'!C68)/('Raw Data'!C$136)*100)&lt;0,0,('Raw Data'!C68)/('Raw Data'!C$136)*100)</f>
        <v>66.774057348063394</v>
      </c>
      <c r="H68" s="157">
        <f t="shared" si="4"/>
        <v>0.72116983739174145</v>
      </c>
      <c r="I68" s="146">
        <f t="shared" si="5"/>
        <v>4.2668927694269942E-2</v>
      </c>
      <c r="J68" s="70">
        <f>'Raw Data'!F68/I68</f>
        <v>0.16901522404290248</v>
      </c>
      <c r="K68" s="138">
        <f t="shared" si="6"/>
        <v>1.6678601424550854</v>
      </c>
      <c r="L68" s="157">
        <f>A68*Table!$AC$9/$AC$16</f>
        <v>25.148737370926934</v>
      </c>
      <c r="M68" s="157">
        <f>A68*Table!$AD$9/$AC$16</f>
        <v>8.6224242414606636</v>
      </c>
      <c r="N68" s="157">
        <f>ABS(A68*Table!$AE$9/$AC$16)</f>
        <v>10.889722718162901</v>
      </c>
      <c r="O68" s="157">
        <f>($L68*(Table!$AC$10/Table!$AC$9)/(Table!$AC$12-Table!$AC$14))</f>
        <v>53.944095604733889</v>
      </c>
      <c r="P68" s="157">
        <f>$N68*(Table!$AE$10/Table!$AE$9)/(Table!$AC$12-Table!$AC$13)</f>
        <v>89.406590461107527</v>
      </c>
      <c r="Q68" s="157">
        <f>'Raw Data'!C68</f>
        <v>1.0634798592505144</v>
      </c>
      <c r="R68" s="157">
        <f>'Raw Data'!C68/'Raw Data'!I$23*100</f>
        <v>18.825157769292939</v>
      </c>
      <c r="S68" s="95">
        <f t="shared" si="7"/>
        <v>5.8106090811607121E-2</v>
      </c>
      <c r="T68" s="95">
        <f t="shared" si="8"/>
        <v>1.4205759944748708E-3</v>
      </c>
      <c r="U68" s="71">
        <f t="shared" si="9"/>
        <v>0.14103430863392655</v>
      </c>
      <c r="V68" s="71">
        <f t="shared" si="10"/>
        <v>14.537210810545604</v>
      </c>
      <c r="W68" s="71">
        <f t="shared" si="11"/>
        <v>4.8639605209458165E-3</v>
      </c>
      <c r="X68" s="42">
        <f t="shared" si="12"/>
        <v>17.602299300544402</v>
      </c>
      <c r="AS68" s="150"/>
      <c r="AT68" s="150"/>
    </row>
    <row r="69" spans="1:46" x14ac:dyDescent="0.2">
      <c r="A69" s="157">
        <f>'Raw Data'!A69</f>
        <v>145.54180908203125</v>
      </c>
      <c r="B69" s="8">
        <f>'Raw Data'!E69</f>
        <v>0.67473571804262</v>
      </c>
      <c r="C69" s="8">
        <f t="shared" si="1"/>
        <v>0.32526428195738</v>
      </c>
      <c r="D69" s="80">
        <f t="shared" si="2"/>
        <v>6.995144561986022E-3</v>
      </c>
      <c r="E69" s="70">
        <f>(2*Table!$AC$16*0.147)/A69</f>
        <v>0.75050789758130565</v>
      </c>
      <c r="F69" s="70">
        <f t="shared" si="3"/>
        <v>1.5010157951626113</v>
      </c>
      <c r="G69" s="157">
        <f>IF((('Raw Data'!C69)/('Raw Data'!C$136)*100)&lt;0,0,('Raw Data'!C69)/('Raw Data'!C$136)*100)</f>
        <v>67.473571804261994</v>
      </c>
      <c r="H69" s="157">
        <f t="shared" si="4"/>
        <v>0.69951445619859953</v>
      </c>
      <c r="I69" s="146">
        <f t="shared" si="5"/>
        <v>3.757391819912273E-2</v>
      </c>
      <c r="J69" s="70">
        <f>'Raw Data'!F69/I69</f>
        <v>0.18617021852539573</v>
      </c>
      <c r="K69" s="138">
        <f t="shared" si="6"/>
        <v>1.8185847649117612</v>
      </c>
      <c r="L69" s="157">
        <f>A69*Table!$AC$9/$AC$16</f>
        <v>27.421430295835737</v>
      </c>
      <c r="M69" s="157">
        <f>A69*Table!$AD$9/$AC$16</f>
        <v>9.401633244286538</v>
      </c>
      <c r="N69" s="157">
        <f>ABS(A69*Table!$AE$9/$AC$16)</f>
        <v>11.873827622148992</v>
      </c>
      <c r="O69" s="157">
        <f>($L69*(Table!$AC$10/Table!$AC$9)/(Table!$AC$12-Table!$AC$14))</f>
        <v>58.819026803594468</v>
      </c>
      <c r="P69" s="157">
        <f>$N69*(Table!$AE$10/Table!$AE$9)/(Table!$AC$12-Table!$AC$13)</f>
        <v>97.486269475771678</v>
      </c>
      <c r="Q69" s="157">
        <f>'Raw Data'!C69</f>
        <v>1.0746207059350894</v>
      </c>
      <c r="R69" s="157">
        <f>'Raw Data'!C69/'Raw Data'!I$23*100</f>
        <v>19.02236714255595</v>
      </c>
      <c r="S69" s="95">
        <f t="shared" si="7"/>
        <v>5.636127359806474E-2</v>
      </c>
      <c r="T69" s="95">
        <f t="shared" si="8"/>
        <v>1.1954557475257754E-3</v>
      </c>
      <c r="U69" s="71">
        <f t="shared" si="9"/>
        <v>0.13070036206458335</v>
      </c>
      <c r="V69" s="71">
        <f t="shared" si="10"/>
        <v>12.781945124219604</v>
      </c>
      <c r="W69" s="71">
        <f t="shared" si="11"/>
        <v>3.9682711962090696E-3</v>
      </c>
      <c r="X69" s="42">
        <f t="shared" si="12"/>
        <v>17.606267571740613</v>
      </c>
      <c r="AS69" s="150"/>
      <c r="AT69" s="150"/>
    </row>
    <row r="70" spans="1:46" x14ac:dyDescent="0.2">
      <c r="A70" s="157">
        <f>'Raw Data'!A70</f>
        <v>159.40861511230469</v>
      </c>
      <c r="B70" s="8">
        <f>'Raw Data'!E70</f>
        <v>0.68190400422379427</v>
      </c>
      <c r="C70" s="8">
        <f t="shared" si="1"/>
        <v>0.31809599577620573</v>
      </c>
      <c r="D70" s="80">
        <f t="shared" si="2"/>
        <v>7.168286181174266E-3</v>
      </c>
      <c r="E70" s="70">
        <f>(2*Table!$AC$16*0.147)/A70</f>
        <v>0.68522191894949602</v>
      </c>
      <c r="F70" s="70">
        <f t="shared" si="3"/>
        <v>1.370443837898992</v>
      </c>
      <c r="G70" s="157">
        <f>IF((('Raw Data'!C70)/('Raw Data'!C$136)*100)&lt;0,0,('Raw Data'!C70)/('Raw Data'!C$136)*100)</f>
        <v>68.190400422379426</v>
      </c>
      <c r="H70" s="157">
        <f t="shared" si="4"/>
        <v>0.71682861811743237</v>
      </c>
      <c r="I70" s="146">
        <f t="shared" si="5"/>
        <v>3.9524019904069868E-2</v>
      </c>
      <c r="J70" s="70">
        <f>'Raw Data'!F70/I70</f>
        <v>0.18136531148837248</v>
      </c>
      <c r="K70" s="138">
        <f t="shared" si="6"/>
        <v>1.991854304047614</v>
      </c>
      <c r="L70" s="157">
        <f>A70*Table!$AC$9/$AC$16</f>
        <v>30.034065506180688</v>
      </c>
      <c r="M70" s="157">
        <f>A70*Table!$AD$9/$AC$16</f>
        <v>10.29739388783338</v>
      </c>
      <c r="N70" s="157">
        <f>ABS(A70*Table!$AE$9/$AC$16)</f>
        <v>13.005131853639208</v>
      </c>
      <c r="O70" s="157">
        <f>($L70*(Table!$AC$10/Table!$AC$9)/(Table!$AC$12-Table!$AC$14))</f>
        <v>64.423134933892513</v>
      </c>
      <c r="P70" s="157">
        <f>$N70*(Table!$AE$10/Table!$AE$9)/(Table!$AC$12-Table!$AC$13)</f>
        <v>106.77448155697212</v>
      </c>
      <c r="Q70" s="157">
        <f>'Raw Data'!C70</f>
        <v>1.0860373073545382</v>
      </c>
      <c r="R70" s="157">
        <f>'Raw Data'!C70/'Raw Data'!I$23*100</f>
        <v>19.224457780230765</v>
      </c>
      <c r="S70" s="95">
        <f t="shared" si="7"/>
        <v>5.7756310124302018E-2</v>
      </c>
      <c r="T70" s="95">
        <f t="shared" si="8"/>
        <v>1.0031531466563326E-3</v>
      </c>
      <c r="U70" s="71">
        <f t="shared" si="9"/>
        <v>0.12059861235659676</v>
      </c>
      <c r="V70" s="71">
        <f t="shared" si="10"/>
        <v>11.156365733921858</v>
      </c>
      <c r="W70" s="71">
        <f t="shared" si="11"/>
        <v>3.3897833816758532E-3</v>
      </c>
      <c r="X70" s="42">
        <f t="shared" si="12"/>
        <v>17.609657355122287</v>
      </c>
      <c r="AS70" s="150"/>
      <c r="AT70" s="150"/>
    </row>
    <row r="71" spans="1:46" x14ac:dyDescent="0.2">
      <c r="A71" s="157">
        <f>'Raw Data'!A71</f>
        <v>174.44099426269531</v>
      </c>
      <c r="B71" s="8">
        <f>'Raw Data'!E71</f>
        <v>0.68895873912044536</v>
      </c>
      <c r="C71" s="8">
        <f t="shared" si="1"/>
        <v>0.31104126087955464</v>
      </c>
      <c r="D71" s="80">
        <f t="shared" si="2"/>
        <v>7.0547348966510937E-3</v>
      </c>
      <c r="E71" s="70">
        <f>(2*Table!$AC$16*0.147)/A71</f>
        <v>0.62617320891809569</v>
      </c>
      <c r="F71" s="70">
        <f t="shared" si="3"/>
        <v>1.2523464178361914</v>
      </c>
      <c r="G71" s="157">
        <f>IF((('Raw Data'!C71)/('Raw Data'!C$136)*100)&lt;0,0,('Raw Data'!C71)/('Raw Data'!C$136)*100)</f>
        <v>68.895873912044536</v>
      </c>
      <c r="H71" s="157">
        <f t="shared" si="4"/>
        <v>0.70547348966510981</v>
      </c>
      <c r="I71" s="146">
        <f t="shared" si="5"/>
        <v>3.9136764564549537E-2</v>
      </c>
      <c r="J71" s="70">
        <f>'Raw Data'!F71/I71</f>
        <v>0.18025851076717112</v>
      </c>
      <c r="K71" s="138">
        <f t="shared" si="6"/>
        <v>2.1796879985420214</v>
      </c>
      <c r="L71" s="157">
        <f>A71*Table!$AC$9/$AC$16</f>
        <v>32.866305531592758</v>
      </c>
      <c r="M71" s="157">
        <f>A71*Table!$AD$9/$AC$16</f>
        <v>11.268447610831803</v>
      </c>
      <c r="N71" s="157">
        <f>ABS(A71*Table!$AE$9/$AC$16)</f>
        <v>14.231527759450177</v>
      </c>
      <c r="O71" s="157">
        <f>($L71*(Table!$AC$10/Table!$AC$9)/(Table!$AC$12-Table!$AC$14))</f>
        <v>70.498295863562348</v>
      </c>
      <c r="P71" s="157">
        <f>$N71*(Table!$AE$10/Table!$AE$9)/(Table!$AC$12-Table!$AC$13)</f>
        <v>116.84341346018205</v>
      </c>
      <c r="Q71" s="157">
        <f>'Raw Data'!C71</f>
        <v>1.0972730608386085</v>
      </c>
      <c r="R71" s="157">
        <f>'Raw Data'!C71/'Raw Data'!I$23*100</f>
        <v>19.423347143442186</v>
      </c>
      <c r="S71" s="95">
        <f t="shared" si="7"/>
        <v>5.6841404798513413E-2</v>
      </c>
      <c r="T71" s="95">
        <f t="shared" si="8"/>
        <v>8.4510951818939084E-4</v>
      </c>
      <c r="U71" s="71">
        <f t="shared" si="9"/>
        <v>0.11134623042902435</v>
      </c>
      <c r="V71" s="71">
        <f t="shared" si="10"/>
        <v>9.7476785272740383</v>
      </c>
      <c r="W71" s="71">
        <f t="shared" si="11"/>
        <v>2.7858888176002048E-3</v>
      </c>
      <c r="X71" s="42">
        <f t="shared" si="12"/>
        <v>17.612443243939886</v>
      </c>
      <c r="AS71" s="150"/>
      <c r="AT71" s="150"/>
    </row>
    <row r="72" spans="1:46" x14ac:dyDescent="0.2">
      <c r="A72" s="157">
        <f>'Raw Data'!A72</f>
        <v>190.41807556152344</v>
      </c>
      <c r="B72" s="8">
        <f>'Raw Data'!E72</f>
        <v>0.69579555089534728</v>
      </c>
      <c r="C72" s="8">
        <f t="shared" si="1"/>
        <v>0.30420444910465272</v>
      </c>
      <c r="D72" s="80">
        <f t="shared" si="2"/>
        <v>6.8368117749019186E-3</v>
      </c>
      <c r="E72" s="70">
        <f>(2*Table!$AC$16*0.147)/A72</f>
        <v>0.57363397262694793</v>
      </c>
      <c r="F72" s="70">
        <f t="shared" si="3"/>
        <v>1.1472679452538959</v>
      </c>
      <c r="G72" s="157">
        <f>IF((('Raw Data'!C72)/('Raw Data'!C$136)*100)&lt;0,0,('Raw Data'!C72)/('Raw Data'!C$136)*100)</f>
        <v>69.579555089534722</v>
      </c>
      <c r="H72" s="157">
        <f t="shared" si="4"/>
        <v>0.68368117749018609</v>
      </c>
      <c r="I72" s="146">
        <f t="shared" si="5"/>
        <v>3.8059618335564538E-2</v>
      </c>
      <c r="J72" s="70">
        <f>'Raw Data'!F72/I72</f>
        <v>0.17963427049170666</v>
      </c>
      <c r="K72" s="138">
        <f t="shared" si="6"/>
        <v>2.3793260051125515</v>
      </c>
      <c r="L72" s="157">
        <f>A72*Table!$AC$9/$AC$16</f>
        <v>35.876536227019827</v>
      </c>
      <c r="M72" s="157">
        <f>A72*Table!$AD$9/$AC$16</f>
        <v>12.300526706406798</v>
      </c>
      <c r="N72" s="157">
        <f>ABS(A72*Table!$AE$9/$AC$16)</f>
        <v>15.534995886195944</v>
      </c>
      <c r="O72" s="157">
        <f>($L72*(Table!$AC$10/Table!$AC$9)/(Table!$AC$12-Table!$AC$14))</f>
        <v>76.955247162204699</v>
      </c>
      <c r="P72" s="157">
        <f>$N72*(Table!$AE$10/Table!$AE$9)/(Table!$AC$12-Table!$AC$13)</f>
        <v>127.54512221835748</v>
      </c>
      <c r="Q72" s="157">
        <f>'Raw Data'!C72</f>
        <v>1.1081617381376312</v>
      </c>
      <c r="R72" s="157">
        <f>'Raw Data'!C72/'Raw Data'!I$23*100</f>
        <v>19.616092747667807</v>
      </c>
      <c r="S72" s="95">
        <f t="shared" si="7"/>
        <v>5.5085554782918815E-2</v>
      </c>
      <c r="T72" s="95">
        <f t="shared" si="8"/>
        <v>7.1657177210449063E-4</v>
      </c>
      <c r="U72" s="71">
        <f t="shared" si="9"/>
        <v>0.10301591742182015</v>
      </c>
      <c r="V72" s="71">
        <f t="shared" si="10"/>
        <v>8.5466146991534142</v>
      </c>
      <c r="W72" s="71">
        <f t="shared" si="11"/>
        <v>2.2657785886745375E-3</v>
      </c>
      <c r="X72" s="42">
        <f t="shared" si="12"/>
        <v>17.614709022528562</v>
      </c>
      <c r="AS72" s="150"/>
      <c r="AT72" s="150"/>
    </row>
    <row r="73" spans="1:46" x14ac:dyDescent="0.2">
      <c r="A73" s="157">
        <f>'Raw Data'!A73</f>
        <v>207.18553161621094</v>
      </c>
      <c r="B73" s="8">
        <f>'Raw Data'!E73</f>
        <v>0.70299183185501934</v>
      </c>
      <c r="C73" s="8">
        <f t="shared" si="1"/>
        <v>0.29700816814498066</v>
      </c>
      <c r="D73" s="80">
        <f t="shared" si="2"/>
        <v>7.1962809596720634E-3</v>
      </c>
      <c r="E73" s="70">
        <f>(2*Table!$AC$16*0.147)/A73</f>
        <v>0.52720996631498607</v>
      </c>
      <c r="F73" s="70">
        <f t="shared" si="3"/>
        <v>1.0544199326299721</v>
      </c>
      <c r="G73" s="157">
        <f>IF((('Raw Data'!C73)/('Raw Data'!C$136)*100)&lt;0,0,('Raw Data'!C73)/('Raw Data'!C$136)*100)</f>
        <v>70.299183185501931</v>
      </c>
      <c r="H73" s="157">
        <f t="shared" si="4"/>
        <v>0.71962809596720945</v>
      </c>
      <c r="I73" s="146">
        <f t="shared" si="5"/>
        <v>3.66512523570999E-2</v>
      </c>
      <c r="J73" s="70">
        <f>'Raw Data'!F73/I73</f>
        <v>0.19634474941149002</v>
      </c>
      <c r="K73" s="138">
        <f t="shared" si="6"/>
        <v>2.5888399607223476</v>
      </c>
      <c r="L73" s="157">
        <f>A73*Table!$AC$9/$AC$16</f>
        <v>39.035680876533931</v>
      </c>
      <c r="M73" s="157">
        <f>A73*Table!$AD$9/$AC$16</f>
        <v>13.383662014811632</v>
      </c>
      <c r="N73" s="157">
        <f>ABS(A73*Table!$AE$9/$AC$16)</f>
        <v>16.902945646550393</v>
      </c>
      <c r="O73" s="157">
        <f>($L73*(Table!$AC$10/Table!$AC$9)/(Table!$AC$12-Table!$AC$14))</f>
        <v>83.731619211784505</v>
      </c>
      <c r="P73" s="157">
        <f>$N73*(Table!$AE$10/Table!$AE$9)/(Table!$AC$12-Table!$AC$13)</f>
        <v>138.77623683538908</v>
      </c>
      <c r="Q73" s="157">
        <f>'Raw Data'!C73</f>
        <v>1.1196229255599066</v>
      </c>
      <c r="R73" s="157">
        <f>'Raw Data'!C73/'Raw Data'!I$23*100</f>
        <v>19.818972623173703</v>
      </c>
      <c r="S73" s="95">
        <f t="shared" si="7"/>
        <v>5.798186963293691E-2</v>
      </c>
      <c r="T73" s="95">
        <f t="shared" si="8"/>
        <v>6.0228850090016106E-4</v>
      </c>
      <c r="U73" s="71">
        <f t="shared" si="9"/>
        <v>9.5658091897489403E-2</v>
      </c>
      <c r="V73" s="71">
        <f t="shared" si="10"/>
        <v>7.5400341620716986</v>
      </c>
      <c r="W73" s="71">
        <f t="shared" si="11"/>
        <v>2.0145101094877654E-3</v>
      </c>
      <c r="X73" s="42">
        <f t="shared" si="12"/>
        <v>17.616723532638048</v>
      </c>
      <c r="AS73" s="150"/>
      <c r="AT73" s="150"/>
    </row>
    <row r="74" spans="1:46" x14ac:dyDescent="0.2">
      <c r="A74" s="157">
        <f>'Raw Data'!A74</f>
        <v>228.50393676757812</v>
      </c>
      <c r="B74" s="8">
        <f>'Raw Data'!E74</f>
        <v>0.71032864457414391</v>
      </c>
      <c r="C74" s="8">
        <f t="shared" si="1"/>
        <v>0.28967135542585609</v>
      </c>
      <c r="D74" s="80">
        <f t="shared" si="2"/>
        <v>7.3368127191245636E-3</v>
      </c>
      <c r="E74" s="70">
        <f>(2*Table!$AC$16*0.147)/A74</f>
        <v>0.47802361171325547</v>
      </c>
      <c r="F74" s="70">
        <f t="shared" si="3"/>
        <v>0.95604722342651094</v>
      </c>
      <c r="G74" s="157">
        <f>IF((('Raw Data'!C74)/('Raw Data'!C$136)*100)&lt;0,0,('Raw Data'!C74)/('Raw Data'!C$136)*100)</f>
        <v>71.032864457414391</v>
      </c>
      <c r="H74" s="157">
        <f t="shared" si="4"/>
        <v>0.73368127191245947</v>
      </c>
      <c r="I74" s="146">
        <f t="shared" si="5"/>
        <v>4.2534262636301057E-2</v>
      </c>
      <c r="J74" s="70">
        <f>'Raw Data'!F74/I74</f>
        <v>0.1724918281024326</v>
      </c>
      <c r="K74" s="138">
        <f t="shared" si="6"/>
        <v>2.8552192716916198</v>
      </c>
      <c r="L74" s="157">
        <f>A74*Table!$AC$9/$AC$16</f>
        <v>43.052266657373821</v>
      </c>
      <c r="M74" s="157">
        <f>A74*Table!$AD$9/$AC$16</f>
        <v>14.760777139671024</v>
      </c>
      <c r="N74" s="157">
        <f>ABS(A74*Table!$AE$9/$AC$16)</f>
        <v>18.642178307893744</v>
      </c>
      <c r="O74" s="157">
        <f>($L74*(Table!$AC$10/Table!$AC$9)/(Table!$AC$12-Table!$AC$14))</f>
        <v>92.347204327271186</v>
      </c>
      <c r="P74" s="157">
        <f>$N74*(Table!$AE$10/Table!$AE$9)/(Table!$AC$12-Table!$AC$13)</f>
        <v>153.05565113213251</v>
      </c>
      <c r="Q74" s="157">
        <f>'Raw Data'!C74</f>
        <v>1.1313079314855026</v>
      </c>
      <c r="R74" s="157">
        <f>'Raw Data'!C74/'Raw Data'!I$23*100</f>
        <v>20.02581441540049</v>
      </c>
      <c r="S74" s="95">
        <f t="shared" si="7"/>
        <v>5.9114162021397715E-2</v>
      </c>
      <c r="T74" s="95">
        <f t="shared" si="8"/>
        <v>5.0649998156004905E-4</v>
      </c>
      <c r="U74" s="71">
        <f t="shared" si="9"/>
        <v>8.763881576259086E-2</v>
      </c>
      <c r="V74" s="71">
        <f t="shared" si="10"/>
        <v>6.5023849676665977</v>
      </c>
      <c r="W74" s="71">
        <f t="shared" si="11"/>
        <v>1.6884968250355807E-3</v>
      </c>
      <c r="X74" s="42">
        <f t="shared" si="12"/>
        <v>17.618412029463084</v>
      </c>
      <c r="AS74" s="150"/>
      <c r="AT74" s="150"/>
    </row>
    <row r="75" spans="1:46" x14ac:dyDescent="0.2">
      <c r="A75" s="157">
        <f>'Raw Data'!A75</f>
        <v>250.7181396484375</v>
      </c>
      <c r="B75" s="8">
        <f>'Raw Data'!E75</f>
        <v>0.71769568353961766</v>
      </c>
      <c r="C75" s="8">
        <f t="shared" si="1"/>
        <v>0.28230431646038234</v>
      </c>
      <c r="D75" s="80">
        <f t="shared" si="2"/>
        <v>7.3670389654737489E-3</v>
      </c>
      <c r="E75" s="70">
        <f>(2*Table!$AC$16*0.147)/A75</f>
        <v>0.43566962206045462</v>
      </c>
      <c r="F75" s="70">
        <f t="shared" si="3"/>
        <v>0.87133924412090924</v>
      </c>
      <c r="G75" s="157">
        <f>IF((('Raw Data'!C75)/('Raw Data'!C$136)*100)&lt;0,0,('Raw Data'!C75)/('Raw Data'!C$136)*100)</f>
        <v>71.769568353961759</v>
      </c>
      <c r="H75" s="157">
        <f t="shared" si="4"/>
        <v>0.73670389654736823</v>
      </c>
      <c r="I75" s="146">
        <f t="shared" si="5"/>
        <v>4.0292069942578501E-2</v>
      </c>
      <c r="J75" s="70">
        <f>'Raw Data'!F75/I75</f>
        <v>0.18284091574279376</v>
      </c>
      <c r="K75" s="138">
        <f t="shared" si="6"/>
        <v>3.1327918206285381</v>
      </c>
      <c r="L75" s="157">
        <f>A75*Table!$AC$9/$AC$16</f>
        <v>47.237629060913193</v>
      </c>
      <c r="M75" s="157">
        <f>A75*Table!$AD$9/$AC$16</f>
        <v>16.195758535170238</v>
      </c>
      <c r="N75" s="157">
        <f>ABS(A75*Table!$AE$9/$AC$16)</f>
        <v>20.454493390648441</v>
      </c>
      <c r="O75" s="157">
        <f>($L75*(Table!$AC$10/Table!$AC$9)/(Table!$AC$12-Table!$AC$14))</f>
        <v>101.32481566047447</v>
      </c>
      <c r="P75" s="157">
        <f>$N75*(Table!$AE$10/Table!$AE$9)/(Table!$AC$12-Table!$AC$13)</f>
        <v>167.93508530910046</v>
      </c>
      <c r="Q75" s="157">
        <f>'Raw Data'!C75</f>
        <v>1.1430410773706721</v>
      </c>
      <c r="R75" s="157">
        <f>'Raw Data'!C75/'Raw Data'!I$23*100</f>
        <v>20.23350835572025</v>
      </c>
      <c r="S75" s="95">
        <f t="shared" si="7"/>
        <v>5.9357700911156594E-2</v>
      </c>
      <c r="T75" s="95">
        <f t="shared" si="8"/>
        <v>4.2660585487885871E-4</v>
      </c>
      <c r="U75" s="71">
        <f t="shared" si="9"/>
        <v>8.070221159143938E-2</v>
      </c>
      <c r="V75" s="71">
        <f t="shared" si="10"/>
        <v>5.6560881421772518</v>
      </c>
      <c r="W75" s="71">
        <f t="shared" si="11"/>
        <v>1.4083209571428138E-3</v>
      </c>
      <c r="X75" s="42">
        <f t="shared" si="12"/>
        <v>17.619820350420227</v>
      </c>
      <c r="AS75" s="150"/>
      <c r="AT75" s="150"/>
    </row>
    <row r="76" spans="1:46" x14ac:dyDescent="0.2">
      <c r="A76" s="157">
        <f>'Raw Data'!A76</f>
        <v>274.0799560546875</v>
      </c>
      <c r="B76" s="8">
        <f>'Raw Data'!E76</f>
        <v>0.72494044820987669</v>
      </c>
      <c r="C76" s="8">
        <f t="shared" si="1"/>
        <v>0.27505955179012331</v>
      </c>
      <c r="D76" s="80">
        <f t="shared" si="2"/>
        <v>7.2447646702590296E-3</v>
      </c>
      <c r="E76" s="70">
        <f>(2*Table!$AC$16*0.147)/A76</f>
        <v>0.39853435003667398</v>
      </c>
      <c r="F76" s="70">
        <f t="shared" si="3"/>
        <v>0.79706870007334796</v>
      </c>
      <c r="G76" s="157">
        <f>IF((('Raw Data'!C76)/('Raw Data'!C$136)*100)&lt;0,0,('Raw Data'!C76)/('Raw Data'!C$136)*100)</f>
        <v>72.494044820987668</v>
      </c>
      <c r="H76" s="157">
        <f t="shared" si="4"/>
        <v>0.72447646702590873</v>
      </c>
      <c r="I76" s="146">
        <f t="shared" si="5"/>
        <v>3.869151935608911E-2</v>
      </c>
      <c r="J76" s="70">
        <f>'Raw Data'!F76/I76</f>
        <v>0.18724425380103041</v>
      </c>
      <c r="K76" s="138">
        <f t="shared" si="6"/>
        <v>3.4247041148691988</v>
      </c>
      <c r="L76" s="157">
        <f>A76*Table!$AC$9/$AC$16</f>
        <v>51.639212524858102</v>
      </c>
      <c r="M76" s="157">
        <f>A76*Table!$AD$9/$AC$16</f>
        <v>17.704872865665635</v>
      </c>
      <c r="N76" s="157">
        <f>ABS(A76*Table!$AE$9/$AC$16)</f>
        <v>22.360434938975345</v>
      </c>
      <c r="O76" s="157">
        <f>($L76*(Table!$AC$10/Table!$AC$9)/(Table!$AC$12-Table!$AC$14))</f>
        <v>110.76622163204227</v>
      </c>
      <c r="P76" s="157">
        <f>$N76*(Table!$AE$10/Table!$AE$9)/(Table!$AC$12-Table!$AC$13)</f>
        <v>183.58320967960049</v>
      </c>
      <c r="Q76" s="157">
        <f>'Raw Data'!C76</f>
        <v>1.1545794825804516</v>
      </c>
      <c r="R76" s="157">
        <f>'Raw Data'!C76/'Raw Data'!I$23*100</f>
        <v>20.437755099643741</v>
      </c>
      <c r="S76" s="95">
        <f t="shared" si="7"/>
        <v>5.837251255006707E-2</v>
      </c>
      <c r="T76" s="95">
        <f t="shared" si="8"/>
        <v>3.6086079409991534E-4</v>
      </c>
      <c r="U76" s="71">
        <f t="shared" si="9"/>
        <v>7.4568587188352339E-2</v>
      </c>
      <c r="V76" s="71">
        <f t="shared" si="10"/>
        <v>4.9484017025201386</v>
      </c>
      <c r="W76" s="71">
        <f t="shared" si="11"/>
        <v>1.1589105578803393E-3</v>
      </c>
      <c r="X76" s="42">
        <f t="shared" si="12"/>
        <v>17.620979260978107</v>
      </c>
      <c r="AS76" s="150"/>
      <c r="AT76" s="150"/>
    </row>
    <row r="77" spans="1:46" x14ac:dyDescent="0.2">
      <c r="A77" s="157">
        <f>'Raw Data'!A77</f>
        <v>299.6341552734375</v>
      </c>
      <c r="B77" s="8">
        <f>'Raw Data'!E77</f>
        <v>0.73244604104284372</v>
      </c>
      <c r="C77" s="8">
        <f t="shared" si="1"/>
        <v>0.26755395895715628</v>
      </c>
      <c r="D77" s="80">
        <f t="shared" si="2"/>
        <v>7.5055928329670341E-3</v>
      </c>
      <c r="E77" s="70">
        <f>(2*Table!$AC$16*0.147)/A77</f>
        <v>0.36454548062004027</v>
      </c>
      <c r="F77" s="70">
        <f t="shared" si="3"/>
        <v>0.72909096124008055</v>
      </c>
      <c r="G77" s="157">
        <f>IF((('Raw Data'!C77)/('Raw Data'!C$136)*100)&lt;0,0,('Raw Data'!C77)/('Raw Data'!C$136)*100)</f>
        <v>73.244604104284377</v>
      </c>
      <c r="H77" s="157">
        <f t="shared" si="4"/>
        <v>0.75055928329670962</v>
      </c>
      <c r="I77" s="146">
        <f t="shared" si="5"/>
        <v>3.8714041054787318E-2</v>
      </c>
      <c r="J77" s="70">
        <f>'Raw Data'!F77/I77</f>
        <v>0.19387262679050407</v>
      </c>
      <c r="K77" s="138">
        <f t="shared" si="6"/>
        <v>3.7440108327934323</v>
      </c>
      <c r="L77" s="157">
        <f>A77*Table!$AC$9/$AC$16</f>
        <v>56.453861298722813</v>
      </c>
      <c r="M77" s="157">
        <f>A77*Table!$AD$9/$AC$16</f>
        <v>19.355609588133536</v>
      </c>
      <c r="N77" s="157">
        <f>ABS(A77*Table!$AE$9/$AC$16)</f>
        <v>24.44523901320856</v>
      </c>
      <c r="O77" s="157">
        <f>($L77*(Table!$AC$10/Table!$AC$9)/(Table!$AC$12-Table!$AC$14))</f>
        <v>121.09365357941404</v>
      </c>
      <c r="P77" s="157">
        <f>$N77*(Table!$AE$10/Table!$AE$9)/(Table!$AC$12-Table!$AC$13)</f>
        <v>200.69982769465153</v>
      </c>
      <c r="Q77" s="157">
        <f>'Raw Data'!C77</f>
        <v>1.1665332968709157</v>
      </c>
      <c r="R77" s="157">
        <f>'Raw Data'!C77/'Raw Data'!I$23*100</f>
        <v>20.649355195315895</v>
      </c>
      <c r="S77" s="95">
        <f t="shared" si="7"/>
        <v>6.0474057029984533E-2</v>
      </c>
      <c r="T77" s="95">
        <f t="shared" si="8"/>
        <v>3.0387117333052771E-4</v>
      </c>
      <c r="U77" s="71">
        <f t="shared" si="9"/>
        <v>6.8915224889738919E-2</v>
      </c>
      <c r="V77" s="71">
        <f t="shared" si="10"/>
        <v>4.3307574504978028</v>
      </c>
      <c r="W77" s="71">
        <f t="shared" si="11"/>
        <v>1.0045754375581919E-3</v>
      </c>
      <c r="X77" s="42">
        <f t="shared" si="12"/>
        <v>17.621983836415666</v>
      </c>
      <c r="AS77" s="150"/>
      <c r="AT77" s="150"/>
    </row>
    <row r="78" spans="1:46" x14ac:dyDescent="0.2">
      <c r="A78" s="157">
        <f>'Raw Data'!A78</f>
        <v>327.447265625</v>
      </c>
      <c r="B78" s="8">
        <f>'Raw Data'!E78</f>
        <v>0.74018152577967122</v>
      </c>
      <c r="C78" s="8">
        <f t="shared" si="1"/>
        <v>0.25981847422032878</v>
      </c>
      <c r="D78" s="80">
        <f t="shared" si="2"/>
        <v>7.7354847368275026E-3</v>
      </c>
      <c r="E78" s="70">
        <f>(2*Table!$AC$16*0.147)/A78</f>
        <v>0.33358127738781618</v>
      </c>
      <c r="F78" s="70">
        <f t="shared" si="3"/>
        <v>0.66716255477563235</v>
      </c>
      <c r="G78" s="157">
        <f>IF((('Raw Data'!C78)/('Raw Data'!C$136)*100)&lt;0,0,('Raw Data'!C78)/('Raw Data'!C$136)*100)</f>
        <v>74.018152577967129</v>
      </c>
      <c r="H78" s="157">
        <f t="shared" si="4"/>
        <v>0.77354847368275159</v>
      </c>
      <c r="I78" s="146">
        <f t="shared" si="5"/>
        <v>3.8550051126091667E-2</v>
      </c>
      <c r="J78" s="70">
        <f>'Raw Data'!F78/I78</f>
        <v>0.20066081654537488</v>
      </c>
      <c r="K78" s="138">
        <f t="shared" si="6"/>
        <v>4.0915432639840645</v>
      </c>
      <c r="L78" s="157">
        <f>A78*Table!$AC$9/$AC$16</f>
        <v>61.694109936733724</v>
      </c>
      <c r="M78" s="157">
        <f>A78*Table!$AD$9/$AC$16</f>
        <v>21.152266264022991</v>
      </c>
      <c r="N78" s="157">
        <f>ABS(A78*Table!$AE$9/$AC$16)</f>
        <v>26.714333234540685</v>
      </c>
      <c r="O78" s="157">
        <f>($L78*(Table!$AC$10/Table!$AC$9)/(Table!$AC$12-Table!$AC$14))</f>
        <v>132.33399814829201</v>
      </c>
      <c r="P78" s="157">
        <f>$N78*(Table!$AE$10/Table!$AE$9)/(Table!$AC$12-Table!$AC$13)</f>
        <v>219.32950110460328</v>
      </c>
      <c r="Q78" s="157">
        <f>'Raw Data'!C78</f>
        <v>1.1788532494780706</v>
      </c>
      <c r="R78" s="157">
        <f>'Raw Data'!C78/'Raw Data'!I$23*100</f>
        <v>20.867436477742203</v>
      </c>
      <c r="S78" s="95">
        <f t="shared" si="7"/>
        <v>6.2326341907965835E-2</v>
      </c>
      <c r="T78" s="95">
        <f t="shared" si="8"/>
        <v>2.5469007793577081E-4</v>
      </c>
      <c r="U78" s="71">
        <f t="shared" si="9"/>
        <v>6.3727624776198505E-2</v>
      </c>
      <c r="V78" s="71">
        <f t="shared" si="10"/>
        <v>3.7939455218388551</v>
      </c>
      <c r="W78" s="71">
        <f t="shared" si="11"/>
        <v>8.6693190371886985E-4</v>
      </c>
      <c r="X78" s="42">
        <f t="shared" si="12"/>
        <v>17.622850768319385</v>
      </c>
      <c r="AS78" s="150"/>
      <c r="AT78" s="150"/>
    </row>
    <row r="79" spans="1:46" x14ac:dyDescent="0.2">
      <c r="A79" s="157">
        <f>'Raw Data'!A79</f>
        <v>359.35519409179687</v>
      </c>
      <c r="B79" s="8">
        <f>'Raw Data'!E79</f>
        <v>0.74785057363274465</v>
      </c>
      <c r="C79" s="8">
        <f t="shared" si="1"/>
        <v>0.25214942636725535</v>
      </c>
      <c r="D79" s="80">
        <f t="shared" si="2"/>
        <v>7.6690478530734296E-3</v>
      </c>
      <c r="E79" s="70">
        <f>(2*Table!$AC$16*0.147)/A79</f>
        <v>0.30396187098504079</v>
      </c>
      <c r="F79" s="70">
        <f t="shared" si="3"/>
        <v>0.60792374197008159</v>
      </c>
      <c r="G79" s="157">
        <f>IF((('Raw Data'!C79)/('Raw Data'!C$136)*100)&lt;0,0,('Raw Data'!C79)/('Raw Data'!C$136)*100)</f>
        <v>74.785057363274461</v>
      </c>
      <c r="H79" s="157">
        <f t="shared" si="4"/>
        <v>0.7669047853073323</v>
      </c>
      <c r="I79" s="146">
        <f t="shared" si="5"/>
        <v>4.0382558327918594E-2</v>
      </c>
      <c r="J79" s="70">
        <f>'Raw Data'!F79/I79</f>
        <v>0.18990990592518781</v>
      </c>
      <c r="K79" s="138">
        <f t="shared" si="6"/>
        <v>4.490241568997611</v>
      </c>
      <c r="L79" s="157">
        <f>A79*Table!$AC$9/$AC$16</f>
        <v>67.705860387380056</v>
      </c>
      <c r="M79" s="157">
        <f>A79*Table!$AD$9/$AC$16</f>
        <v>23.213437847101734</v>
      </c>
      <c r="N79" s="157">
        <f>ABS(A79*Table!$AE$9/$AC$16)</f>
        <v>29.317497540276822</v>
      </c>
      <c r="O79" s="157">
        <f>($L79*(Table!$AC$10/Table!$AC$9)/(Table!$AC$12-Table!$AC$14))</f>
        <v>145.22921576014602</v>
      </c>
      <c r="P79" s="157">
        <f>$N79*(Table!$AE$10/Table!$AE$9)/(Table!$AC$12-Table!$AC$13)</f>
        <v>240.70195024857813</v>
      </c>
      <c r="Q79" s="157">
        <f>'Raw Data'!C79</f>
        <v>1.1910673911002563</v>
      </c>
      <c r="R79" s="157">
        <f>'Raw Data'!C79/'Raw Data'!I$23*100</f>
        <v>21.083644750098372</v>
      </c>
      <c r="S79" s="95">
        <f t="shared" si="7"/>
        <v>6.1791046697254277E-2</v>
      </c>
      <c r="T79" s="95">
        <f t="shared" si="8"/>
        <v>2.1420574433528294E-4</v>
      </c>
      <c r="U79" s="71">
        <f t="shared" si="9"/>
        <v>5.8670766686379328E-2</v>
      </c>
      <c r="V79" s="71">
        <f t="shared" si="10"/>
        <v>3.2989375757121469</v>
      </c>
      <c r="W79" s="71">
        <f t="shared" si="11"/>
        <v>7.1363112426329393E-4</v>
      </c>
      <c r="X79" s="42">
        <f t="shared" si="12"/>
        <v>17.623564399443648</v>
      </c>
      <c r="AS79" s="150"/>
      <c r="AT79" s="150"/>
    </row>
    <row r="80" spans="1:46" x14ac:dyDescent="0.2">
      <c r="A80" s="157">
        <f>'Raw Data'!A80</f>
        <v>391.6785888671875</v>
      </c>
      <c r="B80" s="8">
        <f>'Raw Data'!E80</f>
        <v>0.75574150039148535</v>
      </c>
      <c r="C80" s="8">
        <f t="shared" si="1"/>
        <v>0.24425849960851465</v>
      </c>
      <c r="D80" s="80">
        <f t="shared" si="2"/>
        <v>7.8909267587407017E-3</v>
      </c>
      <c r="E80" s="70">
        <f>(2*Table!$AC$16*0.147)/A80</f>
        <v>0.27887732505432777</v>
      </c>
      <c r="F80" s="70">
        <f t="shared" si="3"/>
        <v>0.55775465010865555</v>
      </c>
      <c r="G80" s="157">
        <f>IF((('Raw Data'!C80)/('Raw Data'!C$136)*100)&lt;0,0,('Raw Data'!C80)/('Raw Data'!C$136)*100)</f>
        <v>75.574150039148535</v>
      </c>
      <c r="H80" s="157">
        <f t="shared" si="4"/>
        <v>0.78909267587407328</v>
      </c>
      <c r="I80" s="146">
        <f t="shared" si="5"/>
        <v>3.7405904967136472E-2</v>
      </c>
      <c r="J80" s="70">
        <f>'Raw Data'!F80/I80</f>
        <v>0.21095403962752393</v>
      </c>
      <c r="K80" s="138">
        <f t="shared" si="6"/>
        <v>4.8941312393233538</v>
      </c>
      <c r="L80" s="157">
        <f>A80*Table!$AC$9/$AC$16</f>
        <v>73.795888554190753</v>
      </c>
      <c r="M80" s="157">
        <f>A80*Table!$AD$9/$AC$16</f>
        <v>25.301447504293971</v>
      </c>
      <c r="N80" s="157">
        <f>ABS(A80*Table!$AE$9/$AC$16)</f>
        <v>31.954557091387237</v>
      </c>
      <c r="O80" s="157">
        <f>($L80*(Table!$AC$10/Table!$AC$9)/(Table!$AC$12-Table!$AC$14))</f>
        <v>158.29233924107842</v>
      </c>
      <c r="P80" s="157">
        <f>$N80*(Table!$AE$10/Table!$AE$9)/(Table!$AC$12-Table!$AC$13)</f>
        <v>262.35268547936971</v>
      </c>
      <c r="Q80" s="157">
        <f>'Raw Data'!C80</f>
        <v>1.2036349091035412</v>
      </c>
      <c r="R80" s="157">
        <f>'Raw Data'!C80/'Raw Data'!I$23*100</f>
        <v>21.306108304177336</v>
      </c>
      <c r="S80" s="95">
        <f t="shared" si="7"/>
        <v>6.3578769252111936E-2</v>
      </c>
      <c r="T80" s="95">
        <f t="shared" si="8"/>
        <v>1.7914172075628176E-4</v>
      </c>
      <c r="U80" s="71">
        <f t="shared" si="9"/>
        <v>5.4396918569888757E-2</v>
      </c>
      <c r="V80" s="71">
        <f t="shared" si="10"/>
        <v>2.9028796779642323</v>
      </c>
      <c r="W80" s="71">
        <f t="shared" si="11"/>
        <v>6.180854751059911E-4</v>
      </c>
      <c r="X80" s="42">
        <f t="shared" si="12"/>
        <v>17.624182484918755</v>
      </c>
      <c r="AS80" s="150"/>
      <c r="AT80" s="150"/>
    </row>
    <row r="81" spans="1:46" x14ac:dyDescent="0.2">
      <c r="A81" s="157">
        <f>'Raw Data'!A81</f>
        <v>428.17031860351562</v>
      </c>
      <c r="B81" s="8">
        <f>'Raw Data'!E81</f>
        <v>0.76376362731684566</v>
      </c>
      <c r="C81" s="8">
        <f t="shared" si="1"/>
        <v>0.23623637268315434</v>
      </c>
      <c r="D81" s="80">
        <f t="shared" si="2"/>
        <v>8.0221269253603067E-3</v>
      </c>
      <c r="E81" s="70">
        <f>(2*Table!$AC$16*0.147)/A81</f>
        <v>0.255109409499919</v>
      </c>
      <c r="F81" s="70">
        <f t="shared" si="3"/>
        <v>0.51021881899983801</v>
      </c>
      <c r="G81" s="157">
        <f>IF((('Raw Data'!C81)/('Raw Data'!C$136)*100)&lt;0,0,('Raw Data'!C81)/('Raw Data'!C$136)*100)</f>
        <v>76.376362731684566</v>
      </c>
      <c r="H81" s="157">
        <f t="shared" si="4"/>
        <v>0.80221269253603111</v>
      </c>
      <c r="I81" s="146">
        <f t="shared" si="5"/>
        <v>3.868672660571415E-2</v>
      </c>
      <c r="J81" s="70">
        <f>'Raw Data'!F81/I81</f>
        <v>0.20736122254849584</v>
      </c>
      <c r="K81" s="138">
        <f t="shared" si="6"/>
        <v>5.3501053965935839</v>
      </c>
      <c r="L81" s="157">
        <f>A81*Table!$AC$9/$AC$16</f>
        <v>80.671269791036593</v>
      </c>
      <c r="M81" s="157">
        <f>A81*Table!$AD$9/$AC$16</f>
        <v>27.658721071212547</v>
      </c>
      <c r="N81" s="157">
        <f>ABS(A81*Table!$AE$9/$AC$16)</f>
        <v>34.931684497292927</v>
      </c>
      <c r="O81" s="157">
        <f>($L81*(Table!$AC$10/Table!$AC$9)/(Table!$AC$12-Table!$AC$14))</f>
        <v>173.04004674182028</v>
      </c>
      <c r="P81" s="157">
        <f>$N81*(Table!$AE$10/Table!$AE$9)/(Table!$AC$12-Table!$AC$13)</f>
        <v>286.79543922243778</v>
      </c>
      <c r="Q81" s="157">
        <f>'Raw Data'!C81</f>
        <v>1.2164113836092041</v>
      </c>
      <c r="R81" s="157">
        <f>'Raw Data'!C81/'Raw Data'!I$23*100</f>
        <v>21.532270695700163</v>
      </c>
      <c r="S81" s="95">
        <f t="shared" si="7"/>
        <v>6.4635875137692061E-2</v>
      </c>
      <c r="T81" s="95">
        <f t="shared" si="8"/>
        <v>1.4931195705103484E-4</v>
      </c>
      <c r="U81" s="71">
        <f t="shared" si="9"/>
        <v>5.0289031630982757E-2</v>
      </c>
      <c r="V81" s="71">
        <f t="shared" si="10"/>
        <v>2.5419335904237799</v>
      </c>
      <c r="W81" s="71">
        <f t="shared" si="11"/>
        <v>5.2581939521547283E-4</v>
      </c>
      <c r="X81" s="42">
        <f t="shared" si="12"/>
        <v>17.62470830431397</v>
      </c>
      <c r="AS81" s="150"/>
      <c r="AT81" s="150"/>
    </row>
    <row r="82" spans="1:46" x14ac:dyDescent="0.2">
      <c r="A82" s="157">
        <f>'Raw Data'!A82</f>
        <v>469.24420166015625</v>
      </c>
      <c r="B82" s="8">
        <f>'Raw Data'!E82</f>
        <v>0.77164223028722589</v>
      </c>
      <c r="C82" s="8">
        <f t="shared" si="1"/>
        <v>0.22835776971277411</v>
      </c>
      <c r="D82" s="80">
        <f t="shared" si="2"/>
        <v>7.8786029703802329E-3</v>
      </c>
      <c r="E82" s="70">
        <f>(2*Table!$AC$16*0.147)/A82</f>
        <v>0.23277917288670857</v>
      </c>
      <c r="F82" s="70">
        <f t="shared" si="3"/>
        <v>0.46555834577341715</v>
      </c>
      <c r="G82" s="157">
        <f>IF((('Raw Data'!C82)/('Raw Data'!C$136)*100)&lt;0,0,('Raw Data'!C82)/('Raw Data'!C$136)*100)</f>
        <v>77.164223028722589</v>
      </c>
      <c r="H82" s="157">
        <f t="shared" si="4"/>
        <v>0.78786029703802285</v>
      </c>
      <c r="I82" s="146">
        <f t="shared" si="5"/>
        <v>3.9782356782764094E-2</v>
      </c>
      <c r="J82" s="70">
        <f>'Raw Data'!F82/I82</f>
        <v>0.19804264019354623</v>
      </c>
      <c r="K82" s="138">
        <f t="shared" si="6"/>
        <v>5.8633348145436726</v>
      </c>
      <c r="L82" s="157">
        <f>A82*Table!$AC$9/$AC$16</f>
        <v>88.409971325124047</v>
      </c>
      <c r="M82" s="157">
        <f>A82*Table!$AD$9/$AC$16</f>
        <v>30.31199016861396</v>
      </c>
      <c r="N82" s="157">
        <f>ABS(A82*Table!$AE$9/$AC$16)</f>
        <v>38.282640557705598</v>
      </c>
      <c r="O82" s="157">
        <f>($L82*(Table!$AC$10/Table!$AC$9)/(Table!$AC$12-Table!$AC$14))</f>
        <v>189.63957813196924</v>
      </c>
      <c r="P82" s="157">
        <f>$N82*(Table!$AE$10/Table!$AE$9)/(Table!$AC$12-Table!$AC$13)</f>
        <v>314.30739374142519</v>
      </c>
      <c r="Q82" s="157">
        <f>'Raw Data'!C82</f>
        <v>1.2289592740786359</v>
      </c>
      <c r="R82" s="157">
        <f>'Raw Data'!C82/'Raw Data'!I$23*100</f>
        <v>21.754386813560007</v>
      </c>
      <c r="S82" s="95">
        <f t="shared" si="7"/>
        <v>6.3479474033636588E-2</v>
      </c>
      <c r="T82" s="95">
        <f t="shared" si="8"/>
        <v>1.2492010450515512E-4</v>
      </c>
      <c r="U82" s="71">
        <f t="shared" si="9"/>
        <v>4.6360480825536822E-2</v>
      </c>
      <c r="V82" s="71">
        <f t="shared" si="10"/>
        <v>2.2152821493562844</v>
      </c>
      <c r="W82" s="71">
        <f t="shared" si="11"/>
        <v>4.2996348481102867E-4</v>
      </c>
      <c r="X82" s="42">
        <f t="shared" si="12"/>
        <v>17.625138267798782</v>
      </c>
      <c r="AS82" s="150"/>
      <c r="AT82" s="150"/>
    </row>
    <row r="83" spans="1:46" x14ac:dyDescent="0.2">
      <c r="A83" s="157">
        <f>'Raw Data'!A83</f>
        <v>511.96380615234375</v>
      </c>
      <c r="B83" s="8">
        <f>'Raw Data'!E83</f>
        <v>0.77960679548505885</v>
      </c>
      <c r="C83" s="8">
        <f t="shared" si="1"/>
        <v>0.22039320451494115</v>
      </c>
      <c r="D83" s="80">
        <f t="shared" si="2"/>
        <v>7.9645651978329512E-3</v>
      </c>
      <c r="E83" s="70">
        <f>(2*Table!$AC$16*0.147)/A83</f>
        <v>0.21335546738206659</v>
      </c>
      <c r="F83" s="70">
        <f t="shared" si="3"/>
        <v>0.42671093476413319</v>
      </c>
      <c r="G83" s="157">
        <f>IF((('Raw Data'!C83)/('Raw Data'!C$136)*100)&lt;0,0,('Raw Data'!C83)/('Raw Data'!C$136)*100)</f>
        <v>77.96067954850588</v>
      </c>
      <c r="H83" s="157">
        <f t="shared" si="4"/>
        <v>0.79645651978329113</v>
      </c>
      <c r="I83" s="146">
        <f t="shared" si="5"/>
        <v>3.7840344280080873E-2</v>
      </c>
      <c r="J83" s="70">
        <f>'Raw Data'!F83/I83</f>
        <v>0.21047813780133845</v>
      </c>
      <c r="K83" s="138">
        <f t="shared" si="6"/>
        <v>6.397127972554788</v>
      </c>
      <c r="L83" s="157">
        <f>A83*Table!$AC$9/$AC$16</f>
        <v>96.458742082040644</v>
      </c>
      <c r="M83" s="157">
        <f>A83*Table!$AD$9/$AC$16</f>
        <v>33.07156871384251</v>
      </c>
      <c r="N83" s="157">
        <f>ABS(A83*Table!$AE$9/$AC$16)</f>
        <v>41.767860530069136</v>
      </c>
      <c r="O83" s="157">
        <f>($L83*(Table!$AC$10/Table!$AC$9)/(Table!$AC$12-Table!$AC$14))</f>
        <v>206.90420867018588</v>
      </c>
      <c r="P83" s="157">
        <f>$N83*(Table!$AE$10/Table!$AE$9)/(Table!$AC$12-Table!$AC$13)</f>
        <v>342.9216792288106</v>
      </c>
      <c r="Q83" s="157">
        <f>'Raw Data'!C83</f>
        <v>1.2416440726545737</v>
      </c>
      <c r="R83" s="157">
        <f>'Raw Data'!C83/'Raw Data'!I$23*100</f>
        <v>21.978926406281605</v>
      </c>
      <c r="S83" s="95">
        <f t="shared" si="7"/>
        <v>6.4172088829175022E-2</v>
      </c>
      <c r="T83" s="95">
        <f t="shared" si="8"/>
        <v>1.0420548532030782E-4</v>
      </c>
      <c r="U83" s="71">
        <f t="shared" si="9"/>
        <v>4.2930625450779213E-2</v>
      </c>
      <c r="V83" s="71">
        <f t="shared" si="10"/>
        <v>1.9452806080098508</v>
      </c>
      <c r="W83" s="71">
        <f t="shared" si="11"/>
        <v>3.6514364108116332E-4</v>
      </c>
      <c r="X83" s="42">
        <f t="shared" si="12"/>
        <v>17.625503411439862</v>
      </c>
      <c r="AS83" s="150"/>
      <c r="AT83" s="150"/>
    </row>
    <row r="84" spans="1:46" x14ac:dyDescent="0.2">
      <c r="A84" s="157">
        <f>'Raw Data'!A84</f>
        <v>561.94952392578125</v>
      </c>
      <c r="B84" s="8">
        <f>'Raw Data'!E84</f>
        <v>0.78792367902750238</v>
      </c>
      <c r="C84" s="8">
        <f t="shared" si="1"/>
        <v>0.21207632097249762</v>
      </c>
      <c r="D84" s="80">
        <f t="shared" si="2"/>
        <v>8.3168835424435317E-3</v>
      </c>
      <c r="E84" s="70">
        <f>(2*Table!$AC$16*0.147)/A84</f>
        <v>0.19437738176420538</v>
      </c>
      <c r="F84" s="70">
        <f t="shared" si="3"/>
        <v>0.38875476352841076</v>
      </c>
      <c r="G84" s="157">
        <f>IF((('Raw Data'!C84)/('Raw Data'!C$136)*100)&lt;0,0,('Raw Data'!C84)/('Raw Data'!C$136)*100)</f>
        <v>78.792367902750243</v>
      </c>
      <c r="H84" s="157">
        <f t="shared" si="4"/>
        <v>0.83168835424436338</v>
      </c>
      <c r="I84" s="146">
        <f t="shared" si="5"/>
        <v>4.0458048492006404E-2</v>
      </c>
      <c r="J84" s="70">
        <f>'Raw Data'!F84/I84</f>
        <v>0.20556808478013366</v>
      </c>
      <c r="K84" s="138">
        <f t="shared" si="6"/>
        <v>7.0217132060303253</v>
      </c>
      <c r="L84" s="157">
        <f>A84*Table!$AC$9/$AC$16</f>
        <v>105.87651615230166</v>
      </c>
      <c r="M84" s="157">
        <f>A84*Table!$AD$9/$AC$16</f>
        <v>36.300519823646283</v>
      </c>
      <c r="N84" s="157">
        <f>ABS(A84*Table!$AE$9/$AC$16)</f>
        <v>45.845876326043346</v>
      </c>
      <c r="O84" s="157">
        <f>($L84*(Table!$AC$10/Table!$AC$9)/(Table!$AC$12-Table!$AC$14))</f>
        <v>227.10535425204134</v>
      </c>
      <c r="P84" s="157">
        <f>$N84*(Table!$AE$10/Table!$AE$9)/(Table!$AC$12-Table!$AC$13)</f>
        <v>376.40292550117681</v>
      </c>
      <c r="Q84" s="157">
        <f>'Raw Data'!C84</f>
        <v>1.254889992537825</v>
      </c>
      <c r="R84" s="157">
        <f>'Raw Data'!C84/'Raw Data'!I$23*100</f>
        <v>22.213398671489667</v>
      </c>
      <c r="S84" s="95">
        <f t="shared" si="7"/>
        <v>6.7010787935141244E-2</v>
      </c>
      <c r="T84" s="95">
        <f t="shared" si="8"/>
        <v>8.6251560377670344E-5</v>
      </c>
      <c r="U84" s="71">
        <f t="shared" si="9"/>
        <v>3.952917072748241E-2</v>
      </c>
      <c r="V84" s="71">
        <f t="shared" si="10"/>
        <v>1.6918456235229613</v>
      </c>
      <c r="W84" s="71">
        <f t="shared" si="11"/>
        <v>3.1647994426979142E-4</v>
      </c>
      <c r="X84" s="42">
        <f t="shared" si="12"/>
        <v>17.625819891384133</v>
      </c>
      <c r="AS84" s="150"/>
      <c r="AT84" s="150"/>
    </row>
    <row r="85" spans="1:46" x14ac:dyDescent="0.2">
      <c r="A85" s="157">
        <f>'Raw Data'!A85</f>
        <v>613.34765625</v>
      </c>
      <c r="B85" s="8">
        <f>'Raw Data'!E85</f>
        <v>0.79594697240196688</v>
      </c>
      <c r="C85" s="8">
        <f t="shared" si="1"/>
        <v>0.20405302759803312</v>
      </c>
      <c r="D85" s="80">
        <f t="shared" si="2"/>
        <v>8.0232933744645019E-3</v>
      </c>
      <c r="E85" s="70">
        <f>(2*Table!$AC$16*0.147)/A85</f>
        <v>0.17808868433959235</v>
      </c>
      <c r="F85" s="70">
        <f t="shared" si="3"/>
        <v>0.3561773686791847</v>
      </c>
      <c r="G85" s="157">
        <f>IF((('Raw Data'!C85)/('Raw Data'!C$136)*100)&lt;0,0,('Raw Data'!C85)/('Raw Data'!C$136)*100)</f>
        <v>79.594697240196695</v>
      </c>
      <c r="H85" s="157">
        <f t="shared" si="4"/>
        <v>0.80232933744645152</v>
      </c>
      <c r="I85" s="146">
        <f t="shared" si="5"/>
        <v>3.8009402444528106E-2</v>
      </c>
      <c r="J85" s="70">
        <f>'Raw Data'!F85/I85</f>
        <v>0.21108706947376774</v>
      </c>
      <c r="K85" s="138">
        <f t="shared" si="6"/>
        <v>7.663946946144546</v>
      </c>
      <c r="L85" s="157">
        <f>A85*Table!$AC$9/$AC$16</f>
        <v>115.56040225866664</v>
      </c>
      <c r="M85" s="157">
        <f>A85*Table!$AD$9/$AC$16</f>
        <v>39.620709345828558</v>
      </c>
      <c r="N85" s="157">
        <f>ABS(A85*Table!$AE$9/$AC$16)</f>
        <v>50.039122013776975</v>
      </c>
      <c r="O85" s="157">
        <f>($L85*(Table!$AC$10/Table!$AC$9)/(Table!$AC$12-Table!$AC$14))</f>
        <v>247.87731072215072</v>
      </c>
      <c r="P85" s="157">
        <f>$N85*(Table!$AE$10/Table!$AE$9)/(Table!$AC$12-Table!$AC$13)</f>
        <v>410.83022999816882</v>
      </c>
      <c r="Q85" s="157">
        <f>'Raw Data'!C85</f>
        <v>1.2676683247936056</v>
      </c>
      <c r="R85" s="157">
        <f>'Raw Data'!C85/'Raw Data'!I$23*100</f>
        <v>22.439593947922116</v>
      </c>
      <c r="S85" s="95">
        <f t="shared" si="7"/>
        <v>6.464527345055282E-2</v>
      </c>
      <c r="T85" s="95">
        <f t="shared" si="8"/>
        <v>7.1712623444075696E-5</v>
      </c>
      <c r="U85" s="71">
        <f t="shared" si="9"/>
        <v>3.6585440115834984E-2</v>
      </c>
      <c r="V85" s="71">
        <f t="shared" si="10"/>
        <v>1.4843188532515923</v>
      </c>
      <c r="W85" s="71">
        <f t="shared" si="11"/>
        <v>2.5628278859516447E-4</v>
      </c>
      <c r="X85" s="42">
        <f t="shared" si="12"/>
        <v>17.626076174172727</v>
      </c>
      <c r="AS85" s="150"/>
      <c r="AT85" s="150"/>
    </row>
    <row r="86" spans="1:46" x14ac:dyDescent="0.2">
      <c r="A86" s="157">
        <f>'Raw Data'!A86</f>
        <v>673.431884765625</v>
      </c>
      <c r="B86" s="8">
        <f>'Raw Data'!E86</f>
        <v>0.80413940089652292</v>
      </c>
      <c r="C86" s="8">
        <f t="shared" si="1"/>
        <v>0.19586059910347708</v>
      </c>
      <c r="D86" s="80">
        <f t="shared" si="2"/>
        <v>8.1924284945560366E-3</v>
      </c>
      <c r="E86" s="70">
        <f>(2*Table!$AC$16*0.147)/A86</f>
        <v>0.16219944379727513</v>
      </c>
      <c r="F86" s="70">
        <f t="shared" si="3"/>
        <v>0.32439888759455027</v>
      </c>
      <c r="G86" s="157">
        <f>IF((('Raw Data'!C86)/('Raw Data'!C$136)*100)&lt;0,0,('Raw Data'!C86)/('Raw Data'!C$136)*100)</f>
        <v>80.413940089652286</v>
      </c>
      <c r="H86" s="157">
        <f t="shared" si="4"/>
        <v>0.81924284945559123</v>
      </c>
      <c r="I86" s="146">
        <f t="shared" si="5"/>
        <v>4.0586964873057463E-2</v>
      </c>
      <c r="J86" s="70">
        <f>'Raw Data'!F86/I86</f>
        <v>0.20184875908260769</v>
      </c>
      <c r="K86" s="138">
        <f t="shared" si="6"/>
        <v>8.4147158370850583</v>
      </c>
      <c r="L86" s="157">
        <f>A86*Table!$AC$9/$AC$16</f>
        <v>126.88082966376814</v>
      </c>
      <c r="M86" s="157">
        <f>A86*Table!$AD$9/$AC$16</f>
        <v>43.50199874186336</v>
      </c>
      <c r="N86" s="157">
        <f>ABS(A86*Table!$AE$9/$AC$16)</f>
        <v>54.941010871034692</v>
      </c>
      <c r="O86" s="157">
        <f>($L86*(Table!$AC$10/Table!$AC$9)/(Table!$AC$12-Table!$AC$14))</f>
        <v>272.15965178843447</v>
      </c>
      <c r="P86" s="157">
        <f>$N86*(Table!$AE$10/Table!$AE$9)/(Table!$AC$12-Table!$AC$13)</f>
        <v>451.07562291489887</v>
      </c>
      <c r="Q86" s="157">
        <f>'Raw Data'!C86</f>
        <v>1.2807160308164642</v>
      </c>
      <c r="R86" s="157">
        <f>'Raw Data'!C86/'Raw Data'!I$23*100</f>
        <v>22.670557536250698</v>
      </c>
      <c r="S86" s="95">
        <f t="shared" si="7"/>
        <v>6.6008028815227382E-2</v>
      </c>
      <c r="T86" s="95">
        <f t="shared" si="8"/>
        <v>5.9398068812055449E-5</v>
      </c>
      <c r="U86" s="71">
        <f t="shared" si="9"/>
        <v>3.3664217642651047E-2</v>
      </c>
      <c r="V86" s="71">
        <f t="shared" si="10"/>
        <v>1.289480779190272</v>
      </c>
      <c r="W86" s="71">
        <f t="shared" si="11"/>
        <v>2.1707284485801876E-4</v>
      </c>
      <c r="X86" s="42">
        <f t="shared" si="12"/>
        <v>17.626293247017585</v>
      </c>
      <c r="AS86" s="150"/>
      <c r="AT86" s="150"/>
    </row>
    <row r="87" spans="1:46" x14ac:dyDescent="0.2">
      <c r="A87" s="157">
        <f>'Raw Data'!A87</f>
        <v>735.2288818359375</v>
      </c>
      <c r="B87" s="8">
        <f>'Raw Data'!E87</f>
        <v>0.81229100367243601</v>
      </c>
      <c r="C87" s="8">
        <f t="shared" si="1"/>
        <v>0.18770899632756399</v>
      </c>
      <c r="D87" s="80">
        <f t="shared" si="2"/>
        <v>8.1516027759130916E-3</v>
      </c>
      <c r="E87" s="70">
        <f>(2*Table!$AC$16*0.147)/A87</f>
        <v>0.14856635782802288</v>
      </c>
      <c r="F87" s="70">
        <f t="shared" si="3"/>
        <v>0.29713271565604576</v>
      </c>
      <c r="G87" s="157">
        <f>IF((('Raw Data'!C87)/('Raw Data'!C$136)*100)&lt;0,0,('Raw Data'!C87)/('Raw Data'!C$136)*100)</f>
        <v>81.229100367243603</v>
      </c>
      <c r="H87" s="157">
        <f t="shared" si="4"/>
        <v>0.81516027759131759</v>
      </c>
      <c r="I87" s="146">
        <f t="shared" si="5"/>
        <v>3.8128884066832125E-2</v>
      </c>
      <c r="J87" s="70">
        <f>'Raw Data'!F87/I87</f>
        <v>0.21379075143203774</v>
      </c>
      <c r="K87" s="138">
        <f t="shared" si="6"/>
        <v>9.1868862402028668</v>
      </c>
      <c r="L87" s="157">
        <f>A87*Table!$AC$9/$AC$16</f>
        <v>138.52395859244896</v>
      </c>
      <c r="M87" s="157">
        <f>A87*Table!$AD$9/$AC$16</f>
        <v>47.493928660268217</v>
      </c>
      <c r="N87" s="157">
        <f>ABS(A87*Table!$AE$9/$AC$16)</f>
        <v>59.98263358692224</v>
      </c>
      <c r="O87" s="157">
        <f>($L87*(Table!$AC$10/Table!$AC$9)/(Table!$AC$12-Table!$AC$14))</f>
        <v>297.13418831499138</v>
      </c>
      <c r="P87" s="157">
        <f>$N87*(Table!$AE$10/Table!$AE$9)/(Table!$AC$12-Table!$AC$13)</f>
        <v>492.46825605026459</v>
      </c>
      <c r="Q87" s="157">
        <f>'Raw Data'!C87</f>
        <v>1.2936987155852004</v>
      </c>
      <c r="R87" s="157">
        <f>'Raw Data'!C87/'Raw Data'!I$23*100</f>
        <v>22.900370152742273</v>
      </c>
      <c r="S87" s="95">
        <f t="shared" si="7"/>
        <v>6.5679087865132227E-2</v>
      </c>
      <c r="T87" s="95">
        <f t="shared" si="8"/>
        <v>4.9118111985713142E-5</v>
      </c>
      <c r="U87" s="71">
        <f t="shared" si="9"/>
        <v>3.1147266815141753E-2</v>
      </c>
      <c r="V87" s="71">
        <f t="shared" si="10"/>
        <v>1.1306964263828294</v>
      </c>
      <c r="W87" s="71">
        <f t="shared" si="11"/>
        <v>1.8120829701286789E-4</v>
      </c>
      <c r="X87" s="42">
        <f t="shared" si="12"/>
        <v>17.626474455314597</v>
      </c>
      <c r="AS87" s="150"/>
      <c r="AT87" s="150"/>
    </row>
    <row r="88" spans="1:46" x14ac:dyDescent="0.2">
      <c r="A88" s="157">
        <f>'Raw Data'!A88</f>
        <v>804.4661865234375</v>
      </c>
      <c r="B88" s="8">
        <f>'Raw Data'!E88</f>
        <v>0.82039670921186281</v>
      </c>
      <c r="C88" s="8">
        <f t="shared" si="1"/>
        <v>0.17960329078813719</v>
      </c>
      <c r="D88" s="80">
        <f t="shared" si="2"/>
        <v>8.1057055394267996E-3</v>
      </c>
      <c r="E88" s="70">
        <f>(2*Table!$AC$16*0.147)/A88</f>
        <v>0.13577982390581522</v>
      </c>
      <c r="F88" s="70">
        <f t="shared" si="3"/>
        <v>0.27155964781163044</v>
      </c>
      <c r="G88" s="157">
        <f>IF((('Raw Data'!C88)/('Raw Data'!C$136)*100)&lt;0,0,('Raw Data'!C88)/('Raw Data'!C$136)*100)</f>
        <v>82.039670921186286</v>
      </c>
      <c r="H88" s="157">
        <f t="shared" si="4"/>
        <v>0.81057055394268218</v>
      </c>
      <c r="I88" s="146">
        <f t="shared" si="5"/>
        <v>3.9085235461335244E-2</v>
      </c>
      <c r="J88" s="70">
        <f>'Raw Data'!F88/I88</f>
        <v>0.20738535776368303</v>
      </c>
      <c r="K88" s="138">
        <f t="shared" si="6"/>
        <v>10.05202532472031</v>
      </c>
      <c r="L88" s="157">
        <f>A88*Table!$AC$9/$AC$16</f>
        <v>151.56891066728355</v>
      </c>
      <c r="M88" s="157">
        <f>A88*Table!$AD$9/$AC$16</f>
        <v>51.96648365735436</v>
      </c>
      <c r="N88" s="157">
        <f>ABS(A88*Table!$AE$9/$AC$16)</f>
        <v>65.631263530900881</v>
      </c>
      <c r="O88" s="157">
        <f>($L88*(Table!$AC$10/Table!$AC$9)/(Table!$AC$12-Table!$AC$14))</f>
        <v>325.11563849696176</v>
      </c>
      <c r="P88" s="157">
        <f>$N88*(Table!$AE$10/Table!$AE$9)/(Table!$AC$12-Table!$AC$13)</f>
        <v>538.84452816831583</v>
      </c>
      <c r="Q88" s="157">
        <f>'Raw Data'!C88</f>
        <v>1.3066083019253896</v>
      </c>
      <c r="R88" s="157">
        <f>'Raw Data'!C88/'Raw Data'!I$23*100</f>
        <v>23.12888881952891</v>
      </c>
      <c r="S88" s="95">
        <f t="shared" si="7"/>
        <v>6.5309284685215588E-2</v>
      </c>
      <c r="T88" s="95">
        <f t="shared" si="8"/>
        <v>4.0579866560475075E-5</v>
      </c>
      <c r="U88" s="71">
        <f t="shared" si="9"/>
        <v>2.8750604073842036E-2</v>
      </c>
      <c r="V88" s="71">
        <f t="shared" si="10"/>
        <v>0.9875177913757428</v>
      </c>
      <c r="W88" s="71">
        <f t="shared" si="11"/>
        <v>1.505065574768324E-4</v>
      </c>
      <c r="X88" s="42">
        <f t="shared" si="12"/>
        <v>17.626624961872075</v>
      </c>
      <c r="AS88" s="150"/>
      <c r="AT88" s="150"/>
    </row>
    <row r="89" spans="1:46" x14ac:dyDescent="0.2">
      <c r="A89" s="157">
        <f>'Raw Data'!A89</f>
        <v>878.50714111328125</v>
      </c>
      <c r="B89" s="8">
        <f>'Raw Data'!E89</f>
        <v>0.82849257600667237</v>
      </c>
      <c r="C89" s="8">
        <f t="shared" si="1"/>
        <v>0.17150742399332763</v>
      </c>
      <c r="D89" s="80">
        <f t="shared" si="2"/>
        <v>8.0958667948095586E-3</v>
      </c>
      <c r="E89" s="70">
        <f>(2*Table!$AC$16*0.147)/A89</f>
        <v>0.1243362427377811</v>
      </c>
      <c r="F89" s="70">
        <f t="shared" si="3"/>
        <v>0.2486724854755622</v>
      </c>
      <c r="G89" s="157">
        <f>IF((('Raw Data'!C89)/('Raw Data'!C$136)*100)&lt;0,0,('Raw Data'!C89)/('Raw Data'!C$136)*100)</f>
        <v>82.849257600667244</v>
      </c>
      <c r="H89" s="157">
        <f t="shared" si="4"/>
        <v>0.80958667948095808</v>
      </c>
      <c r="I89" s="146">
        <f t="shared" si="5"/>
        <v>3.8237501621428138E-2</v>
      </c>
      <c r="J89" s="70">
        <f>'Raw Data'!F89/I89</f>
        <v>0.21172583070314061</v>
      </c>
      <c r="K89" s="138">
        <f t="shared" si="6"/>
        <v>10.977187330372731</v>
      </c>
      <c r="L89" s="157">
        <f>A89*Table!$AC$9/$AC$16</f>
        <v>165.51891505521996</v>
      </c>
      <c r="M89" s="157">
        <f>A89*Table!$AD$9/$AC$16</f>
        <v>56.749342304646838</v>
      </c>
      <c r="N89" s="157">
        <f>ABS(A89*Table!$AE$9/$AC$16)</f>
        <v>71.671792622329534</v>
      </c>
      <c r="O89" s="157">
        <f>($L89*(Table!$AC$10/Table!$AC$9)/(Table!$AC$12-Table!$AC$14))</f>
        <v>355.03842783187469</v>
      </c>
      <c r="P89" s="157">
        <f>$N89*(Table!$AE$10/Table!$AE$9)/(Table!$AC$12-Table!$AC$13)</f>
        <v>588.43836307331287</v>
      </c>
      <c r="Q89" s="157">
        <f>'Raw Data'!C89</f>
        <v>1.3195022185471939</v>
      </c>
      <c r="R89" s="157">
        <f>'Raw Data'!C89/'Raw Data'!I$23*100</f>
        <v>23.357130109251724</v>
      </c>
      <c r="S89" s="95">
        <f t="shared" si="7"/>
        <v>6.5230011959352671E-2</v>
      </c>
      <c r="T89" s="95">
        <f t="shared" si="8"/>
        <v>3.3428876705210442E-5</v>
      </c>
      <c r="U89" s="71">
        <f t="shared" si="9"/>
        <v>2.6587296808598032E-2</v>
      </c>
      <c r="V89" s="71">
        <f t="shared" si="10"/>
        <v>0.86516101324842321</v>
      </c>
      <c r="W89" s="71">
        <f t="shared" si="11"/>
        <v>1.2605293149433116E-4</v>
      </c>
      <c r="X89" s="42">
        <f t="shared" si="12"/>
        <v>17.62675101480357</v>
      </c>
      <c r="AS89" s="150"/>
      <c r="AT89" s="150"/>
    </row>
    <row r="90" spans="1:46" x14ac:dyDescent="0.2">
      <c r="A90" s="157">
        <f>'Raw Data'!A90</f>
        <v>963.77874755859375</v>
      </c>
      <c r="B90" s="8">
        <f>'Raw Data'!E90</f>
        <v>0.83674139977965167</v>
      </c>
      <c r="C90" s="8">
        <f t="shared" si="1"/>
        <v>0.16325860022034833</v>
      </c>
      <c r="D90" s="80">
        <f t="shared" si="2"/>
        <v>8.2488237729793079E-3</v>
      </c>
      <c r="E90" s="70">
        <f>(2*Table!$AC$16*0.147)/A90</f>
        <v>0.11333542830346993</v>
      </c>
      <c r="F90" s="70">
        <f t="shared" si="3"/>
        <v>0.22667085660693986</v>
      </c>
      <c r="G90" s="157">
        <f>IF((('Raw Data'!C90)/('Raw Data'!C$136)*100)&lt;0,0,('Raw Data'!C90)/('Raw Data'!C$136)*100)</f>
        <v>83.674139977965169</v>
      </c>
      <c r="H90" s="157">
        <f t="shared" si="4"/>
        <v>0.82488237729792502</v>
      </c>
      <c r="I90" s="146">
        <f t="shared" si="5"/>
        <v>4.0232049281348048E-2</v>
      </c>
      <c r="J90" s="70">
        <f>'Raw Data'!F90/I90</f>
        <v>0.20503116098546686</v>
      </c>
      <c r="K90" s="138">
        <f t="shared" si="6"/>
        <v>12.042679406767032</v>
      </c>
      <c r="L90" s="157">
        <f>A90*Table!$AC$9/$AC$16</f>
        <v>181.58487869207542</v>
      </c>
      <c r="M90" s="157">
        <f>A90*Table!$AD$9/$AC$16</f>
        <v>62.257672694425857</v>
      </c>
      <c r="N90" s="157">
        <f>ABS(A90*Table!$AE$9/$AC$16)</f>
        <v>78.628558945226473</v>
      </c>
      <c r="O90" s="157">
        <f>($L90*(Table!$AC$10/Table!$AC$9)/(Table!$AC$12-Table!$AC$14))</f>
        <v>389.49995429445613</v>
      </c>
      <c r="P90" s="157">
        <f>$N90*(Table!$AE$10/Table!$AE$9)/(Table!$AC$12-Table!$AC$13)</f>
        <v>645.5546711430743</v>
      </c>
      <c r="Q90" s="157">
        <f>'Raw Data'!C90</f>
        <v>1.3326397427496597</v>
      </c>
      <c r="R90" s="157">
        <f>'Raw Data'!C90/'Raw Data'!I$23*100</f>
        <v>23.589683611471898</v>
      </c>
      <c r="S90" s="95">
        <f t="shared" si="7"/>
        <v>6.646241681088455E-2</v>
      </c>
      <c r="T90" s="95">
        <f t="shared" si="8"/>
        <v>2.7375039543864332E-5</v>
      </c>
      <c r="U90" s="71">
        <f t="shared" si="9"/>
        <v>2.4476243817606845E-2</v>
      </c>
      <c r="V90" s="71">
        <f t="shared" si="10"/>
        <v>0.75221207892084219</v>
      </c>
      <c r="W90" s="71">
        <f t="shared" si="11"/>
        <v>1.0671304762488213E-4</v>
      </c>
      <c r="X90" s="42">
        <f t="shared" si="12"/>
        <v>17.626857727851196</v>
      </c>
      <c r="AS90" s="150"/>
      <c r="AT90" s="150"/>
    </row>
    <row r="91" spans="1:46" x14ac:dyDescent="0.2">
      <c r="A91" s="157">
        <f>'Raw Data'!A91</f>
        <v>1047.4248046875</v>
      </c>
      <c r="B91" s="8">
        <f>'Raw Data'!E91</f>
        <v>0.84420383399576771</v>
      </c>
      <c r="C91" s="8">
        <f t="shared" si="1"/>
        <v>0.15579616600423229</v>
      </c>
      <c r="D91" s="80">
        <f t="shared" si="2"/>
        <v>7.4624342161160317E-3</v>
      </c>
      <c r="E91" s="70">
        <f>(2*Table!$AC$16*0.147)/A91</f>
        <v>0.10428460034123785</v>
      </c>
      <c r="F91" s="70">
        <f t="shared" si="3"/>
        <v>0.2085692006824757</v>
      </c>
      <c r="G91" s="157">
        <f>IF((('Raw Data'!C91)/('Raw Data'!C$136)*100)&lt;0,0,('Raw Data'!C91)/('Raw Data'!C$136)*100)</f>
        <v>84.420383399576764</v>
      </c>
      <c r="H91" s="157">
        <f t="shared" si="4"/>
        <v>0.74624342161159518</v>
      </c>
      <c r="I91" s="146">
        <f t="shared" si="5"/>
        <v>3.6145509099486106E-2</v>
      </c>
      <c r="J91" s="70">
        <f>'Raw Data'!F91/I91</f>
        <v>0.2064553633918004</v>
      </c>
      <c r="K91" s="138">
        <f t="shared" si="6"/>
        <v>13.087859799253637</v>
      </c>
      <c r="L91" s="157">
        <f>A91*Table!$AC$9/$AC$16</f>
        <v>197.34457372093829</v>
      </c>
      <c r="M91" s="157">
        <f>A91*Table!$AD$9/$AC$16</f>
        <v>67.660996704321704</v>
      </c>
      <c r="N91" s="157">
        <f>ABS(A91*Table!$AE$9/$AC$16)</f>
        <v>85.45270707067175</v>
      </c>
      <c r="O91" s="157">
        <f>($L91*(Table!$AC$10/Table!$AC$9)/(Table!$AC$12-Table!$AC$14))</f>
        <v>423.30453393594667</v>
      </c>
      <c r="P91" s="157">
        <f>$N91*(Table!$AE$10/Table!$AE$9)/(Table!$AC$12-Table!$AC$13)</f>
        <v>701.58215985773177</v>
      </c>
      <c r="Q91" s="157">
        <f>'Raw Data'!C91</f>
        <v>1.3445248202857658</v>
      </c>
      <c r="R91" s="157">
        <f>'Raw Data'!C91/'Raw Data'!I$23*100</f>
        <v>23.800066965487794</v>
      </c>
      <c r="S91" s="95">
        <f t="shared" si="7"/>
        <v>6.0126319454170546E-2</v>
      </c>
      <c r="T91" s="95">
        <f t="shared" si="8"/>
        <v>2.2738134450750458E-5</v>
      </c>
      <c r="U91" s="71">
        <f t="shared" si="9"/>
        <v>2.2722458795109937E-2</v>
      </c>
      <c r="V91" s="71">
        <f t="shared" si="10"/>
        <v>0.66334406755888597</v>
      </c>
      <c r="W91" s="71">
        <f t="shared" si="11"/>
        <v>8.1736303908022884E-5</v>
      </c>
      <c r="X91" s="42">
        <f t="shared" si="12"/>
        <v>17.626939464155104</v>
      </c>
      <c r="AS91" s="150"/>
      <c r="AT91" s="150"/>
    </row>
    <row r="92" spans="1:46" x14ac:dyDescent="0.2">
      <c r="A92" s="157">
        <f>'Raw Data'!A92</f>
        <v>1147.6639404296875</v>
      </c>
      <c r="B92" s="8">
        <f>'Raw Data'!E92</f>
        <v>0.85237029631896333</v>
      </c>
      <c r="C92" s="8">
        <f t="shared" si="1"/>
        <v>0.14762970368103667</v>
      </c>
      <c r="D92" s="80">
        <f t="shared" si="2"/>
        <v>8.1664623231956224E-3</v>
      </c>
      <c r="E92" s="70">
        <f>(2*Table!$AC$16*0.147)/A92</f>
        <v>9.5176186422167297E-2</v>
      </c>
      <c r="F92" s="70">
        <f t="shared" si="3"/>
        <v>0.19035237284433459</v>
      </c>
      <c r="G92" s="157">
        <f>IF((('Raw Data'!C92)/('Raw Data'!C$136)*100)&lt;0,0,('Raw Data'!C92)/('Raw Data'!C$136)*100)</f>
        <v>85.237029631896334</v>
      </c>
      <c r="H92" s="157">
        <f t="shared" si="4"/>
        <v>0.81664623231957023</v>
      </c>
      <c r="I92" s="146">
        <f t="shared" si="5"/>
        <v>3.9691881862107259E-2</v>
      </c>
      <c r="J92" s="70">
        <f>'Raw Data'!F92/I92</f>
        <v>0.20574641312212305</v>
      </c>
      <c r="K92" s="138">
        <f t="shared" si="6"/>
        <v>14.340375253461843</v>
      </c>
      <c r="L92" s="157">
        <f>A92*Table!$AC$9/$AC$16</f>
        <v>216.23055906773283</v>
      </c>
      <c r="M92" s="157">
        <f>A92*Table!$AD$9/$AC$16</f>
        <v>74.136191680365542</v>
      </c>
      <c r="N92" s="157">
        <f>ABS(A92*Table!$AE$9/$AC$16)</f>
        <v>93.63057861358412</v>
      </c>
      <c r="O92" s="157">
        <f>($L92*(Table!$AC$10/Table!$AC$9)/(Table!$AC$12-Table!$AC$14))</f>
        <v>463.81501301529994</v>
      </c>
      <c r="P92" s="157">
        <f>$N92*(Table!$AE$10/Table!$AE$9)/(Table!$AC$12-Table!$AC$13)</f>
        <v>768.72396234469716</v>
      </c>
      <c r="Q92" s="157">
        <f>'Raw Data'!C92</f>
        <v>1.3575311711755678</v>
      </c>
      <c r="R92" s="157">
        <f>'Raw Data'!C92/'Raw Data'!I$23*100</f>
        <v>24.030298507132468</v>
      </c>
      <c r="S92" s="95">
        <f t="shared" si="7"/>
        <v>6.5798814198521433E-2</v>
      </c>
      <c r="T92" s="95">
        <f t="shared" si="8"/>
        <v>1.8511468840576306E-5</v>
      </c>
      <c r="U92" s="71">
        <f t="shared" si="9"/>
        <v>2.093844518469011E-2</v>
      </c>
      <c r="V92" s="71">
        <f t="shared" si="10"/>
        <v>0.57768345010104438</v>
      </c>
      <c r="W92" s="71">
        <f t="shared" si="11"/>
        <v>7.450487295006273E-5</v>
      </c>
      <c r="X92" s="42">
        <f t="shared" si="12"/>
        <v>17.627013969028052</v>
      </c>
      <c r="AS92" s="150"/>
      <c r="AT92" s="150"/>
    </row>
    <row r="93" spans="1:46" x14ac:dyDescent="0.2">
      <c r="A93" s="157">
        <f>'Raw Data'!A93</f>
        <v>1257.7652587890625</v>
      </c>
      <c r="B93" s="8">
        <f>'Raw Data'!E93</f>
        <v>0.86029114503298254</v>
      </c>
      <c r="C93" s="8">
        <f t="shared" si="1"/>
        <v>0.13970885496701746</v>
      </c>
      <c r="D93" s="80">
        <f t="shared" si="2"/>
        <v>7.920848714019213E-3</v>
      </c>
      <c r="E93" s="70">
        <f>(2*Table!$AC$16*0.147)/A93</f>
        <v>8.6844724308491855E-2</v>
      </c>
      <c r="F93" s="70">
        <f t="shared" si="3"/>
        <v>0.17368944861698371</v>
      </c>
      <c r="G93" s="157">
        <f>IF((('Raw Data'!C93)/('Raw Data'!C$136)*100)&lt;0,0,('Raw Data'!C93)/('Raw Data'!C$136)*100)</f>
        <v>86.02911450329826</v>
      </c>
      <c r="H93" s="157">
        <f t="shared" si="4"/>
        <v>0.79208487140192574</v>
      </c>
      <c r="I93" s="146">
        <f t="shared" si="5"/>
        <v>3.9784858411359592E-2</v>
      </c>
      <c r="J93" s="70">
        <f>'Raw Data'!F93/I93</f>
        <v>0.19909204230717104</v>
      </c>
      <c r="K93" s="138">
        <f t="shared" si="6"/>
        <v>15.716121380488509</v>
      </c>
      <c r="L93" s="157">
        <f>A93*Table!$AC$9/$AC$16</f>
        <v>236.97467133288652</v>
      </c>
      <c r="M93" s="157">
        <f>A93*Table!$AD$9/$AC$16</f>
        <v>81.248458742703946</v>
      </c>
      <c r="N93" s="157">
        <f>ABS(A93*Table!$AE$9/$AC$16)</f>
        <v>102.61304271387385</v>
      </c>
      <c r="O93" s="157">
        <f>($L93*(Table!$AC$10/Table!$AC$9)/(Table!$AC$12-Table!$AC$14))</f>
        <v>508.31117832021999</v>
      </c>
      <c r="P93" s="157">
        <f>$N93*(Table!$AE$10/Table!$AE$9)/(Table!$AC$12-Table!$AC$13)</f>
        <v>842.47161505643533</v>
      </c>
      <c r="Q93" s="157">
        <f>'Raw Data'!C93</f>
        <v>1.3701463445079609</v>
      </c>
      <c r="R93" s="157">
        <f>'Raw Data'!C93/'Raw Data'!I$23*100</f>
        <v>24.253605630632336</v>
      </c>
      <c r="S93" s="95">
        <f t="shared" si="7"/>
        <v>6.3819856408080938E-2</v>
      </c>
      <c r="T93" s="95">
        <f t="shared" si="8"/>
        <v>1.5098235892851974E-5</v>
      </c>
      <c r="U93" s="71">
        <f t="shared" si="9"/>
        <v>1.9283093932792324E-2</v>
      </c>
      <c r="V93" s="71">
        <f t="shared" si="10"/>
        <v>0.50258176110482022</v>
      </c>
      <c r="W93" s="71">
        <f t="shared" si="11"/>
        <v>6.0166218612196833E-5</v>
      </c>
      <c r="X93" s="42">
        <f t="shared" si="12"/>
        <v>17.627074135246666</v>
      </c>
      <c r="AS93" s="150"/>
      <c r="AT93" s="150"/>
    </row>
    <row r="94" spans="1:46" x14ac:dyDescent="0.2">
      <c r="A94" s="157">
        <f>'Raw Data'!A94</f>
        <v>1377.4647216796875</v>
      </c>
      <c r="B94" s="8">
        <f>'Raw Data'!E94</f>
        <v>0.86838533822690378</v>
      </c>
      <c r="C94" s="8">
        <f t="shared" si="1"/>
        <v>0.13161466177309622</v>
      </c>
      <c r="D94" s="80">
        <f t="shared" si="2"/>
        <v>8.0941931939212397E-3</v>
      </c>
      <c r="E94" s="70">
        <f>(2*Table!$AC$16*0.147)/A94</f>
        <v>7.9298057819687087E-2</v>
      </c>
      <c r="F94" s="70">
        <f t="shared" si="3"/>
        <v>0.15859611563937417</v>
      </c>
      <c r="G94" s="157">
        <f>IF((('Raw Data'!C94)/('Raw Data'!C$136)*100)&lt;0,0,('Raw Data'!C94)/('Raw Data'!C$136)*100)</f>
        <v>86.83853382269038</v>
      </c>
      <c r="H94" s="157">
        <f t="shared" si="4"/>
        <v>0.80941931939211997</v>
      </c>
      <c r="I94" s="146">
        <f t="shared" si="5"/>
        <v>3.948089018208556E-2</v>
      </c>
      <c r="J94" s="70">
        <f>'Raw Data'!F94/I94</f>
        <v>0.20501546840992904</v>
      </c>
      <c r="K94" s="138">
        <f t="shared" si="6"/>
        <v>17.21179895213611</v>
      </c>
      <c r="L94" s="157">
        <f>A94*Table!$AC$9/$AC$16</f>
        <v>259.52716328558887</v>
      </c>
      <c r="M94" s="157">
        <f>A94*Table!$AD$9/$AC$16</f>
        <v>88.980741697916173</v>
      </c>
      <c r="N94" s="157">
        <f>ABS(A94*Table!$AE$9/$AC$16)</f>
        <v>112.37855818871601</v>
      </c>
      <c r="O94" s="157">
        <f>($L94*(Table!$AC$10/Table!$AC$9)/(Table!$AC$12-Table!$AC$14))</f>
        <v>556.68632193391022</v>
      </c>
      <c r="P94" s="157">
        <f>$N94*(Table!$AE$10/Table!$AE$9)/(Table!$AC$12-Table!$AC$13)</f>
        <v>922.64826099109996</v>
      </c>
      <c r="Q94" s="157">
        <f>'Raw Data'!C94</f>
        <v>1.383037595662205</v>
      </c>
      <c r="R94" s="157">
        <f>'Raw Data'!C94/'Raw Data'!I$23*100</f>
        <v>24.481799737658729</v>
      </c>
      <c r="S94" s="95">
        <f t="shared" si="7"/>
        <v>6.5216527423511458E-2</v>
      </c>
      <c r="T94" s="95">
        <f t="shared" si="8"/>
        <v>1.2190158258040817E-5</v>
      </c>
      <c r="U94" s="71">
        <f t="shared" si="9"/>
        <v>1.7773086564282749E-2</v>
      </c>
      <c r="V94" s="71">
        <f t="shared" si="10"/>
        <v>0.43784650298530486</v>
      </c>
      <c r="W94" s="71">
        <f t="shared" si="11"/>
        <v>5.1261674018716778E-5</v>
      </c>
      <c r="X94" s="42">
        <f t="shared" si="12"/>
        <v>17.627125396920686</v>
      </c>
      <c r="AS94" s="150"/>
      <c r="AT94" s="150"/>
    </row>
    <row r="95" spans="1:46" x14ac:dyDescent="0.2">
      <c r="A95" s="157">
        <f>'Raw Data'!A95</f>
        <v>1506.6988525390625</v>
      </c>
      <c r="B95" s="8">
        <f>'Raw Data'!E95</f>
        <v>0.87607238996832271</v>
      </c>
      <c r="C95" s="8">
        <f t="shared" si="1"/>
        <v>0.12392761003167729</v>
      </c>
      <c r="D95" s="80">
        <f t="shared" si="2"/>
        <v>7.6870517414189266E-3</v>
      </c>
      <c r="E95" s="70">
        <f>(2*Table!$AC$16*0.147)/A95</f>
        <v>7.2496422865300586E-2</v>
      </c>
      <c r="F95" s="70">
        <f t="shared" si="3"/>
        <v>0.14499284573060117</v>
      </c>
      <c r="G95" s="157">
        <f>IF((('Raw Data'!C95)/('Raw Data'!C$136)*100)&lt;0,0,('Raw Data'!C95)/('Raw Data'!C$136)*100)</f>
        <v>87.607238996832265</v>
      </c>
      <c r="H95" s="157">
        <f t="shared" si="4"/>
        <v>0.76870517414188555</v>
      </c>
      <c r="I95" s="146">
        <f t="shared" si="5"/>
        <v>3.894597259588406E-2</v>
      </c>
      <c r="J95" s="70">
        <f>'Raw Data'!F95/I95</f>
        <v>0.19737732117213372</v>
      </c>
      <c r="K95" s="138">
        <f t="shared" si="6"/>
        <v>18.826614811371492</v>
      </c>
      <c r="L95" s="157">
        <f>A95*Table!$AC$9/$AC$16</f>
        <v>283.87607535116513</v>
      </c>
      <c r="M95" s="157">
        <f>A95*Table!$AD$9/$AC$16</f>
        <v>97.328940120399466</v>
      </c>
      <c r="N95" s="157">
        <f>ABS(A95*Table!$AE$9/$AC$16)</f>
        <v>122.92194639036724</v>
      </c>
      <c r="O95" s="157">
        <f>($L95*(Table!$AC$10/Table!$AC$9)/(Table!$AC$12-Table!$AC$14))</f>
        <v>608.91479054303977</v>
      </c>
      <c r="P95" s="157">
        <f>$N95*(Table!$AE$10/Table!$AE$9)/(Table!$AC$12-Table!$AC$13)</f>
        <v>1009.2113825153302</v>
      </c>
      <c r="Q95" s="157">
        <f>'Raw Data'!C95</f>
        <v>1.3952804112535999</v>
      </c>
      <c r="R95" s="157">
        <f>'Raw Data'!C95/'Raw Data'!I$23*100</f>
        <v>24.698515581446117</v>
      </c>
      <c r="S95" s="95">
        <f t="shared" si="7"/>
        <v>6.1936107613133541E-2</v>
      </c>
      <c r="T95" s="95">
        <f t="shared" si="8"/>
        <v>9.8818155358504356E-6</v>
      </c>
      <c r="U95" s="71">
        <f t="shared" si="9"/>
        <v>1.6392469895244569E-2</v>
      </c>
      <c r="V95" s="71">
        <f t="shared" si="10"/>
        <v>0.38188848837500372</v>
      </c>
      <c r="W95" s="71">
        <f t="shared" si="11"/>
        <v>4.0689942641638245E-5</v>
      </c>
      <c r="X95" s="42">
        <f t="shared" si="12"/>
        <v>17.627166086863326</v>
      </c>
      <c r="Z95" s="162"/>
      <c r="AS95" s="150"/>
      <c r="AT95" s="150"/>
    </row>
    <row r="96" spans="1:46" x14ac:dyDescent="0.2">
      <c r="A96" s="157">
        <f>'Raw Data'!A96</f>
        <v>1648.361572265625</v>
      </c>
      <c r="B96" s="8">
        <f>'Raw Data'!E96</f>
        <v>0.88347842890601547</v>
      </c>
      <c r="C96" s="8">
        <f t="shared" si="1"/>
        <v>0.11652157109398453</v>
      </c>
      <c r="D96" s="80">
        <f t="shared" si="2"/>
        <v>7.4060389376927604E-3</v>
      </c>
      <c r="E96" s="70">
        <f>(2*Table!$AC$16*0.147)/A96</f>
        <v>6.6265969179444786E-2</v>
      </c>
      <c r="F96" s="70">
        <f t="shared" si="3"/>
        <v>0.13253193835888957</v>
      </c>
      <c r="G96" s="157">
        <f>IF((('Raw Data'!C96)/('Raw Data'!C$136)*100)&lt;0,0,('Raw Data'!C96)/('Raw Data'!C$136)*100)</f>
        <v>88.347842890601541</v>
      </c>
      <c r="H96" s="157">
        <f t="shared" si="4"/>
        <v>0.7406038937692756</v>
      </c>
      <c r="I96" s="146">
        <f t="shared" si="5"/>
        <v>3.9026023876365112E-2</v>
      </c>
      <c r="J96" s="70">
        <f>'Raw Data'!F96/I96</f>
        <v>0.18977180358304438</v>
      </c>
      <c r="K96" s="138">
        <f t="shared" si="6"/>
        <v>20.596729292396574</v>
      </c>
      <c r="L96" s="157">
        <f>A96*Table!$AC$9/$AC$16</f>
        <v>310.566649138873</v>
      </c>
      <c r="M96" s="157">
        <f>A96*Table!$AD$9/$AC$16</f>
        <v>106.47999399047073</v>
      </c>
      <c r="N96" s="157">
        <f>ABS(A96*Table!$AE$9/$AC$16)</f>
        <v>134.47930386123627</v>
      </c>
      <c r="O96" s="157">
        <f>($L96*(Table!$AC$10/Table!$AC$9)/(Table!$AC$12-Table!$AC$14))</f>
        <v>666.16612856901122</v>
      </c>
      <c r="P96" s="157">
        <f>$N96*(Table!$AE$10/Table!$AE$9)/(Table!$AC$12-Table!$AC$13)</f>
        <v>1104.0993748869971</v>
      </c>
      <c r="Q96" s="157">
        <f>'Raw Data'!C96</f>
        <v>1.4070756706100986</v>
      </c>
      <c r="R96" s="157">
        <f>'Raw Data'!C96/'Raw Data'!I$23*100</f>
        <v>24.907309021570416</v>
      </c>
      <c r="S96" s="95">
        <f t="shared" si="7"/>
        <v>5.9671931458513371E-2</v>
      </c>
      <c r="T96" s="95">
        <f t="shared" si="8"/>
        <v>8.0236926668364461E-6</v>
      </c>
      <c r="U96" s="71">
        <f t="shared" si="9"/>
        <v>1.5110343167813628E-2</v>
      </c>
      <c r="V96" s="71">
        <f t="shared" si="10"/>
        <v>0.33275591465567378</v>
      </c>
      <c r="W96" s="71">
        <f t="shared" si="11"/>
        <v>3.2753764086921233E-5</v>
      </c>
      <c r="X96" s="42">
        <f t="shared" si="12"/>
        <v>17.627198840627415</v>
      </c>
      <c r="Z96" s="15"/>
      <c r="AS96" s="150"/>
      <c r="AT96" s="150"/>
    </row>
    <row r="97" spans="1:46" x14ac:dyDescent="0.2">
      <c r="A97" s="157">
        <f>'Raw Data'!A97</f>
        <v>1809.2904052734375</v>
      </c>
      <c r="B97" s="8">
        <f>'Raw Data'!E97</f>
        <v>0.89125053000167531</v>
      </c>
      <c r="C97" s="8">
        <f t="shared" si="1"/>
        <v>0.10874946999832469</v>
      </c>
      <c r="D97" s="80">
        <f t="shared" si="2"/>
        <v>7.7721010956598446E-3</v>
      </c>
      <c r="E97" s="70">
        <f>(2*Table!$AC$16*0.147)/A97</f>
        <v>6.0371887689211014E-2</v>
      </c>
      <c r="F97" s="70">
        <f t="shared" si="3"/>
        <v>0.12074377537842203</v>
      </c>
      <c r="G97" s="157">
        <f>IF((('Raw Data'!C97)/('Raw Data'!C$136)*100)&lt;0,0,('Raw Data'!C97)/('Raw Data'!C$136)*100)</f>
        <v>89.125053000167526</v>
      </c>
      <c r="H97" s="157">
        <f t="shared" si="4"/>
        <v>0.77721010956598491</v>
      </c>
      <c r="I97" s="146">
        <f t="shared" si="5"/>
        <v>4.0455798718753933E-2</v>
      </c>
      <c r="J97" s="70">
        <f>'Raw Data'!F97/I97</f>
        <v>0.19211340133687591</v>
      </c>
      <c r="K97" s="138">
        <f t="shared" si="6"/>
        <v>22.607579135399998</v>
      </c>
      <c r="L97" s="157">
        <f>A97*Table!$AC$9/$AC$16</f>
        <v>340.88713783382036</v>
      </c>
      <c r="M97" s="157">
        <f>A97*Table!$AD$9/$AC$16</f>
        <v>116.87559011445269</v>
      </c>
      <c r="N97" s="157">
        <f>ABS(A97*Table!$AE$9/$AC$16)</f>
        <v>147.60846059372795</v>
      </c>
      <c r="O97" s="157">
        <f>($L97*(Table!$AC$10/Table!$AC$9)/(Table!$AC$12-Table!$AC$14))</f>
        <v>731.20364185718665</v>
      </c>
      <c r="P97" s="157">
        <f>$N97*(Table!$AE$10/Table!$AE$9)/(Table!$AC$12-Table!$AC$13)</f>
        <v>1211.8921231012146</v>
      </c>
      <c r="Q97" s="157">
        <f>'Raw Data'!C97</f>
        <v>1.4194539404166029</v>
      </c>
      <c r="R97" s="157">
        <f>'Raw Data'!C97/'Raw Data'!I$23*100</f>
        <v>25.12642260420332</v>
      </c>
      <c r="S97" s="95">
        <f t="shared" si="7"/>
        <v>6.2621367207304129E-2</v>
      </c>
      <c r="T97" s="95">
        <f t="shared" si="8"/>
        <v>6.4051830618305772E-6</v>
      </c>
      <c r="U97" s="71">
        <f t="shared" si="9"/>
        <v>1.3887445890924277E-2</v>
      </c>
      <c r="V97" s="71">
        <f t="shared" si="10"/>
        <v>0.28850101138244827</v>
      </c>
      <c r="W97" s="71">
        <f t="shared" si="11"/>
        <v>2.8530019546910795E-5</v>
      </c>
      <c r="X97" s="42">
        <f t="shared" si="12"/>
        <v>17.627227370646963</v>
      </c>
      <c r="Z97" s="8"/>
      <c r="AS97" s="150"/>
      <c r="AT97" s="150"/>
    </row>
    <row r="98" spans="1:46" x14ac:dyDescent="0.2">
      <c r="A98" s="157">
        <f>'Raw Data'!A98</f>
        <v>1978.3740234375</v>
      </c>
      <c r="B98" s="8">
        <f>'Raw Data'!E98</f>
        <v>0.89877301098906226</v>
      </c>
      <c r="C98" s="8">
        <f t="shared" si="1"/>
        <v>0.10122698901093774</v>
      </c>
      <c r="D98" s="80">
        <f t="shared" si="2"/>
        <v>7.522480987386948E-3</v>
      </c>
      <c r="E98" s="70">
        <f>(2*Table!$AC$16*0.147)/A98</f>
        <v>5.5212146869247351E-2</v>
      </c>
      <c r="F98" s="70">
        <f t="shared" si="3"/>
        <v>0.1104242937384947</v>
      </c>
      <c r="G98" s="157">
        <f>IF((('Raw Data'!C98)/('Raw Data'!C$136)*100)&lt;0,0,('Raw Data'!C98)/('Raw Data'!C$136)*100)</f>
        <v>89.87730109890623</v>
      </c>
      <c r="H98" s="157">
        <f t="shared" si="4"/>
        <v>0.75224809873870413</v>
      </c>
      <c r="I98" s="146">
        <f t="shared" si="5"/>
        <v>3.8800120873037525E-2</v>
      </c>
      <c r="J98" s="70">
        <f>'Raw Data'!F98/I98</f>
        <v>0.19387777197916856</v>
      </c>
      <c r="K98" s="138">
        <f t="shared" si="6"/>
        <v>24.72032525233201</v>
      </c>
      <c r="L98" s="157">
        <f>A98*Table!$AC$9/$AC$16</f>
        <v>372.74406388755853</v>
      </c>
      <c r="M98" s="157">
        <f>A98*Table!$AD$9/$AC$16</f>
        <v>127.79796476144864</v>
      </c>
      <c r="N98" s="157">
        <f>ABS(A98*Table!$AE$9/$AC$16)</f>
        <v>161.40291421823773</v>
      </c>
      <c r="O98" s="157">
        <f>($L98*(Table!$AC$10/Table!$AC$9)/(Table!$AC$12-Table!$AC$14))</f>
        <v>799.5368165756297</v>
      </c>
      <c r="P98" s="157">
        <f>$N98*(Table!$AE$10/Table!$AE$9)/(Table!$AC$12-Table!$AC$13)</f>
        <v>1325.1470789674686</v>
      </c>
      <c r="Q98" s="157">
        <f>'Raw Data'!C98</f>
        <v>1.4314346516979024</v>
      </c>
      <c r="R98" s="157">
        <f>'Raw Data'!C98/'Raw Data'!I$23*100</f>
        <v>25.338498816175736</v>
      </c>
      <c r="S98" s="95">
        <f t="shared" si="7"/>
        <v>6.0610128255302695E-2</v>
      </c>
      <c r="T98" s="95">
        <f t="shared" si="8"/>
        <v>5.0949827544721771E-6</v>
      </c>
      <c r="U98" s="71">
        <f t="shared" si="9"/>
        <v>1.2807739343518639E-2</v>
      </c>
      <c r="V98" s="71">
        <f t="shared" si="10"/>
        <v>0.25159897075171422</v>
      </c>
      <c r="W98" s="71">
        <f t="shared" si="11"/>
        <v>2.3095346649311871E-5</v>
      </c>
      <c r="X98" s="42">
        <f t="shared" si="12"/>
        <v>17.627250465993612</v>
      </c>
      <c r="Z98" s="8"/>
      <c r="AS98" s="150"/>
      <c r="AT98" s="150"/>
    </row>
    <row r="99" spans="1:46" x14ac:dyDescent="0.2">
      <c r="A99" s="157">
        <f>'Raw Data'!A99</f>
        <v>2158.495361328125</v>
      </c>
      <c r="B99" s="8">
        <f>'Raw Data'!E99</f>
        <v>0.90577069130997023</v>
      </c>
      <c r="C99" s="8">
        <f t="shared" si="1"/>
        <v>9.4229308690029767E-2</v>
      </c>
      <c r="D99" s="80">
        <f t="shared" si="2"/>
        <v>6.997680320907973E-3</v>
      </c>
      <c r="E99" s="70">
        <f>(2*Table!$AC$16*0.147)/A99</f>
        <v>5.0604823666206777E-2</v>
      </c>
      <c r="F99" s="70">
        <f t="shared" si="3"/>
        <v>0.10120964733241355</v>
      </c>
      <c r="G99" s="157">
        <f>IF((('Raw Data'!C99)/('Raw Data'!C$136)*100)&lt;0,0,('Raw Data'!C99)/('Raw Data'!C$136)*100)</f>
        <v>90.577069130997018</v>
      </c>
      <c r="H99" s="157">
        <f t="shared" si="4"/>
        <v>0.69976803209078753</v>
      </c>
      <c r="I99" s="146">
        <f t="shared" si="5"/>
        <v>3.7842718689470978E-2</v>
      </c>
      <c r="J99" s="70">
        <f>'Raw Data'!F99/I99</f>
        <v>0.18491484130221716</v>
      </c>
      <c r="K99" s="138">
        <f t="shared" si="6"/>
        <v>26.970990700215712</v>
      </c>
      <c r="L99" s="157">
        <f>A99*Table!$AC$9/$AC$16</f>
        <v>406.68059898295911</v>
      </c>
      <c r="M99" s="157">
        <f>A99*Table!$AD$9/$AC$16</f>
        <v>139.43334822272885</v>
      </c>
      <c r="N99" s="157">
        <f>ABS(A99*Table!$AE$9/$AC$16)</f>
        <v>176.09786497275729</v>
      </c>
      <c r="O99" s="157">
        <f>($L99*(Table!$AC$10/Table!$AC$9)/(Table!$AC$12-Table!$AC$14))</f>
        <v>872.3307571492046</v>
      </c>
      <c r="P99" s="157">
        <f>$N99*(Table!$AE$10/Table!$AE$9)/(Table!$AC$12-Table!$AC$13)</f>
        <v>1445.7952789224732</v>
      </c>
      <c r="Q99" s="157">
        <f>'Raw Data'!C99</f>
        <v>1.4425795369696901</v>
      </c>
      <c r="R99" s="157">
        <f>'Raw Data'!C99/'Raw Data'!I$23*100</f>
        <v>25.535779678372727</v>
      </c>
      <c r="S99" s="95">
        <f t="shared" si="7"/>
        <v>5.6381704712977716E-2</v>
      </c>
      <c r="T99" s="95">
        <f t="shared" si="8"/>
        <v>4.0711117141878361E-6</v>
      </c>
      <c r="U99" s="71">
        <f t="shared" si="9"/>
        <v>1.1830361156143753E-2</v>
      </c>
      <c r="V99" s="71">
        <f t="shared" si="10"/>
        <v>0.21999485221820841</v>
      </c>
      <c r="W99" s="71">
        <f t="shared" si="11"/>
        <v>1.8048123225374282E-5</v>
      </c>
      <c r="X99" s="42">
        <f t="shared" si="12"/>
        <v>17.627268514116839</v>
      </c>
      <c r="Z99" s="8"/>
      <c r="AS99" s="150"/>
      <c r="AT99" s="150"/>
    </row>
    <row r="100" spans="1:46" x14ac:dyDescent="0.2">
      <c r="A100" s="157">
        <f>'Raw Data'!A100</f>
        <v>2368.143310546875</v>
      </c>
      <c r="B100" s="8">
        <f>'Raw Data'!E100</f>
        <v>0.91277719607192653</v>
      </c>
      <c r="C100" s="8">
        <f t="shared" si="1"/>
        <v>8.7222803928073467E-2</v>
      </c>
      <c r="D100" s="80">
        <f t="shared" si="2"/>
        <v>7.0065047619563003E-3</v>
      </c>
      <c r="E100" s="70">
        <f>(2*Table!$AC$16*0.147)/A100</f>
        <v>4.6124859360437316E-2</v>
      </c>
      <c r="F100" s="70">
        <f t="shared" si="3"/>
        <v>9.2249718720874632E-2</v>
      </c>
      <c r="G100" s="157">
        <f>IF((('Raw Data'!C100)/('Raw Data'!C$136)*100)&lt;0,0,('Raw Data'!C100)/('Raw Data'!C$136)*100)</f>
        <v>91.277719607192651</v>
      </c>
      <c r="H100" s="157">
        <f t="shared" si="4"/>
        <v>0.70065047619563359</v>
      </c>
      <c r="I100" s="146">
        <f t="shared" si="5"/>
        <v>4.0256860927200711E-2</v>
      </c>
      <c r="J100" s="70">
        <f>'Raw Data'!F100/I100</f>
        <v>0.17404498514244943</v>
      </c>
      <c r="K100" s="138">
        <f t="shared" si="6"/>
        <v>29.590599243279264</v>
      </c>
      <c r="L100" s="157">
        <f>A100*Table!$AC$9/$AC$16</f>
        <v>446.18022223504238</v>
      </c>
      <c r="M100" s="157">
        <f>A100*Table!$AD$9/$AC$16</f>
        <v>152.97607619487167</v>
      </c>
      <c r="N100" s="157">
        <f>ABS(A100*Table!$AE$9/$AC$16)</f>
        <v>193.20170356086658</v>
      </c>
      <c r="O100" s="157">
        <f>($L100*(Table!$AC$10/Table!$AC$9)/(Table!$AC$12-Table!$AC$14))</f>
        <v>957.05753375169979</v>
      </c>
      <c r="P100" s="157">
        <f>$N100*(Table!$AE$10/Table!$AE$9)/(Table!$AC$12-Table!$AC$13)</f>
        <v>1586.2208830941422</v>
      </c>
      <c r="Q100" s="157">
        <f>'Raw Data'!C100</f>
        <v>1.4537384765249775</v>
      </c>
      <c r="R100" s="157">
        <f>'Raw Data'!C100/'Raw Data'!I$23*100</f>
        <v>25.733309322059945</v>
      </c>
      <c r="S100" s="95">
        <f t="shared" si="7"/>
        <v>5.6452804992874375E-2</v>
      </c>
      <c r="T100" s="95">
        <f t="shared" si="8"/>
        <v>3.2194269846685941E-6</v>
      </c>
      <c r="U100" s="71">
        <f t="shared" si="9"/>
        <v>1.0866449343438323E-2</v>
      </c>
      <c r="V100" s="71">
        <f t="shared" si="10"/>
        <v>0.19054481187584732</v>
      </c>
      <c r="W100" s="71">
        <f t="shared" si="11"/>
        <v>1.5012936534982776E-5</v>
      </c>
      <c r="X100" s="42">
        <f t="shared" si="12"/>
        <v>17.627283527053375</v>
      </c>
      <c r="Z100" s="8"/>
      <c r="AS100" s="150"/>
      <c r="AT100" s="150"/>
    </row>
    <row r="101" spans="1:46" x14ac:dyDescent="0.2">
      <c r="A101" s="157">
        <f>'Raw Data'!A101</f>
        <v>2588.39892578125</v>
      </c>
      <c r="B101" s="8">
        <f>'Raw Data'!E101</f>
        <v>0.91926224736918083</v>
      </c>
      <c r="C101" s="8">
        <f t="shared" si="1"/>
        <v>8.0737752630819171E-2</v>
      </c>
      <c r="D101" s="80">
        <f t="shared" si="2"/>
        <v>6.4850512972542962E-3</v>
      </c>
      <c r="E101" s="70">
        <f>(2*Table!$AC$16*0.147)/A101</f>
        <v>4.2199939142443563E-2</v>
      </c>
      <c r="F101" s="70">
        <f t="shared" si="3"/>
        <v>8.4399878284887125E-2</v>
      </c>
      <c r="G101" s="157">
        <f>IF((('Raw Data'!C101)/('Raw Data'!C$136)*100)&lt;0,0,('Raw Data'!C101)/('Raw Data'!C$136)*100)</f>
        <v>91.926224736918087</v>
      </c>
      <c r="H101" s="157">
        <f t="shared" si="4"/>
        <v>0.64850512972543584</v>
      </c>
      <c r="I101" s="146">
        <f t="shared" si="5"/>
        <v>3.8623230303926448E-2</v>
      </c>
      <c r="J101" s="70">
        <f>'Raw Data'!F101/I101</f>
        <v>0.16790546120102814</v>
      </c>
      <c r="K101" s="138">
        <f t="shared" si="6"/>
        <v>32.342753478394876</v>
      </c>
      <c r="L101" s="157">
        <f>A101*Table!$AC$9/$AC$16</f>
        <v>487.67842841036673</v>
      </c>
      <c r="M101" s="157">
        <f>A101*Table!$AD$9/$AC$16</f>
        <v>167.20403259784004</v>
      </c>
      <c r="N101" s="157">
        <f>ABS(A101*Table!$AE$9/$AC$16)</f>
        <v>211.17095394052419</v>
      </c>
      <c r="O101" s="157">
        <f>($L101*(Table!$AC$10/Table!$AC$9)/(Table!$AC$12-Table!$AC$14))</f>
        <v>1046.0712750115117</v>
      </c>
      <c r="P101" s="157">
        <f>$N101*(Table!$AE$10/Table!$AE$9)/(Table!$AC$12-Table!$AC$13)</f>
        <v>1733.7516743885396</v>
      </c>
      <c r="Q101" s="157">
        <f>'Raw Data'!C101</f>
        <v>1.4640669210058734</v>
      </c>
      <c r="R101" s="157">
        <f>'Raw Data'!C101/'Raw Data'!I$23*100</f>
        <v>25.916137981364578</v>
      </c>
      <c r="S101" s="95">
        <f t="shared" si="7"/>
        <v>5.2251350522234487E-2</v>
      </c>
      <c r="T101" s="95">
        <f t="shared" si="8"/>
        <v>2.5595782410237078E-6</v>
      </c>
      <c r="U101" s="71">
        <f t="shared" si="9"/>
        <v>1.0012420312507422E-2</v>
      </c>
      <c r="V101" s="71">
        <f t="shared" si="10"/>
        <v>0.16591454771040398</v>
      </c>
      <c r="W101" s="71">
        <f t="shared" si="11"/>
        <v>1.1631378335191832E-5</v>
      </c>
      <c r="X101" s="42">
        <f t="shared" si="12"/>
        <v>17.627295158431711</v>
      </c>
      <c r="Z101" s="8"/>
      <c r="AS101" s="150"/>
      <c r="AT101" s="150"/>
    </row>
    <row r="102" spans="1:46" x14ac:dyDescent="0.2">
      <c r="A102" s="157">
        <f>'Raw Data'!A102</f>
        <v>2829.3759765625</v>
      </c>
      <c r="B102" s="8">
        <f>'Raw Data'!E102</f>
        <v>0.92552952769022134</v>
      </c>
      <c r="C102" s="8">
        <f t="shared" si="1"/>
        <v>7.4470472309778657E-2</v>
      </c>
      <c r="D102" s="80">
        <f t="shared" si="2"/>
        <v>6.2672803210405137E-3</v>
      </c>
      <c r="E102" s="70">
        <f>(2*Table!$AC$16*0.147)/A102</f>
        <v>3.8605783766158371E-2</v>
      </c>
      <c r="F102" s="70">
        <f t="shared" si="3"/>
        <v>7.7211567532316741E-2</v>
      </c>
      <c r="G102" s="157">
        <f>IF((('Raw Data'!C102)/('Raw Data'!C$136)*100)&lt;0,0,('Raw Data'!C102)/('Raw Data'!C$136)*100)</f>
        <v>92.552952769022141</v>
      </c>
      <c r="H102" s="157">
        <f t="shared" si="4"/>
        <v>0.62672803210405448</v>
      </c>
      <c r="I102" s="146">
        <f t="shared" si="5"/>
        <v>3.8659450824185315E-2</v>
      </c>
      <c r="J102" s="70">
        <f>'Raw Data'!F102/I102</f>
        <v>0.16211508925832202</v>
      </c>
      <c r="K102" s="138">
        <f t="shared" si="6"/>
        <v>35.353827725775893</v>
      </c>
      <c r="L102" s="157">
        <f>A102*Table!$AC$9/$AC$16</f>
        <v>533.08074574153102</v>
      </c>
      <c r="M102" s="157">
        <f>A102*Table!$AD$9/$AC$16</f>
        <v>182.77054139709637</v>
      </c>
      <c r="N102" s="157">
        <f>ABS(A102*Table!$AE$9/$AC$16)</f>
        <v>230.83073404025959</v>
      </c>
      <c r="O102" s="157">
        <f>($L102*(Table!$AC$10/Table!$AC$9)/(Table!$AC$12-Table!$AC$14))</f>
        <v>1143.4593430749273</v>
      </c>
      <c r="P102" s="157">
        <f>$N102*(Table!$AE$10/Table!$AE$9)/(Table!$AC$12-Table!$AC$13)</f>
        <v>1895.1620200349716</v>
      </c>
      <c r="Q102" s="157">
        <f>'Raw Data'!C102</f>
        <v>1.4740485316169545</v>
      </c>
      <c r="R102" s="157">
        <f>'Raw Data'!C102/'Raw Data'!I$23*100</f>
        <v>26.092827171019451</v>
      </c>
      <c r="S102" s="95">
        <f t="shared" si="7"/>
        <v>5.0496726373535278E-2</v>
      </c>
      <c r="T102" s="95">
        <f t="shared" si="8"/>
        <v>2.0258856217036936E-6</v>
      </c>
      <c r="U102" s="71">
        <f t="shared" si="9"/>
        <v>9.2221137760279091E-3</v>
      </c>
      <c r="V102" s="71">
        <f t="shared" si="10"/>
        <v>0.14437806949966744</v>
      </c>
      <c r="W102" s="71">
        <f t="shared" si="11"/>
        <v>9.4075814057219183E-6</v>
      </c>
      <c r="X102" s="42">
        <f t="shared" si="12"/>
        <v>17.627304566013116</v>
      </c>
      <c r="Z102" s="8"/>
      <c r="AS102" s="150"/>
      <c r="AT102" s="150"/>
    </row>
    <row r="103" spans="1:46" x14ac:dyDescent="0.2">
      <c r="A103" s="157">
        <f>'Raw Data'!A103</f>
        <v>3098.702392578125</v>
      </c>
      <c r="B103" s="8">
        <f>'Raw Data'!E103</f>
        <v>0.93206600417841212</v>
      </c>
      <c r="C103" s="8">
        <f t="shared" si="1"/>
        <v>6.7933995821587878E-2</v>
      </c>
      <c r="D103" s="80">
        <f t="shared" si="2"/>
        <v>6.5364764881907789E-3</v>
      </c>
      <c r="E103" s="70">
        <f>(2*Table!$AC$16*0.147)/A103</f>
        <v>3.5250328461990603E-2</v>
      </c>
      <c r="F103" s="70">
        <f t="shared" si="3"/>
        <v>7.0500656923981206E-2</v>
      </c>
      <c r="G103" s="157">
        <f>IF((('Raw Data'!C103)/('Raw Data'!C$136)*100)&lt;0,0,('Raw Data'!C103)/('Raw Data'!C$136)*100)</f>
        <v>93.206600417841216</v>
      </c>
      <c r="H103" s="157">
        <f t="shared" si="4"/>
        <v>0.65364764881907433</v>
      </c>
      <c r="I103" s="146">
        <f t="shared" si="5"/>
        <v>3.9489205736096267E-2</v>
      </c>
      <c r="J103" s="70">
        <f>'Raw Data'!F103/I103</f>
        <v>0.16552565103166714</v>
      </c>
      <c r="K103" s="138">
        <f t="shared" si="6"/>
        <v>38.719135055975727</v>
      </c>
      <c r="L103" s="157">
        <f>A103*Table!$AC$9/$AC$16</f>
        <v>583.8243471175258</v>
      </c>
      <c r="M103" s="157">
        <f>A103*Table!$AD$9/$AC$16</f>
        <v>200.1683475831517</v>
      </c>
      <c r="N103" s="157">
        <f>ABS(A103*Table!$AE$9/$AC$16)</f>
        <v>252.8033579758208</v>
      </c>
      <c r="O103" s="157">
        <f>($L103*(Table!$AC$10/Table!$AC$9)/(Table!$AC$12-Table!$AC$14))</f>
        <v>1252.3044768715699</v>
      </c>
      <c r="P103" s="157">
        <f>$N103*(Table!$AE$10/Table!$AE$9)/(Table!$AC$12-Table!$AC$13)</f>
        <v>2075.5612313285774</v>
      </c>
      <c r="Q103" s="157">
        <f>'Raw Data'!C103</f>
        <v>1.4844588786465214</v>
      </c>
      <c r="R103" s="157">
        <f>'Raw Data'!C103/'Raw Data'!I$23*100</f>
        <v>26.27710562590509</v>
      </c>
      <c r="S103" s="95">
        <f t="shared" si="7"/>
        <v>5.2665693532664128E-2</v>
      </c>
      <c r="T103" s="95">
        <f t="shared" si="8"/>
        <v>1.5618221672619725E-6</v>
      </c>
      <c r="U103" s="71">
        <f t="shared" si="9"/>
        <v>8.4800352847188079E-3</v>
      </c>
      <c r="V103" s="71">
        <f t="shared" si="10"/>
        <v>0.1252833442205229</v>
      </c>
      <c r="W103" s="71">
        <f t="shared" si="11"/>
        <v>8.180204422837449E-6</v>
      </c>
      <c r="X103" s="42">
        <f t="shared" si="12"/>
        <v>17.627312746217537</v>
      </c>
      <c r="Z103" s="8"/>
      <c r="AS103" s="150"/>
      <c r="AT103" s="150"/>
    </row>
    <row r="104" spans="1:46" x14ac:dyDescent="0.2">
      <c r="A104" s="157">
        <f>'Raw Data'!A104</f>
        <v>3388.3359375</v>
      </c>
      <c r="B104" s="8">
        <f>'Raw Data'!E104</f>
        <v>0.93752113163194262</v>
      </c>
      <c r="C104" s="8">
        <f t="shared" si="1"/>
        <v>6.2478868368057383E-2</v>
      </c>
      <c r="D104" s="80">
        <f t="shared" si="2"/>
        <v>5.455127453530495E-3</v>
      </c>
      <c r="E104" s="70">
        <f>(2*Table!$AC$16*0.147)/A104</f>
        <v>3.2237145064467225E-2</v>
      </c>
      <c r="F104" s="70">
        <f t="shared" si="3"/>
        <v>6.447429012893445E-2</v>
      </c>
      <c r="G104" s="157">
        <f>IF((('Raw Data'!C104)/('Raw Data'!C$136)*100)&lt;0,0,('Raw Data'!C104)/('Raw Data'!C$136)*100)</f>
        <v>93.752113163194267</v>
      </c>
      <c r="H104" s="157">
        <f t="shared" si="4"/>
        <v>0.54551274535305083</v>
      </c>
      <c r="I104" s="146">
        <f t="shared" si="5"/>
        <v>3.880659456666713E-2</v>
      </c>
      <c r="J104" s="70">
        <f>'Raw Data'!F104/I104</f>
        <v>0.14057217631294475</v>
      </c>
      <c r="K104" s="138">
        <f t="shared" si="6"/>
        <v>42.338185523497614</v>
      </c>
      <c r="L104" s="157">
        <f>A104*Table!$AC$9/$AC$16</f>
        <v>638.3940004254257</v>
      </c>
      <c r="M104" s="157">
        <f>A104*Table!$AD$9/$AC$16</f>
        <v>218.87794300300308</v>
      </c>
      <c r="N104" s="157">
        <f>ABS(A104*Table!$AE$9/$AC$16)</f>
        <v>276.43271099599622</v>
      </c>
      <c r="O104" s="157">
        <f>($L104*(Table!$AC$10/Table!$AC$9)/(Table!$AC$12-Table!$AC$14))</f>
        <v>1369.3565002690386</v>
      </c>
      <c r="P104" s="157">
        <f>$N104*(Table!$AE$10/Table!$AE$9)/(Table!$AC$12-Table!$AC$13)</f>
        <v>2269.5624876518568</v>
      </c>
      <c r="Q104" s="157">
        <f>'Raw Data'!C104</f>
        <v>1.493147010545163</v>
      </c>
      <c r="R104" s="157">
        <f>'Raw Data'!C104/'Raw Data'!I$23*100</f>
        <v>26.430898339786502</v>
      </c>
      <c r="S104" s="95">
        <f t="shared" si="7"/>
        <v>4.3953048889307685E-2</v>
      </c>
      <c r="T104" s="95">
        <f t="shared" si="8"/>
        <v>1.2379114049387852E-6</v>
      </c>
      <c r="U104" s="71">
        <f t="shared" si="9"/>
        <v>7.8005542624229544E-3</v>
      </c>
      <c r="V104" s="71">
        <f t="shared" si="10"/>
        <v>0.10878200328692919</v>
      </c>
      <c r="W104" s="71">
        <f t="shared" si="11"/>
        <v>5.7096852244759897E-6</v>
      </c>
      <c r="X104" s="42">
        <f t="shared" si="12"/>
        <v>17.627318455902763</v>
      </c>
      <c r="Z104" s="8"/>
      <c r="AS104" s="150"/>
      <c r="AT104" s="150"/>
    </row>
    <row r="105" spans="1:46" x14ac:dyDescent="0.2">
      <c r="A105" s="157">
        <f>'Raw Data'!A105</f>
        <v>3707.82666015625</v>
      </c>
      <c r="B105" s="8">
        <f>'Raw Data'!E105</f>
        <v>0.94286498998397972</v>
      </c>
      <c r="C105" s="8">
        <f t="shared" si="1"/>
        <v>5.7135010016020282E-2</v>
      </c>
      <c r="D105" s="80">
        <f t="shared" si="2"/>
        <v>5.3438583520371008E-3</v>
      </c>
      <c r="E105" s="70">
        <f>(2*Table!$AC$16*0.147)/A105</f>
        <v>2.9459380698161338E-2</v>
      </c>
      <c r="F105" s="70">
        <f t="shared" si="3"/>
        <v>5.8918761396322676E-2</v>
      </c>
      <c r="G105" s="157">
        <f>IF((('Raw Data'!C105)/('Raw Data'!C$136)*100)&lt;0,0,('Raw Data'!C105)/('Raw Data'!C$136)*100)</f>
        <v>94.286498998397974</v>
      </c>
      <c r="H105" s="157">
        <f t="shared" si="4"/>
        <v>0.53438583520370742</v>
      </c>
      <c r="I105" s="146">
        <f t="shared" si="5"/>
        <v>3.9132960763914149E-2</v>
      </c>
      <c r="J105" s="70">
        <f>'Raw Data'!F105/I105</f>
        <v>0.13655645388745685</v>
      </c>
      <c r="K105" s="138">
        <f t="shared" si="6"/>
        <v>46.330309603979714</v>
      </c>
      <c r="L105" s="157">
        <f>A105*Table!$AC$9/$AC$16</f>
        <v>698.58902367504515</v>
      </c>
      <c r="M105" s="157">
        <f>A105*Table!$AD$9/$AC$16</f>
        <v>239.5162366885869</v>
      </c>
      <c r="N105" s="157">
        <f>ABS(A105*Table!$AE$9/$AC$16)</f>
        <v>302.49792065377886</v>
      </c>
      <c r="O105" s="157">
        <f>($L105*(Table!$AC$10/Table!$AC$9)/(Table!$AC$12-Table!$AC$14))</f>
        <v>1498.4749542579264</v>
      </c>
      <c r="P105" s="157">
        <f>$N105*(Table!$AE$10/Table!$AE$9)/(Table!$AC$12-Table!$AC$13)</f>
        <v>2483.5625669439964</v>
      </c>
      <c r="Q105" s="157">
        <f>'Raw Data'!C105</f>
        <v>1.5016579292369172</v>
      </c>
      <c r="R105" s="157">
        <f>'Raw Data'!C105/'Raw Data'!I$23*100</f>
        <v>26.581554119245087</v>
      </c>
      <c r="S105" s="95">
        <f t="shared" si="7"/>
        <v>4.3056531566940941E-2</v>
      </c>
      <c r="T105" s="95">
        <f t="shared" si="8"/>
        <v>9.729336034602909E-7</v>
      </c>
      <c r="U105" s="71">
        <f t="shared" si="9"/>
        <v>7.1690390505269536E-3</v>
      </c>
      <c r="V105" s="71">
        <f t="shared" si="10"/>
        <v>9.4309915436771904E-2</v>
      </c>
      <c r="W105" s="71">
        <f t="shared" si="11"/>
        <v>4.6708538734293639E-6</v>
      </c>
      <c r="X105" s="42">
        <f t="shared" si="12"/>
        <v>17.627323126756636</v>
      </c>
      <c r="Z105" s="8"/>
      <c r="AS105" s="150"/>
      <c r="AT105" s="150"/>
    </row>
    <row r="106" spans="1:46" x14ac:dyDescent="0.2">
      <c r="A106" s="157">
        <f>'Raw Data'!A106</f>
        <v>4059.25634765625</v>
      </c>
      <c r="B106" s="8">
        <f>'Raw Data'!E106</f>
        <v>0.94792027897070319</v>
      </c>
      <c r="C106" s="8">
        <f t="shared" si="1"/>
        <v>5.207972102929681E-2</v>
      </c>
      <c r="D106" s="80">
        <f t="shared" si="2"/>
        <v>5.0552889867234718E-3</v>
      </c>
      <c r="E106" s="70">
        <f>(2*Table!$AC$16*0.147)/A106</f>
        <v>2.6908937940665626E-2</v>
      </c>
      <c r="F106" s="70">
        <f t="shared" si="3"/>
        <v>5.3817875881331252E-2</v>
      </c>
      <c r="G106" s="157">
        <f>IF((('Raw Data'!C106)/('Raw Data'!C$136)*100)&lt;0,0,('Raw Data'!C106)/('Raw Data'!C$136)*100)</f>
        <v>94.792027897070312</v>
      </c>
      <c r="H106" s="157">
        <f t="shared" si="4"/>
        <v>0.5055288986723383</v>
      </c>
      <c r="I106" s="146">
        <f t="shared" si="5"/>
        <v>3.9327055677619294E-2</v>
      </c>
      <c r="J106" s="70">
        <f>'Raw Data'!F106/I106</f>
        <v>0.12854481220673725</v>
      </c>
      <c r="K106" s="138">
        <f t="shared" si="6"/>
        <v>50.721519797505522</v>
      </c>
      <c r="L106" s="157">
        <f>A106*Table!$AC$9/$AC$16</f>
        <v>764.80164491735138</v>
      </c>
      <c r="M106" s="157">
        <f>A106*Table!$AD$9/$AC$16</f>
        <v>262.21770682880617</v>
      </c>
      <c r="N106" s="157">
        <f>ABS(A106*Table!$AE$9/$AC$16)</f>
        <v>331.16882667727612</v>
      </c>
      <c r="O106" s="157">
        <f>($L106*(Table!$AC$10/Table!$AC$9)/(Table!$AC$12-Table!$AC$14))</f>
        <v>1640.5011688488878</v>
      </c>
      <c r="P106" s="157">
        <f>$N106*(Table!$AE$10/Table!$AE$9)/(Table!$AC$12-Table!$AC$13)</f>
        <v>2718.9558840498853</v>
      </c>
      <c r="Q106" s="157">
        <f>'Raw Data'!C106</f>
        <v>1.5097092567038819</v>
      </c>
      <c r="R106" s="157">
        <f>'Raw Data'!C106/'Raw Data'!I$23*100</f>
        <v>26.724074458017345</v>
      </c>
      <c r="S106" s="95">
        <f t="shared" si="7"/>
        <v>4.0731470689879708E-2</v>
      </c>
      <c r="T106" s="95">
        <f t="shared" si="8"/>
        <v>7.6378911206820277E-7</v>
      </c>
      <c r="U106" s="71">
        <f t="shared" si="9"/>
        <v>6.5834902182138359E-3</v>
      </c>
      <c r="V106" s="71">
        <f t="shared" si="10"/>
        <v>8.1654913070470764E-2</v>
      </c>
      <c r="W106" s="71">
        <f t="shared" si="11"/>
        <v>3.6866611180002338E-6</v>
      </c>
      <c r="X106" s="42">
        <f t="shared" si="12"/>
        <v>17.627326813417753</v>
      </c>
      <c r="Z106" s="8"/>
      <c r="AS106" s="150"/>
      <c r="AT106" s="150"/>
    </row>
    <row r="107" spans="1:46" x14ac:dyDescent="0.2">
      <c r="A107" s="157">
        <f>'Raw Data'!A107</f>
        <v>4436.71923828125</v>
      </c>
      <c r="B107" s="8">
        <f>'Raw Data'!E107</f>
        <v>0.95296796068066103</v>
      </c>
      <c r="C107" s="8">
        <f t="shared" si="1"/>
        <v>4.703203931933897E-2</v>
      </c>
      <c r="D107" s="80">
        <f t="shared" si="2"/>
        <v>5.0476817099578408E-3</v>
      </c>
      <c r="E107" s="70">
        <f>(2*Table!$AC$16*0.147)/A107</f>
        <v>2.4619605451223006E-2</v>
      </c>
      <c r="F107" s="70">
        <f t="shared" si="3"/>
        <v>4.9239210902446012E-2</v>
      </c>
      <c r="G107" s="157">
        <f>IF((('Raw Data'!C107)/('Raw Data'!C$136)*100)&lt;0,0,('Raw Data'!C107)/('Raw Data'!C$136)*100)</f>
        <v>95.296796068066101</v>
      </c>
      <c r="H107" s="157">
        <f t="shared" si="4"/>
        <v>0.50476817099578852</v>
      </c>
      <c r="I107" s="146">
        <f t="shared" si="5"/>
        <v>3.8615468350778448E-2</v>
      </c>
      <c r="J107" s="70">
        <f>'Raw Data'!F107/I107</f>
        <v>0.1307165735788903</v>
      </c>
      <c r="K107" s="138">
        <f t="shared" si="6"/>
        <v>55.438021993951892</v>
      </c>
      <c r="L107" s="157">
        <f>A107*Table!$AC$9/$AC$16</f>
        <v>835.91916372395247</v>
      </c>
      <c r="M107" s="157">
        <f>A107*Table!$AD$9/$AC$16</f>
        <v>286.60085613392658</v>
      </c>
      <c r="N107" s="157">
        <f>ABS(A107*Table!$AE$9/$AC$16)</f>
        <v>361.96361564759314</v>
      </c>
      <c r="O107" s="157">
        <f>($L107*(Table!$AC$10/Table!$AC$9)/(Table!$AC$12-Table!$AC$14))</f>
        <v>1793.0483992362776</v>
      </c>
      <c r="P107" s="157">
        <f>$N107*(Table!$AE$10/Table!$AE$9)/(Table!$AC$12-Table!$AC$13)</f>
        <v>2971.7866637733423</v>
      </c>
      <c r="Q107" s="157">
        <f>'Raw Data'!C107</f>
        <v>1.5177484684092091</v>
      </c>
      <c r="R107" s="157">
        <f>'Raw Data'!C107/'Raw Data'!I$23*100</f>
        <v>26.866380329987678</v>
      </c>
      <c r="S107" s="95">
        <f t="shared" si="7"/>
        <v>4.0670177345142569E-2</v>
      </c>
      <c r="T107" s="95">
        <f t="shared" si="8"/>
        <v>5.8898104582372213E-7</v>
      </c>
      <c r="U107" s="71">
        <f t="shared" si="9"/>
        <v>6.0554610032965486E-3</v>
      </c>
      <c r="V107" s="71">
        <f t="shared" si="10"/>
        <v>7.0889812977238328E-2</v>
      </c>
      <c r="W107" s="71">
        <f t="shared" si="11"/>
        <v>3.0814012659874707E-6</v>
      </c>
      <c r="X107" s="42">
        <f t="shared" si="12"/>
        <v>17.62732989481902</v>
      </c>
      <c r="Z107" s="8"/>
      <c r="AS107" s="150"/>
      <c r="AT107" s="150"/>
    </row>
    <row r="108" spans="1:46" x14ac:dyDescent="0.2">
      <c r="A108" s="157">
        <f>'Raw Data'!A108</f>
        <v>4846.1875</v>
      </c>
      <c r="B108" s="8">
        <f>'Raw Data'!E108</f>
        <v>0.95751254782051143</v>
      </c>
      <c r="C108" s="8">
        <f t="shared" si="1"/>
        <v>4.2487452179488572E-2</v>
      </c>
      <c r="D108" s="80">
        <f t="shared" si="2"/>
        <v>4.5445871398503979E-3</v>
      </c>
      <c r="E108" s="70">
        <f>(2*Table!$AC$16*0.147)/A108</f>
        <v>2.2539424474256321E-2</v>
      </c>
      <c r="F108" s="70">
        <f t="shared" si="3"/>
        <v>4.5078848948512641E-2</v>
      </c>
      <c r="G108" s="157">
        <f>IF((('Raw Data'!C108)/('Raw Data'!C$136)*100)&lt;0,0,('Raw Data'!C108)/('Raw Data'!C$136)*100)</f>
        <v>95.751254782051149</v>
      </c>
      <c r="H108" s="157">
        <f t="shared" si="4"/>
        <v>0.45445871398504778</v>
      </c>
      <c r="I108" s="146">
        <f t="shared" si="5"/>
        <v>3.8338266238487018E-2</v>
      </c>
      <c r="J108" s="70">
        <f>'Raw Data'!F108/I108</f>
        <v>0.11853919297185583</v>
      </c>
      <c r="K108" s="138">
        <f t="shared" si="6"/>
        <v>60.554440067722801</v>
      </c>
      <c r="L108" s="157">
        <f>A108*Table!$AC$9/$AC$16</f>
        <v>913.06679207828472</v>
      </c>
      <c r="M108" s="157">
        <f>A108*Table!$AD$9/$AC$16</f>
        <v>313.05147156969764</v>
      </c>
      <c r="N108" s="157">
        <f>ABS(A108*Table!$AE$9/$AC$16)</f>
        <v>395.3695186458794</v>
      </c>
      <c r="O108" s="157">
        <f>($L108*(Table!$AC$10/Table!$AC$9)/(Table!$AC$12-Table!$AC$14))</f>
        <v>1958.5302275381487</v>
      </c>
      <c r="P108" s="157">
        <f>$N108*(Table!$AE$10/Table!$AE$9)/(Table!$AC$12-Table!$AC$13)</f>
        <v>3246.0551612962176</v>
      </c>
      <c r="Q108" s="157">
        <f>'Raw Data'!C108</f>
        <v>1.5249864244115636</v>
      </c>
      <c r="R108" s="157">
        <f>'Raw Data'!C108/'Raw Data'!I$23*100</f>
        <v>26.994502797457393</v>
      </c>
      <c r="S108" s="95">
        <f t="shared" si="7"/>
        <v>3.6616644146469694E-2</v>
      </c>
      <c r="T108" s="95">
        <f t="shared" si="8"/>
        <v>4.5706810292145406E-7</v>
      </c>
      <c r="U108" s="71">
        <f t="shared" si="9"/>
        <v>5.5702555457165853E-3</v>
      </c>
      <c r="V108" s="71">
        <f t="shared" si="10"/>
        <v>6.155278718301601E-2</v>
      </c>
      <c r="W108" s="71">
        <f t="shared" si="11"/>
        <v>2.3252743311883096E-6</v>
      </c>
      <c r="X108" s="42">
        <f t="shared" si="12"/>
        <v>17.627332220093351</v>
      </c>
      <c r="Z108" s="8"/>
      <c r="AS108" s="150"/>
      <c r="AT108" s="150"/>
    </row>
    <row r="109" spans="1:46" x14ac:dyDescent="0.2">
      <c r="A109" s="157">
        <f>'Raw Data'!A109</f>
        <v>5307.1259765625</v>
      </c>
      <c r="B109" s="8">
        <f>'Raw Data'!E109</f>
        <v>0.9616865084363353</v>
      </c>
      <c r="C109" s="8">
        <f t="shared" si="1"/>
        <v>3.8313491563664703E-2</v>
      </c>
      <c r="D109" s="80">
        <f t="shared" si="2"/>
        <v>4.1739606158238685E-3</v>
      </c>
      <c r="E109" s="70">
        <f>(2*Table!$AC$16*0.147)/A109</f>
        <v>2.0581813513890813E-2</v>
      </c>
      <c r="F109" s="70">
        <f t="shared" si="3"/>
        <v>4.1163627027781625E-2</v>
      </c>
      <c r="G109" s="157">
        <f>IF((('Raw Data'!C109)/('Raw Data'!C$136)*100)&lt;0,0,('Raw Data'!C109)/('Raw Data'!C$136)*100)</f>
        <v>96.168650843633529</v>
      </c>
      <c r="H109" s="157">
        <f t="shared" si="4"/>
        <v>0.41739606158238018</v>
      </c>
      <c r="I109" s="146">
        <f t="shared" si="5"/>
        <v>3.9459183637144069E-2</v>
      </c>
      <c r="J109" s="70">
        <f>'Raw Data'!F109/I109</f>
        <v>0.10577919336108106</v>
      </c>
      <c r="K109" s="138">
        <f t="shared" si="6"/>
        <v>66.313992572431161</v>
      </c>
      <c r="L109" s="157">
        <f>A109*Table!$AC$9/$AC$16</f>
        <v>999.91188755599251</v>
      </c>
      <c r="M109" s="157">
        <f>A109*Table!$AD$9/$AC$16</f>
        <v>342.82693287634027</v>
      </c>
      <c r="N109" s="157">
        <f>ABS(A109*Table!$AE$9/$AC$16)</f>
        <v>432.97454808476937</v>
      </c>
      <c r="O109" s="157">
        <f>($L109*(Table!$AC$10/Table!$AC$9)/(Table!$AC$12-Table!$AC$14))</f>
        <v>2144.8131436207477</v>
      </c>
      <c r="P109" s="157">
        <f>$N109*(Table!$AE$10/Table!$AE$9)/(Table!$AC$12-Table!$AC$13)</f>
        <v>3554.7992453593538</v>
      </c>
      <c r="Q109" s="157">
        <f>'Raw Data'!C109</f>
        <v>1.5316341005069301</v>
      </c>
      <c r="R109" s="157">
        <f>'Raw Data'!C109/'Raw Data'!I$23*100</f>
        <v>27.112176442337351</v>
      </c>
      <c r="S109" s="95">
        <f t="shared" si="7"/>
        <v>3.3630432390836122E-2</v>
      </c>
      <c r="T109" s="95">
        <f t="shared" si="8"/>
        <v>3.5604447667925143E-7</v>
      </c>
      <c r="U109" s="71">
        <f t="shared" si="9"/>
        <v>5.1086363056145672E-3</v>
      </c>
      <c r="V109" s="71">
        <f t="shared" si="10"/>
        <v>5.3176117585605566E-2</v>
      </c>
      <c r="W109" s="71">
        <f t="shared" si="11"/>
        <v>1.7807778367065102E-6</v>
      </c>
      <c r="X109" s="42">
        <f t="shared" si="12"/>
        <v>17.627334000871187</v>
      </c>
      <c r="Z109" s="8"/>
      <c r="AS109" s="150"/>
      <c r="AT109" s="150"/>
    </row>
    <row r="110" spans="1:46" x14ac:dyDescent="0.2">
      <c r="A110" s="157">
        <f>'Raw Data'!A110</f>
        <v>5806.57470703125</v>
      </c>
      <c r="B110" s="8">
        <f>'Raw Data'!E110</f>
        <v>0.96605602678021696</v>
      </c>
      <c r="C110" s="8">
        <f t="shared" si="1"/>
        <v>3.3943973219783041E-2</v>
      </c>
      <c r="D110" s="80">
        <f t="shared" si="2"/>
        <v>4.369518343881662E-3</v>
      </c>
      <c r="E110" s="70">
        <f>(2*Table!$AC$16*0.147)/A110</f>
        <v>1.8811482268895431E-2</v>
      </c>
      <c r="F110" s="70">
        <f t="shared" si="3"/>
        <v>3.7622964537790862E-2</v>
      </c>
      <c r="G110" s="157">
        <f>IF((('Raw Data'!C110)/('Raw Data'!C$136)*100)&lt;0,0,('Raw Data'!C110)/('Raw Data'!C$136)*100)</f>
        <v>96.605602678021697</v>
      </c>
      <c r="H110" s="157">
        <f t="shared" si="4"/>
        <v>0.43695183438816798</v>
      </c>
      <c r="I110" s="146">
        <f t="shared" si="5"/>
        <v>3.9060621309220833E-2</v>
      </c>
      <c r="J110" s="70">
        <f>'Raw Data'!F110/I110</f>
        <v>0.1118650496952073</v>
      </c>
      <c r="K110" s="138">
        <f t="shared" si="6"/>
        <v>72.554741246738587</v>
      </c>
      <c r="L110" s="157">
        <f>A110*Table!$AC$9/$AC$16</f>
        <v>1094.0126729954072</v>
      </c>
      <c r="M110" s="157">
        <f>A110*Table!$AD$9/$AC$16</f>
        <v>375.09005931271105</v>
      </c>
      <c r="N110" s="157">
        <f>ABS(A110*Table!$AE$9/$AC$16)</f>
        <v>473.72138343807029</v>
      </c>
      <c r="O110" s="157">
        <f>($L110*(Table!$AC$10/Table!$AC$9)/(Table!$AC$12-Table!$AC$14))</f>
        <v>2346.6595302346791</v>
      </c>
      <c r="P110" s="157">
        <f>$N110*(Table!$AE$10/Table!$AE$9)/(Table!$AC$12-Table!$AC$13)</f>
        <v>3889.3381234652725</v>
      </c>
      <c r="Q110" s="157">
        <f>'Raw Data'!C110</f>
        <v>1.5385932324481293</v>
      </c>
      <c r="R110" s="157">
        <f>'Raw Data'!C110/'Raw Data'!I$23*100</f>
        <v>27.235363313805443</v>
      </c>
      <c r="S110" s="95">
        <f t="shared" si="7"/>
        <v>3.5206079972900095E-2</v>
      </c>
      <c r="T110" s="95">
        <f t="shared" si="8"/>
        <v>2.6769846861451896E-7</v>
      </c>
      <c r="U110" s="71">
        <f t="shared" si="9"/>
        <v>4.6904353578411419E-3</v>
      </c>
      <c r="V110" s="71">
        <f t="shared" si="10"/>
        <v>4.6025057614976238E-2</v>
      </c>
      <c r="W110" s="71">
        <f t="shared" si="11"/>
        <v>1.557305148091835E-6</v>
      </c>
      <c r="X110" s="42">
        <f t="shared" si="12"/>
        <v>17.627335558176334</v>
      </c>
      <c r="Z110" s="8"/>
      <c r="AS110" s="150"/>
      <c r="AT110" s="150"/>
    </row>
    <row r="111" spans="1:46" x14ac:dyDescent="0.2">
      <c r="A111" s="157">
        <f>'Raw Data'!A111</f>
        <v>6356.74658203125</v>
      </c>
      <c r="B111" s="8">
        <f>'Raw Data'!E111</f>
        <v>0.96999801616986436</v>
      </c>
      <c r="C111" s="8">
        <f t="shared" si="1"/>
        <v>3.0001983830135637E-2</v>
      </c>
      <c r="D111" s="80">
        <f t="shared" si="2"/>
        <v>3.9419893896474045E-3</v>
      </c>
      <c r="E111" s="70">
        <f>(2*Table!$AC$16*0.147)/A111</f>
        <v>1.7183361918673711E-2</v>
      </c>
      <c r="F111" s="70">
        <f t="shared" si="3"/>
        <v>3.4366723837347422E-2</v>
      </c>
      <c r="G111" s="157">
        <f>IF((('Raw Data'!C111)/('Raw Data'!C$136)*100)&lt;0,0,('Raw Data'!C111)/('Raw Data'!C$136)*100)</f>
        <v>96.999801616986431</v>
      </c>
      <c r="H111" s="157">
        <f t="shared" si="4"/>
        <v>0.39419893896473468</v>
      </c>
      <c r="I111" s="146">
        <f t="shared" si="5"/>
        <v>3.9314880181385847E-2</v>
      </c>
      <c r="J111" s="70">
        <f>'Raw Data'!F111/I111</f>
        <v>0.10026710933520259</v>
      </c>
      <c r="K111" s="138">
        <f t="shared" si="6"/>
        <v>79.429289503824009</v>
      </c>
      <c r="L111" s="157">
        <f>A111*Table!$AC$9/$AC$16</f>
        <v>1197.6701705639484</v>
      </c>
      <c r="M111" s="157">
        <f>A111*Table!$AD$9/$AC$16</f>
        <v>410.62977276478233</v>
      </c>
      <c r="N111" s="157">
        <f>ABS(A111*Table!$AE$9/$AC$16)</f>
        <v>518.60639653161047</v>
      </c>
      <c r="O111" s="157">
        <f>($L111*(Table!$AC$10/Table!$AC$9)/(Table!$AC$12-Table!$AC$14))</f>
        <v>2569.0050848647547</v>
      </c>
      <c r="P111" s="157">
        <f>$N111*(Table!$AE$10/Table!$AE$9)/(Table!$AC$12-Table!$AC$13)</f>
        <v>4257.8521882726627</v>
      </c>
      <c r="Q111" s="157">
        <f>'Raw Data'!C111</f>
        <v>1.5448714585852907</v>
      </c>
      <c r="R111" s="157">
        <f>'Raw Data'!C111/'Raw Data'!I$23*100</f>
        <v>27.346497151005387</v>
      </c>
      <c r="S111" s="95">
        <f t="shared" si="7"/>
        <v>3.1761393998626208E-2</v>
      </c>
      <c r="T111" s="95">
        <f t="shared" si="8"/>
        <v>2.0119580279587268E-7</v>
      </c>
      <c r="U111" s="71">
        <f t="shared" si="9"/>
        <v>4.3019643457718306E-3</v>
      </c>
      <c r="V111" s="71">
        <f t="shared" si="10"/>
        <v>3.976522698291781E-2</v>
      </c>
      <c r="W111" s="71">
        <f t="shared" si="11"/>
        <v>1.1722651198932051E-6</v>
      </c>
      <c r="X111" s="42">
        <f t="shared" si="12"/>
        <v>17.627336730441453</v>
      </c>
      <c r="Z111" s="8"/>
      <c r="AS111" s="150"/>
      <c r="AT111" s="150"/>
    </row>
    <row r="112" spans="1:46" x14ac:dyDescent="0.2">
      <c r="A112" s="157">
        <f>'Raw Data'!A112</f>
        <v>6946.33251953125</v>
      </c>
      <c r="B112" s="8">
        <f>'Raw Data'!E112</f>
        <v>0.97406172198776342</v>
      </c>
      <c r="C112" s="8">
        <f t="shared" si="1"/>
        <v>2.5938278012236582E-2</v>
      </c>
      <c r="D112" s="80">
        <f t="shared" si="2"/>
        <v>4.0637058178990548E-3</v>
      </c>
      <c r="E112" s="70">
        <f>(2*Table!$AC$16*0.147)/A112</f>
        <v>1.5724884582937599E-2</v>
      </c>
      <c r="F112" s="70">
        <f t="shared" si="3"/>
        <v>3.1449769165875198E-2</v>
      </c>
      <c r="G112" s="157">
        <f>IF((('Raw Data'!C112)/('Raw Data'!C$136)*100)&lt;0,0,('Raw Data'!C112)/('Raw Data'!C$136)*100)</f>
        <v>97.406172198776346</v>
      </c>
      <c r="H112" s="157">
        <f t="shared" si="4"/>
        <v>0.40637058178991481</v>
      </c>
      <c r="I112" s="146">
        <f t="shared" si="5"/>
        <v>3.8520670863344986E-2</v>
      </c>
      <c r="J112" s="70">
        <f>'Raw Data'!F112/I112</f>
        <v>0.10549416006578288</v>
      </c>
      <c r="K112" s="138">
        <f t="shared" si="6"/>
        <v>86.796327266419027</v>
      </c>
      <c r="L112" s="157">
        <f>A112*Table!$AC$9/$AC$16</f>
        <v>1308.7536440382194</v>
      </c>
      <c r="M112" s="157">
        <f>A112*Table!$AD$9/$AC$16</f>
        <v>448.71553509881807</v>
      </c>
      <c r="N112" s="157">
        <f>ABS(A112*Table!$AE$9/$AC$16)</f>
        <v>566.70695151627729</v>
      </c>
      <c r="O112" s="157">
        <f>($L112*(Table!$AC$10/Table!$AC$9)/(Table!$AC$12-Table!$AC$14))</f>
        <v>2807.2793737413549</v>
      </c>
      <c r="P112" s="157">
        <f>$N112*(Table!$AE$10/Table!$AE$9)/(Table!$AC$12-Table!$AC$13)</f>
        <v>4652.7664328101573</v>
      </c>
      <c r="Q112" s="157">
        <f>'Raw Data'!C112</f>
        <v>1.551343536908655</v>
      </c>
      <c r="R112" s="157">
        <f>'Raw Data'!C112/'Raw Data'!I$23*100</f>
        <v>27.461062457036117</v>
      </c>
      <c r="S112" s="95">
        <f t="shared" si="7"/>
        <v>3.2742087514432951E-2</v>
      </c>
      <c r="T112" s="95">
        <f t="shared" si="8"/>
        <v>1.4378355872590731E-7</v>
      </c>
      <c r="U112" s="71">
        <f t="shared" si="9"/>
        <v>3.9533181545546329E-3</v>
      </c>
      <c r="V112" s="71">
        <f t="shared" si="10"/>
        <v>3.446952060784262E-2</v>
      </c>
      <c r="W112" s="71">
        <f t="shared" si="11"/>
        <v>1.0120251631202466E-6</v>
      </c>
      <c r="X112" s="42">
        <f t="shared" si="12"/>
        <v>17.627337742466615</v>
      </c>
      <c r="Z112" s="8"/>
      <c r="AS112" s="150"/>
      <c r="AT112" s="150"/>
    </row>
    <row r="113" spans="1:46" x14ac:dyDescent="0.2">
      <c r="A113" s="157">
        <f>'Raw Data'!A113</f>
        <v>7605.748046875</v>
      </c>
      <c r="B113" s="8">
        <f>'Raw Data'!E113</f>
        <v>0.97756695226070067</v>
      </c>
      <c r="C113" s="8">
        <f t="shared" si="1"/>
        <v>2.2433047739299328E-2</v>
      </c>
      <c r="D113" s="80">
        <f t="shared" si="2"/>
        <v>3.5052302729372542E-3</v>
      </c>
      <c r="E113" s="70">
        <f>(2*Table!$AC$16*0.147)/A113</f>
        <v>1.436154293714934E-2</v>
      </c>
      <c r="F113" s="70">
        <f t="shared" si="3"/>
        <v>2.8723085874298681E-2</v>
      </c>
      <c r="G113" s="157">
        <f>IF((('Raw Data'!C113)/('Raw Data'!C$136)*100)&lt;0,0,('Raw Data'!C113)/('Raw Data'!C$136)*100)</f>
        <v>97.756695226070065</v>
      </c>
      <c r="H113" s="157">
        <f t="shared" si="4"/>
        <v>0.35052302729371831</v>
      </c>
      <c r="I113" s="146">
        <f t="shared" si="5"/>
        <v>3.9386365521490108E-2</v>
      </c>
      <c r="J113" s="70">
        <f>'Raw Data'!F113/I113</f>
        <v>8.8996032675945178E-2</v>
      </c>
      <c r="K113" s="138">
        <f t="shared" si="6"/>
        <v>95.035904878771603</v>
      </c>
      <c r="L113" s="157">
        <f>A113*Table!$AC$9/$AC$16</f>
        <v>1432.9936616187128</v>
      </c>
      <c r="M113" s="157">
        <f>A113*Table!$AD$9/$AC$16</f>
        <v>491.31211255498727</v>
      </c>
      <c r="N113" s="157">
        <f>ABS(A113*Table!$AE$9/$AC$16)</f>
        <v>620.50445721194365</v>
      </c>
      <c r="O113" s="157">
        <f>($L113*(Table!$AC$10/Table!$AC$9)/(Table!$AC$12-Table!$AC$14))</f>
        <v>3073.7744779466175</v>
      </c>
      <c r="P113" s="157">
        <f>$N113*(Table!$AE$10/Table!$AE$9)/(Table!$AC$12-Table!$AC$13)</f>
        <v>5094.4536716908333</v>
      </c>
      <c r="Q113" s="157">
        <f>'Raw Data'!C113</f>
        <v>1.5569261567843244</v>
      </c>
      <c r="R113" s="157">
        <f>'Raw Data'!C113/'Raw Data'!I$23*100</f>
        <v>27.559883040248227</v>
      </c>
      <c r="S113" s="95">
        <f t="shared" si="7"/>
        <v>2.8242338766069165E-2</v>
      </c>
      <c r="T113" s="95">
        <f t="shared" si="8"/>
        <v>1.0247632753479508E-7</v>
      </c>
      <c r="U113" s="71">
        <f t="shared" si="9"/>
        <v>3.6235598221757885E-3</v>
      </c>
      <c r="V113" s="71">
        <f t="shared" si="10"/>
        <v>2.9748900372112232E-2</v>
      </c>
      <c r="W113" s="71">
        <f t="shared" si="11"/>
        <v>7.2813661929802274E-7</v>
      </c>
      <c r="X113" s="42">
        <f t="shared" si="12"/>
        <v>17.627338470603235</v>
      </c>
      <c r="Z113" s="8"/>
      <c r="AS113" s="150"/>
      <c r="AT113" s="150"/>
    </row>
    <row r="114" spans="1:46" x14ac:dyDescent="0.2">
      <c r="A114" s="157">
        <f>'Raw Data'!A114</f>
        <v>8316.9052734375</v>
      </c>
      <c r="B114" s="8">
        <f>'Raw Data'!E114</f>
        <v>0.98004367871491049</v>
      </c>
      <c r="C114" s="8">
        <f t="shared" si="1"/>
        <v>1.9956321285089507E-2</v>
      </c>
      <c r="D114" s="80">
        <f t="shared" si="2"/>
        <v>2.4767264542098211E-3</v>
      </c>
      <c r="E114" s="70">
        <f>(2*Table!$AC$16*0.147)/A114</f>
        <v>1.3133524256094906E-2</v>
      </c>
      <c r="F114" s="70">
        <f t="shared" si="3"/>
        <v>2.6267048512189813E-2</v>
      </c>
      <c r="G114" s="157">
        <f>IF((('Raw Data'!C114)/('Raw Data'!C$136)*100)&lt;0,0,('Raw Data'!C114)/('Raw Data'!C$136)*100)</f>
        <v>98.004367871491056</v>
      </c>
      <c r="H114" s="157">
        <f t="shared" si="4"/>
        <v>0.24767264542099099</v>
      </c>
      <c r="I114" s="146">
        <f t="shared" si="5"/>
        <v>3.8819820470703981E-2</v>
      </c>
      <c r="J114" s="70">
        <f>'Raw Data'!F114/I114</f>
        <v>6.3800564355492667E-2</v>
      </c>
      <c r="K114" s="138">
        <f t="shared" si="6"/>
        <v>103.92200919368037</v>
      </c>
      <c r="L114" s="157">
        <f>A114*Table!$AC$9/$AC$16</f>
        <v>1566.9822965034984</v>
      </c>
      <c r="M114" s="157">
        <f>A114*Table!$AD$9/$AC$16</f>
        <v>537.25107308691372</v>
      </c>
      <c r="N114" s="157">
        <f>ABS(A114*Table!$AE$9/$AC$16)</f>
        <v>678.52323802625472</v>
      </c>
      <c r="O114" s="157">
        <f>($L114*(Table!$AC$10/Table!$AC$9)/(Table!$AC$12-Table!$AC$14))</f>
        <v>3361.1803871803918</v>
      </c>
      <c r="P114" s="157">
        <f>$N114*(Table!$AE$10/Table!$AE$9)/(Table!$AC$12-Table!$AC$13)</f>
        <v>5570.7983417590685</v>
      </c>
      <c r="Q114" s="157">
        <f>'Raw Data'!C114</f>
        <v>1.5608707256865786</v>
      </c>
      <c r="R114" s="157">
        <f>'Raw Data'!C114/'Raw Data'!I$23*100</f>
        <v>27.62970771184014</v>
      </c>
      <c r="S114" s="95">
        <f t="shared" si="7"/>
        <v>1.995547855749424E-2</v>
      </c>
      <c r="T114" s="95">
        <f t="shared" si="8"/>
        <v>7.8067442954576904E-8</v>
      </c>
      <c r="U114" s="71">
        <f t="shared" si="9"/>
        <v>3.3221140320166677E-3</v>
      </c>
      <c r="V114" s="71">
        <f t="shared" si="10"/>
        <v>2.5685313767813252E-2</v>
      </c>
      <c r="W114" s="71">
        <f t="shared" si="11"/>
        <v>4.3026371351997342E-7</v>
      </c>
      <c r="X114" s="42">
        <f t="shared" si="12"/>
        <v>17.627338900866949</v>
      </c>
      <c r="Z114" s="8"/>
      <c r="AS114" s="150"/>
      <c r="AT114" s="150"/>
    </row>
    <row r="115" spans="1:46" x14ac:dyDescent="0.2">
      <c r="A115" s="157">
        <f>'Raw Data'!A115</f>
        <v>9097.5263671875</v>
      </c>
      <c r="B115" s="8">
        <f>'Raw Data'!E115</f>
        <v>0.9826077367063909</v>
      </c>
      <c r="C115" s="8">
        <f t="shared" si="1"/>
        <v>1.73922632936091E-2</v>
      </c>
      <c r="D115" s="80">
        <f t="shared" si="2"/>
        <v>2.5640579914804063E-3</v>
      </c>
      <c r="E115" s="70">
        <f>(2*Table!$AC$16*0.147)/A115</f>
        <v>1.2006590883682548E-2</v>
      </c>
      <c r="F115" s="70">
        <f t="shared" si="3"/>
        <v>2.4013181767365097E-2</v>
      </c>
      <c r="G115" s="157">
        <f>IF((('Raw Data'!C115)/('Raw Data'!C$136)*100)&lt;0,0,('Raw Data'!C115)/('Raw Data'!C$136)*100)</f>
        <v>98.260773670639097</v>
      </c>
      <c r="H115" s="157">
        <f t="shared" si="4"/>
        <v>0.25640579914804107</v>
      </c>
      <c r="I115" s="146">
        <f t="shared" si="5"/>
        <v>3.8961567914062245E-2</v>
      </c>
      <c r="J115" s="70">
        <f>'Raw Data'!F115/I115</f>
        <v>6.5809928315409785E-2</v>
      </c>
      <c r="K115" s="138">
        <f t="shared" si="6"/>
        <v>113.67608355359413</v>
      </c>
      <c r="L115" s="157">
        <f>A115*Table!$AC$9/$AC$16</f>
        <v>1714.0585699450346</v>
      </c>
      <c r="M115" s="157">
        <f>A115*Table!$AD$9/$AC$16</f>
        <v>587.67722398115473</v>
      </c>
      <c r="N115" s="157">
        <f>ABS(A115*Table!$AE$9/$AC$16)</f>
        <v>742.20913257341306</v>
      </c>
      <c r="O115" s="157">
        <f>($L115*(Table!$AC$10/Table!$AC$9)/(Table!$AC$12-Table!$AC$14))</f>
        <v>3676.6593091914092</v>
      </c>
      <c r="P115" s="157">
        <f>$N115*(Table!$AE$10/Table!$AE$9)/(Table!$AC$12-Table!$AC$13)</f>
        <v>6093.6710391905817</v>
      </c>
      <c r="Q115" s="157">
        <f>'Raw Data'!C115</f>
        <v>1.5649543835324333</v>
      </c>
      <c r="R115" s="157">
        <f>'Raw Data'!C115/'Raw Data'!I$23*100</f>
        <v>27.701994462318147</v>
      </c>
      <c r="S115" s="95">
        <f t="shared" si="7"/>
        <v>2.0659126155085788E-2</v>
      </c>
      <c r="T115" s="95">
        <f t="shared" si="8"/>
        <v>5.6948382343158244E-8</v>
      </c>
      <c r="U115" s="71">
        <f t="shared" si="9"/>
        <v>3.0450029320313165E-3</v>
      </c>
      <c r="V115" s="71">
        <f t="shared" si="10"/>
        <v>2.2167653376786021E-2</v>
      </c>
      <c r="W115" s="71">
        <f t="shared" si="11"/>
        <v>3.7227286866236151E-7</v>
      </c>
      <c r="X115" s="42">
        <f t="shared" si="12"/>
        <v>17.627339273139818</v>
      </c>
      <c r="Z115" s="8"/>
      <c r="AS115" s="150"/>
      <c r="AT115" s="150"/>
    </row>
    <row r="116" spans="1:46" x14ac:dyDescent="0.2">
      <c r="A116" s="157">
        <f>'Raw Data'!A116</f>
        <v>9956.859375</v>
      </c>
      <c r="B116" s="8">
        <f>'Raw Data'!E116</f>
        <v>0.98480279105955471</v>
      </c>
      <c r="C116" s="8">
        <f t="shared" si="1"/>
        <v>1.5197208940445295E-2</v>
      </c>
      <c r="D116" s="80">
        <f t="shared" si="2"/>
        <v>2.1950543531638056E-3</v>
      </c>
      <c r="E116" s="70">
        <f>(2*Table!$AC$16*0.147)/A116</f>
        <v>1.0970354509434361E-2</v>
      </c>
      <c r="F116" s="70">
        <f t="shared" si="3"/>
        <v>2.1940709018868722E-2</v>
      </c>
      <c r="G116" s="157">
        <f>IF((('Raw Data'!C116)/('Raw Data'!C$136)*100)&lt;0,0,('Raw Data'!C116)/('Raw Data'!C$136)*100)</f>
        <v>98.480279105955475</v>
      </c>
      <c r="H116" s="157">
        <f t="shared" si="4"/>
        <v>0.21950543531637834</v>
      </c>
      <c r="I116" s="146">
        <f t="shared" si="5"/>
        <v>3.9199050476618202E-2</v>
      </c>
      <c r="J116" s="70">
        <f>'Raw Data'!F116/I116</f>
        <v>5.5997640924316042E-2</v>
      </c>
      <c r="K116" s="138">
        <f t="shared" si="6"/>
        <v>124.41368483703562</v>
      </c>
      <c r="L116" s="157">
        <f>A116*Table!$AC$9/$AC$16</f>
        <v>1875.9648999767023</v>
      </c>
      <c r="M116" s="157">
        <f>A116*Table!$AD$9/$AC$16</f>
        <v>643.18796570629797</v>
      </c>
      <c r="N116" s="157">
        <f>ABS(A116*Table!$AE$9/$AC$16)</f>
        <v>812.31662999387902</v>
      </c>
      <c r="O116" s="157">
        <f>($L116*(Table!$AC$10/Table!$AC$9)/(Table!$AC$12-Table!$AC$14))</f>
        <v>4023.9487343987612</v>
      </c>
      <c r="P116" s="157">
        <f>$N116*(Table!$AE$10/Table!$AE$9)/(Table!$AC$12-Table!$AC$13)</f>
        <v>6669.2662561073803</v>
      </c>
      <c r="Q116" s="157">
        <f>'Raw Data'!C116</f>
        <v>1.568450346167116</v>
      </c>
      <c r="R116" s="157">
        <f>'Raw Data'!C116/'Raw Data'!I$23*100</f>
        <v>27.763878143124131</v>
      </c>
      <c r="S116" s="95">
        <f t="shared" si="7"/>
        <v>1.7685990312995548E-2</v>
      </c>
      <c r="T116" s="95">
        <f t="shared" si="8"/>
        <v>4.1854744226021978E-8</v>
      </c>
      <c r="U116" s="71">
        <f t="shared" si="9"/>
        <v>2.7884172204776297E-3</v>
      </c>
      <c r="V116" s="71">
        <f t="shared" si="10"/>
        <v>1.9101737004539928E-2</v>
      </c>
      <c r="W116" s="71">
        <f t="shared" si="11"/>
        <v>2.6606069429976815E-7</v>
      </c>
      <c r="X116" s="42">
        <f t="shared" si="12"/>
        <v>17.627339539200513</v>
      </c>
      <c r="Z116" s="8"/>
      <c r="AS116" s="150"/>
      <c r="AT116" s="150"/>
    </row>
    <row r="117" spans="1:46" x14ac:dyDescent="0.2">
      <c r="A117" s="157">
        <f>'Raw Data'!A117</f>
        <v>10896.5751953125</v>
      </c>
      <c r="B117" s="8">
        <f>'Raw Data'!E117</f>
        <v>0.9868283552863778</v>
      </c>
      <c r="C117" s="8">
        <f t="shared" si="1"/>
        <v>1.3171644713622199E-2</v>
      </c>
      <c r="D117" s="80">
        <f t="shared" si="2"/>
        <v>2.0255642268230956E-3</v>
      </c>
      <c r="E117" s="70">
        <f>(2*Table!$AC$16*0.147)/A117</f>
        <v>1.0024275993738275E-2</v>
      </c>
      <c r="F117" s="70">
        <f t="shared" si="3"/>
        <v>2.004855198747655E-2</v>
      </c>
      <c r="G117" s="157">
        <f>IF((('Raw Data'!C117)/('Raw Data'!C$136)*100)&lt;0,0,('Raw Data'!C117)/('Raw Data'!C$136)*100)</f>
        <v>98.682835528637781</v>
      </c>
      <c r="H117" s="157">
        <f t="shared" si="4"/>
        <v>0.20255642268230645</v>
      </c>
      <c r="I117" s="146">
        <f t="shared" si="5"/>
        <v>3.916764674469464E-2</v>
      </c>
      <c r="J117" s="70">
        <f>'Raw Data'!F117/I117</f>
        <v>5.1715239366466749E-2</v>
      </c>
      <c r="K117" s="138">
        <f t="shared" si="6"/>
        <v>136.15569137760056</v>
      </c>
      <c r="L117" s="157">
        <f>A117*Table!$AC$9/$AC$16</f>
        <v>2053.0160994026323</v>
      </c>
      <c r="M117" s="157">
        <f>A117*Table!$AD$9/$AC$16</f>
        <v>703.89123408090245</v>
      </c>
      <c r="N117" s="157">
        <f>ABS(A117*Table!$AE$9/$AC$16)</f>
        <v>888.98204823055892</v>
      </c>
      <c r="O117" s="157">
        <f>($L117*(Table!$AC$10/Table!$AC$9)/(Table!$AC$12-Table!$AC$14))</f>
        <v>4403.7239369425843</v>
      </c>
      <c r="P117" s="157">
        <f>$N117*(Table!$AE$10/Table!$AE$9)/(Table!$AC$12-Table!$AC$13)</f>
        <v>7298.7031874430104</v>
      </c>
      <c r="Q117" s="157">
        <f>'Raw Data'!C117</f>
        <v>1.5716763696325109</v>
      </c>
      <c r="R117" s="157">
        <f>'Raw Data'!C117/'Raw Data'!I$23*100</f>
        <v>27.820983503583236</v>
      </c>
      <c r="S117" s="95">
        <f t="shared" si="7"/>
        <v>1.6320374592232349E-2</v>
      </c>
      <c r="T117" s="95">
        <f t="shared" si="8"/>
        <v>3.0225288716323462E-8</v>
      </c>
      <c r="U117" s="71">
        <f t="shared" si="9"/>
        <v>2.5531860244998165E-3</v>
      </c>
      <c r="V117" s="71">
        <f t="shared" si="10"/>
        <v>1.6456949372178623E-2</v>
      </c>
      <c r="W117" s="71">
        <f t="shared" si="11"/>
        <v>2.0499636792971604E-7</v>
      </c>
      <c r="X117" s="42">
        <f t="shared" si="12"/>
        <v>17.627339744196881</v>
      </c>
      <c r="Z117" s="8"/>
      <c r="AS117" s="150"/>
      <c r="AT117" s="150"/>
    </row>
    <row r="118" spans="1:46" x14ac:dyDescent="0.2">
      <c r="A118" s="157">
        <f>'Raw Data'!A118</f>
        <v>11895.7236328125</v>
      </c>
      <c r="B118" s="8">
        <f>'Raw Data'!E118</f>
        <v>0.98876557367236162</v>
      </c>
      <c r="C118" s="8">
        <f t="shared" si="1"/>
        <v>1.123442632763838E-2</v>
      </c>
      <c r="D118" s="80">
        <f t="shared" si="2"/>
        <v>1.9372183859838188E-3</v>
      </c>
      <c r="E118" s="70">
        <f>(2*Table!$AC$16*0.147)/A118</f>
        <v>9.182314629690989E-3</v>
      </c>
      <c r="F118" s="70">
        <f t="shared" si="3"/>
        <v>1.8364629259381978E-2</v>
      </c>
      <c r="G118" s="157">
        <f>IF((('Raw Data'!C118)/('Raw Data'!C$136)*100)&lt;0,0,('Raw Data'!C118)/('Raw Data'!C$136)*100)</f>
        <v>98.87655736723616</v>
      </c>
      <c r="H118" s="157">
        <f t="shared" si="4"/>
        <v>0.19372183859837833</v>
      </c>
      <c r="I118" s="146">
        <f t="shared" si="5"/>
        <v>3.8100845703442188E-2</v>
      </c>
      <c r="J118" s="70">
        <f>'Raw Data'!F118/I118</f>
        <v>5.0844498336392638E-2</v>
      </c>
      <c r="K118" s="138">
        <f t="shared" si="6"/>
        <v>148.64032474710035</v>
      </c>
      <c r="L118" s="157">
        <f>A118*Table!$AC$9/$AC$16</f>
        <v>2241.2649565997908</v>
      </c>
      <c r="M118" s="157">
        <f>A118*Table!$AD$9/$AC$16</f>
        <v>768.43369940564264</v>
      </c>
      <c r="N118" s="157">
        <f>ABS(A118*Table!$AE$9/$AC$16)</f>
        <v>970.49619451362332</v>
      </c>
      <c r="O118" s="157">
        <f>($L118*(Table!$AC$10/Table!$AC$9)/(Table!$AC$12-Table!$AC$14))</f>
        <v>4807.5181394246911</v>
      </c>
      <c r="P118" s="157">
        <f>$N118*(Table!$AE$10/Table!$AE$9)/(Table!$AC$12-Table!$AC$13)</f>
        <v>7967.9490518359853</v>
      </c>
      <c r="Q118" s="157">
        <f>'Raw Data'!C118</f>
        <v>1.5747616887194202</v>
      </c>
      <c r="R118" s="157">
        <f>'Raw Data'!C118/'Raw Data'!I$23*100</f>
        <v>27.875598189582661</v>
      </c>
      <c r="S118" s="95">
        <f t="shared" si="7"/>
        <v>1.5608554548676327E-2</v>
      </c>
      <c r="T118" s="95">
        <f t="shared" si="8"/>
        <v>2.089295525475876E-8</v>
      </c>
      <c r="U118" s="71">
        <f t="shared" si="9"/>
        <v>2.3433293383424078E-3</v>
      </c>
      <c r="V118" s="71">
        <f t="shared" si="10"/>
        <v>1.4235117509230176E-2</v>
      </c>
      <c r="W118" s="71">
        <f t="shared" si="11"/>
        <v>1.6450421831096059E-7</v>
      </c>
      <c r="X118" s="42">
        <f t="shared" si="12"/>
        <v>17.627339908701099</v>
      </c>
      <c r="Z118" s="8"/>
      <c r="AS118" s="150"/>
      <c r="AT118" s="150"/>
    </row>
    <row r="119" spans="1:46" x14ac:dyDescent="0.2">
      <c r="A119" s="157">
        <f>'Raw Data'!A119</f>
        <v>12996.2470703125</v>
      </c>
      <c r="B119" s="8">
        <f>'Raw Data'!E119</f>
        <v>0.98995940897279766</v>
      </c>
      <c r="C119" s="8">
        <f t="shared" si="1"/>
        <v>1.0040591027202339E-2</v>
      </c>
      <c r="D119" s="80">
        <f t="shared" si="2"/>
        <v>1.1938353004360414E-3</v>
      </c>
      <c r="E119" s="70">
        <f>(2*Table!$AC$16*0.147)/A119</f>
        <v>8.4047553538629804E-3</v>
      </c>
      <c r="F119" s="70">
        <f t="shared" si="3"/>
        <v>1.6809510707725961E-2</v>
      </c>
      <c r="G119" s="157">
        <f>IF((('Raw Data'!C119)/('Raw Data'!C$136)*100)&lt;0,0,('Raw Data'!C119)/('Raw Data'!C$136)*100)</f>
        <v>98.995940897279766</v>
      </c>
      <c r="H119" s="157">
        <f t="shared" si="4"/>
        <v>0.11938353004360636</v>
      </c>
      <c r="I119" s="146">
        <f t="shared" si="5"/>
        <v>3.8427093186742312E-2</v>
      </c>
      <c r="J119" s="70">
        <f>'Raw Data'!F119/I119</f>
        <v>3.106754119116991E-2</v>
      </c>
      <c r="K119" s="138">
        <f t="shared" si="6"/>
        <v>162.39166650579583</v>
      </c>
      <c r="L119" s="157">
        <f>A119*Table!$AC$9/$AC$16</f>
        <v>2448.613806532876</v>
      </c>
      <c r="M119" s="157">
        <f>A119*Table!$AD$9/$AC$16</f>
        <v>839.52473366841457</v>
      </c>
      <c r="N119" s="157">
        <f>ABS(A119*Table!$AE$9/$AC$16)</f>
        <v>1060.2808802573927</v>
      </c>
      <c r="O119" s="157">
        <f>($L119*(Table!$AC$10/Table!$AC$9)/(Table!$AC$12-Table!$AC$14))</f>
        <v>5252.281867294887</v>
      </c>
      <c r="P119" s="157">
        <f>$N119*(Table!$AE$10/Table!$AE$9)/(Table!$AC$12-Table!$AC$13)</f>
        <v>8705.097539059052</v>
      </c>
      <c r="Q119" s="157">
        <f>'Raw Data'!C119</f>
        <v>1.5766630555790946</v>
      </c>
      <c r="R119" s="157">
        <f>'Raw Data'!C119/'Raw Data'!I$23*100</f>
        <v>27.909255179698018</v>
      </c>
      <c r="S119" s="95">
        <f t="shared" si="7"/>
        <v>9.6189689008800219E-3</v>
      </c>
      <c r="T119" s="95">
        <f t="shared" si="8"/>
        <v>1.6074565789558903E-8</v>
      </c>
      <c r="U119" s="71">
        <f t="shared" si="9"/>
        <v>2.1474857340509864E-3</v>
      </c>
      <c r="V119" s="71">
        <f t="shared" si="10"/>
        <v>1.2281941140960042E-2</v>
      </c>
      <c r="W119" s="71">
        <f t="shared" si="11"/>
        <v>8.4935390257382566E-8</v>
      </c>
      <c r="X119" s="42">
        <f t="shared" si="12"/>
        <v>17.62733999363649</v>
      </c>
      <c r="Z119" s="8"/>
      <c r="AS119" s="150"/>
      <c r="AT119" s="150"/>
    </row>
    <row r="120" spans="1:46" x14ac:dyDescent="0.2">
      <c r="A120" s="157">
        <f>'Raw Data'!A120</f>
        <v>14296.2880859375</v>
      </c>
      <c r="B120" s="8">
        <f>'Raw Data'!E120</f>
        <v>0.99081730693125891</v>
      </c>
      <c r="C120" s="8">
        <f t="shared" si="1"/>
        <v>9.1826930687410879E-3</v>
      </c>
      <c r="D120" s="80">
        <f t="shared" si="2"/>
        <v>8.5789795846125116E-4</v>
      </c>
      <c r="E120" s="70">
        <f>(2*Table!$AC$16*0.147)/A120</f>
        <v>7.6404641881677718E-3</v>
      </c>
      <c r="F120" s="70">
        <f t="shared" si="3"/>
        <v>1.5280928376335544E-2</v>
      </c>
      <c r="G120" s="157">
        <f>IF((('Raw Data'!C120)/('Raw Data'!C$136)*100)&lt;0,0,('Raw Data'!C120)/('Raw Data'!C$136)*100)</f>
        <v>99.081730693125891</v>
      </c>
      <c r="H120" s="157">
        <f t="shared" si="4"/>
        <v>8.5789795846125116E-2</v>
      </c>
      <c r="I120" s="146">
        <f t="shared" si="5"/>
        <v>4.1405332018476848E-2</v>
      </c>
      <c r="J120" s="70">
        <f>'Raw Data'!F120/I120</f>
        <v>2.0719504388430458E-2</v>
      </c>
      <c r="K120" s="138">
        <f t="shared" si="6"/>
        <v>178.6360350462713</v>
      </c>
      <c r="L120" s="157">
        <f>A120*Table!$AC$9/$AC$16</f>
        <v>2693.5536235966838</v>
      </c>
      <c r="M120" s="157">
        <f>A120*Table!$AD$9/$AC$16</f>
        <v>923.50409951886309</v>
      </c>
      <c r="N120" s="157">
        <f>ABS(A120*Table!$AE$9/$AC$16)</f>
        <v>1166.3429322451782</v>
      </c>
      <c r="O120" s="157">
        <f>($L120*(Table!$AC$10/Table!$AC$9)/(Table!$AC$12-Table!$AC$14))</f>
        <v>5777.6783002931879</v>
      </c>
      <c r="P120" s="157">
        <f>$N120*(Table!$AE$10/Table!$AE$9)/(Table!$AC$12-Table!$AC$13)</f>
        <v>9575.8861432280628</v>
      </c>
      <c r="Q120" s="157">
        <f>'Raw Data'!C120</f>
        <v>1.5780293904048488</v>
      </c>
      <c r="R120" s="157">
        <f>'Raw Data'!C120/'Raw Data'!I$23*100</f>
        <v>27.93344131584039</v>
      </c>
      <c r="S120" s="95">
        <f t="shared" si="7"/>
        <v>6.9122547972515196E-3</v>
      </c>
      <c r="T120" s="95">
        <f t="shared" si="8"/>
        <v>1.3213140248602429E-8</v>
      </c>
      <c r="U120" s="71">
        <f t="shared" si="9"/>
        <v>1.9538946856643884E-3</v>
      </c>
      <c r="V120" s="71">
        <f t="shared" si="10"/>
        <v>1.0468555098032956E-2</v>
      </c>
      <c r="W120" s="71">
        <f t="shared" si="11"/>
        <v>5.0439322038839004E-8</v>
      </c>
      <c r="X120" s="42">
        <f t="shared" si="12"/>
        <v>17.627340044075812</v>
      </c>
      <c r="Z120" s="8"/>
      <c r="AS120" s="150"/>
      <c r="AT120" s="150"/>
    </row>
    <row r="121" spans="1:46" x14ac:dyDescent="0.2">
      <c r="A121" s="157">
        <f>'Raw Data'!A121</f>
        <v>15595.5380859375</v>
      </c>
      <c r="B121" s="8">
        <f>'Raw Data'!E121</f>
        <v>0.99137405816015389</v>
      </c>
      <c r="C121" s="8">
        <f t="shared" si="1"/>
        <v>8.6259418398461074E-3</v>
      </c>
      <c r="D121" s="80">
        <f t="shared" si="2"/>
        <v>5.5675122889498052E-4</v>
      </c>
      <c r="E121" s="70">
        <f>(2*Table!$AC$16*0.147)/A121</f>
        <v>7.0039441116063837E-3</v>
      </c>
      <c r="F121" s="70">
        <f t="shared" si="3"/>
        <v>1.4007888223212767E-2</v>
      </c>
      <c r="G121" s="157">
        <f>IF((('Raw Data'!C121)/('Raw Data'!C$136)*100)&lt;0,0,('Raw Data'!C121)/('Raw Data'!C$136)*100)</f>
        <v>99.137405816015388</v>
      </c>
      <c r="H121" s="157">
        <f t="shared" si="4"/>
        <v>5.567512288949672E-2</v>
      </c>
      <c r="I121" s="146">
        <f t="shared" si="5"/>
        <v>3.7777072524162847E-2</v>
      </c>
      <c r="J121" s="70">
        <f>'Raw Data'!F121/I121</f>
        <v>1.4737807662011744E-2</v>
      </c>
      <c r="K121" s="138">
        <f t="shared" si="6"/>
        <v>194.87051962987209</v>
      </c>
      <c r="L121" s="157">
        <f>A121*Table!$AC$9/$AC$16</f>
        <v>2938.3444059606995</v>
      </c>
      <c r="M121" s="157">
        <f>A121*Table!$AD$9/$AC$16</f>
        <v>1007.432367757954</v>
      </c>
      <c r="N121" s="157">
        <f>ABS(A121*Table!$AE$9/$AC$16)</f>
        <v>1272.3404503149306</v>
      </c>
      <c r="O121" s="157">
        <f>($L121*(Table!$AC$10/Table!$AC$9)/(Table!$AC$12-Table!$AC$14))</f>
        <v>6302.7550535407545</v>
      </c>
      <c r="P121" s="157">
        <f>$N121*(Table!$AE$10/Table!$AE$9)/(Table!$AC$12-Table!$AC$13)</f>
        <v>10446.144912273649</v>
      </c>
      <c r="Q121" s="157">
        <f>'Raw Data'!C121</f>
        <v>1.578916102613239</v>
      </c>
      <c r="R121" s="157">
        <f>'Raw Data'!C121/'Raw Data'!I$23*100</f>
        <v>27.949137426183906</v>
      </c>
      <c r="S121" s="95">
        <f t="shared" si="7"/>
        <v>4.4858555902238225E-3</v>
      </c>
      <c r="T121" s="95">
        <f t="shared" si="8"/>
        <v>1.1652675935280854E-8</v>
      </c>
      <c r="U121" s="71">
        <f t="shared" si="9"/>
        <v>1.7921239570044493E-3</v>
      </c>
      <c r="V121" s="71">
        <f t="shared" si="10"/>
        <v>9.045201802692842E-3</v>
      </c>
      <c r="W121" s="71">
        <f t="shared" si="11"/>
        <v>2.7506836464297719E-8</v>
      </c>
      <c r="X121" s="42">
        <f t="shared" si="12"/>
        <v>17.627340071582648</v>
      </c>
      <c r="Z121" s="8"/>
      <c r="AS121" s="150"/>
      <c r="AT121" s="150"/>
    </row>
    <row r="122" spans="1:46" x14ac:dyDescent="0.2">
      <c r="A122" s="157">
        <f>'Raw Data'!A122</f>
        <v>17096.72265625</v>
      </c>
      <c r="B122" s="8">
        <f>'Raw Data'!E122</f>
        <v>0.99313306340910568</v>
      </c>
      <c r="C122" s="8">
        <f t="shared" si="1"/>
        <v>6.8669365908943236E-3</v>
      </c>
      <c r="D122" s="80">
        <f t="shared" si="2"/>
        <v>1.7590052489517838E-3</v>
      </c>
      <c r="E122" s="70">
        <f>(2*Table!$AC$16*0.147)/A122</f>
        <v>6.3889599978042607E-3</v>
      </c>
      <c r="F122" s="70">
        <f t="shared" si="3"/>
        <v>1.2777919995608521E-2</v>
      </c>
      <c r="G122" s="157">
        <f>IF((('Raw Data'!C122)/('Raw Data'!C$136)*100)&lt;0,0,('Raw Data'!C122)/('Raw Data'!C$136)*100)</f>
        <v>99.313306340910572</v>
      </c>
      <c r="H122" s="157">
        <f t="shared" si="4"/>
        <v>0.17590052489518371</v>
      </c>
      <c r="I122" s="146">
        <f t="shared" si="5"/>
        <v>3.9912502985721687E-2</v>
      </c>
      <c r="J122" s="70">
        <f>'Raw Data'!F122/I122</f>
        <v>4.4071534415695529E-2</v>
      </c>
      <c r="K122" s="138">
        <f t="shared" si="6"/>
        <v>213.62823197459224</v>
      </c>
      <c r="L122" s="157">
        <f>A122*Table!$AC$9/$AC$16</f>
        <v>3221.1815392603608</v>
      </c>
      <c r="M122" s="157">
        <f>A122*Table!$AD$9/$AC$16</f>
        <v>1104.4050991749807</v>
      </c>
      <c r="N122" s="157">
        <f>ABS(A122*Table!$AE$9/$AC$16)</f>
        <v>1394.8125216004669</v>
      </c>
      <c r="O122" s="157">
        <f>($L122*(Table!$AC$10/Table!$AC$9)/(Table!$AC$12-Table!$AC$14))</f>
        <v>6909.4413111547856</v>
      </c>
      <c r="P122" s="157">
        <f>$N122*(Table!$AE$10/Table!$AE$9)/(Table!$AC$12-Table!$AC$13)</f>
        <v>11451.662738920088</v>
      </c>
      <c r="Q122" s="157">
        <f>'Raw Data'!C122</f>
        <v>1.5817175897908493</v>
      </c>
      <c r="R122" s="157">
        <f>'Raw Data'!C122/'Raw Data'!I$23*100</f>
        <v>27.998727869903579</v>
      </c>
      <c r="S122" s="95">
        <f t="shared" si="7"/>
        <v>1.4172655792613993E-2</v>
      </c>
      <c r="T122" s="95">
        <f t="shared" si="8"/>
        <v>7.5503061580661779E-9</v>
      </c>
      <c r="U122" s="71">
        <f t="shared" si="9"/>
        <v>1.6376663781036515E-3</v>
      </c>
      <c r="V122" s="71">
        <f t="shared" si="10"/>
        <v>7.7665492879763522E-3</v>
      </c>
      <c r="W122" s="71">
        <f t="shared" si="11"/>
        <v>7.2313867739803197E-8</v>
      </c>
      <c r="X122" s="42">
        <f t="shared" si="12"/>
        <v>17.627340143896514</v>
      </c>
      <c r="Z122" s="8"/>
      <c r="AS122" s="150"/>
      <c r="AT122" s="150"/>
    </row>
    <row r="123" spans="1:46" x14ac:dyDescent="0.2">
      <c r="A123" s="157">
        <f>'Raw Data'!A123</f>
        <v>18695.2578125</v>
      </c>
      <c r="B123" s="8">
        <f>'Raw Data'!E123</f>
        <v>0.9942290184151561</v>
      </c>
      <c r="C123" s="8">
        <f t="shared" si="1"/>
        <v>5.7709815848439039E-3</v>
      </c>
      <c r="D123" s="80">
        <f t="shared" si="2"/>
        <v>1.0959550060504197E-3</v>
      </c>
      <c r="E123" s="70">
        <f>(2*Table!$AC$16*0.147)/A123</f>
        <v>5.8426729516028193E-3</v>
      </c>
      <c r="F123" s="70">
        <f t="shared" si="3"/>
        <v>1.1685345903205639E-2</v>
      </c>
      <c r="G123" s="157">
        <f>IF((('Raw Data'!C123)/('Raw Data'!C$136)*100)&lt;0,0,('Raw Data'!C123)/('Raw Data'!C$136)*100)</f>
        <v>99.42290184151561</v>
      </c>
      <c r="H123" s="157">
        <f t="shared" si="4"/>
        <v>0.10959550060503886</v>
      </c>
      <c r="I123" s="146">
        <f t="shared" si="5"/>
        <v>3.8818591958759807E-2</v>
      </c>
      <c r="J123" s="70">
        <f>'Raw Data'!F123/I123</f>
        <v>2.82327346446451E-2</v>
      </c>
      <c r="K123" s="138">
        <f t="shared" si="6"/>
        <v>233.60236655260607</v>
      </c>
      <c r="L123" s="157">
        <f>A123*Table!$AC$9/$AC$16</f>
        <v>3522.3604282615697</v>
      </c>
      <c r="M123" s="157">
        <f>A123*Table!$AD$9/$AC$16</f>
        <v>1207.6664325468239</v>
      </c>
      <c r="N123" s="157">
        <f>ABS(A123*Table!$AE$9/$AC$16)</f>
        <v>1525.2268060797774</v>
      </c>
      <c r="O123" s="157">
        <f>($L123*(Table!$AC$10/Table!$AC$9)/(Table!$AC$12-Table!$AC$14))</f>
        <v>7555.4706740917427</v>
      </c>
      <c r="P123" s="157">
        <f>$N123*(Table!$AE$10/Table!$AE$9)/(Table!$AC$12-Table!$AC$13)</f>
        <v>12522.38757044152</v>
      </c>
      <c r="Q123" s="157">
        <f>'Raw Data'!C123</f>
        <v>1.583463067184119</v>
      </c>
      <c r="R123" s="157">
        <f>'Raw Data'!C123/'Raw Data'!I$23*100</f>
        <v>28.029625387167506</v>
      </c>
      <c r="S123" s="95">
        <f t="shared" si="7"/>
        <v>8.8303278652527486E-3</v>
      </c>
      <c r="T123" s="95">
        <f t="shared" si="8"/>
        <v>5.4127221593702757E-9</v>
      </c>
      <c r="U123" s="71">
        <f t="shared" si="9"/>
        <v>1.4992906579991837E-3</v>
      </c>
      <c r="V123" s="71">
        <f t="shared" si="10"/>
        <v>6.6895336480827343E-3</v>
      </c>
      <c r="W123" s="71">
        <f t="shared" si="11"/>
        <v>3.7679922078338576E-8</v>
      </c>
      <c r="X123" s="42">
        <f t="shared" si="12"/>
        <v>17.627340181576436</v>
      </c>
      <c r="Z123" s="8"/>
      <c r="AS123" s="150"/>
      <c r="AT123" s="150"/>
    </row>
    <row r="124" spans="1:46" x14ac:dyDescent="0.2">
      <c r="A124" s="157">
        <f>'Raw Data'!A124</f>
        <v>20395.646484375</v>
      </c>
      <c r="B124" s="8">
        <f>'Raw Data'!E124</f>
        <v>0.99486549390455592</v>
      </c>
      <c r="C124" s="8">
        <f t="shared" si="1"/>
        <v>5.1345060954440802E-3</v>
      </c>
      <c r="D124" s="80">
        <f t="shared" si="2"/>
        <v>6.3647548939982368E-4</v>
      </c>
      <c r="E124" s="70">
        <f>(2*Table!$AC$16*0.147)/A124</f>
        <v>5.3555682693370767E-3</v>
      </c>
      <c r="F124" s="70">
        <f t="shared" si="3"/>
        <v>1.0711136538674153E-2</v>
      </c>
      <c r="G124" s="157">
        <f>IF((('Raw Data'!C124)/('Raw Data'!C$136)*100)&lt;0,0,('Raw Data'!C124)/('Raw Data'!C$136)*100)</f>
        <v>99.486549390455593</v>
      </c>
      <c r="H124" s="157">
        <f t="shared" si="4"/>
        <v>6.3647548939982812E-2</v>
      </c>
      <c r="I124" s="146">
        <f t="shared" si="5"/>
        <v>3.7806017213318555E-2</v>
      </c>
      <c r="J124" s="70">
        <f>'Raw Data'!F124/I124</f>
        <v>1.6835295974409119E-2</v>
      </c>
      <c r="K124" s="138">
        <f t="shared" si="6"/>
        <v>254.84918870360409</v>
      </c>
      <c r="L124" s="157">
        <f>A124*Table!$AC$9/$AC$16</f>
        <v>3842.729466792407</v>
      </c>
      <c r="M124" s="157">
        <f>A124*Table!$AD$9/$AC$16</f>
        <v>1317.5072457573967</v>
      </c>
      <c r="N124" s="157">
        <f>ABS(A124*Table!$AE$9/$AC$16)</f>
        <v>1663.9506690566277</v>
      </c>
      <c r="O124" s="157">
        <f>($L124*(Table!$AC$10/Table!$AC$9)/(Table!$AC$12-Table!$AC$14))</f>
        <v>8242.6629489326624</v>
      </c>
      <c r="P124" s="157">
        <f>$N124*(Table!$AE$10/Table!$AE$9)/(Table!$AC$12-Table!$AC$13)</f>
        <v>13661.335542336841</v>
      </c>
      <c r="Q124" s="157">
        <f>'Raw Data'!C124</f>
        <v>1.5844767525744721</v>
      </c>
      <c r="R124" s="157">
        <f>'Raw Data'!C124/'Raw Data'!I$23*100</f>
        <v>28.047569109595194</v>
      </c>
      <c r="S124" s="95">
        <f t="shared" si="7"/>
        <v>5.1282098430773361E-3</v>
      </c>
      <c r="T124" s="95">
        <f t="shared" si="8"/>
        <v>4.369684170058008E-9</v>
      </c>
      <c r="U124" s="71">
        <f t="shared" si="9"/>
        <v>1.3751743113944582E-3</v>
      </c>
      <c r="V124" s="71">
        <f t="shared" si="10"/>
        <v>5.7801066621308008E-3</v>
      </c>
      <c r="W124" s="71">
        <f t="shared" si="11"/>
        <v>1.8385985806324195E-8</v>
      </c>
      <c r="X124" s="42">
        <f t="shared" si="12"/>
        <v>17.627340199962422</v>
      </c>
      <c r="Z124" s="8"/>
      <c r="AS124" s="150"/>
      <c r="AT124" s="150"/>
    </row>
    <row r="125" spans="1:46" x14ac:dyDescent="0.2">
      <c r="A125" s="157">
        <f>'Raw Data'!A125</f>
        <v>22297.048828125</v>
      </c>
      <c r="B125" s="8">
        <f>'Raw Data'!E125</f>
        <v>0.99543583680127234</v>
      </c>
      <c r="C125" s="8">
        <f t="shared" si="1"/>
        <v>4.5641631987276554E-3</v>
      </c>
      <c r="D125" s="80">
        <f t="shared" si="2"/>
        <v>5.703428967164248E-4</v>
      </c>
      <c r="E125" s="70">
        <f>(2*Table!$AC$16*0.147)/A125</f>
        <v>4.89886701986114E-3</v>
      </c>
      <c r="F125" s="70">
        <f t="shared" si="3"/>
        <v>9.7977340397222799E-3</v>
      </c>
      <c r="G125" s="157">
        <f>IF((('Raw Data'!C125)/('Raw Data'!C$136)*100)&lt;0,0,('Raw Data'!C125)/('Raw Data'!C$136)*100)</f>
        <v>99.543583680127227</v>
      </c>
      <c r="H125" s="157">
        <f t="shared" si="4"/>
        <v>5.7034289671634042E-2</v>
      </c>
      <c r="I125" s="146">
        <f t="shared" si="5"/>
        <v>3.8709909130747455E-2</v>
      </c>
      <c r="J125" s="70">
        <f>'Raw Data'!F125/I125</f>
        <v>1.4733769970630049E-2</v>
      </c>
      <c r="K125" s="138">
        <f t="shared" si="6"/>
        <v>278.60773173753273</v>
      </c>
      <c r="L125" s="157">
        <f>A125*Table!$AC$9/$AC$16</f>
        <v>4200.9713504293786</v>
      </c>
      <c r="M125" s="157">
        <f>A125*Table!$AD$9/$AC$16</f>
        <v>1440.3330344329297</v>
      </c>
      <c r="N125" s="157">
        <f>ABS(A125*Table!$AE$9/$AC$16)</f>
        <v>1819.0739550212306</v>
      </c>
      <c r="O125" s="157">
        <f>($L125*(Table!$AC$10/Table!$AC$9)/(Table!$AC$12-Table!$AC$14))</f>
        <v>9011.0925577635753</v>
      </c>
      <c r="P125" s="157">
        <f>$N125*(Table!$AE$10/Table!$AE$9)/(Table!$AC$12-Table!$AC$13)</f>
        <v>14934.92573909056</v>
      </c>
      <c r="Q125" s="157">
        <f>'Raw Data'!C125</f>
        <v>1.5853851116103217</v>
      </c>
      <c r="R125" s="157">
        <f>'Raw Data'!C125/'Raw Data'!I$23*100</f>
        <v>28.063648400624814</v>
      </c>
      <c r="S125" s="95">
        <f t="shared" si="7"/>
        <v>4.5953663661556553E-3</v>
      </c>
      <c r="T125" s="95">
        <f t="shared" si="8"/>
        <v>3.5876338566609434E-9</v>
      </c>
      <c r="U125" s="71">
        <f t="shared" si="9"/>
        <v>1.2586261355460617E-3</v>
      </c>
      <c r="V125" s="71">
        <f t="shared" si="10"/>
        <v>4.9762053366340783E-3</v>
      </c>
      <c r="W125" s="71">
        <f t="shared" si="11"/>
        <v>1.3785466131717506E-8</v>
      </c>
      <c r="X125" s="42">
        <f t="shared" si="12"/>
        <v>17.627340213747889</v>
      </c>
      <c r="Z125" s="8"/>
      <c r="AS125" s="150"/>
      <c r="AT125" s="150"/>
    </row>
    <row r="126" spans="1:46" x14ac:dyDescent="0.2">
      <c r="A126" s="157">
        <f>'Raw Data'!A126</f>
        <v>24397.158203125</v>
      </c>
      <c r="B126" s="8">
        <f>'Raw Data'!E126</f>
        <v>0.99635266579707871</v>
      </c>
      <c r="C126" s="8">
        <f t="shared" si="1"/>
        <v>3.647334202921293E-3</v>
      </c>
      <c r="D126" s="80">
        <f t="shared" si="2"/>
        <v>9.1682899580636246E-4</v>
      </c>
      <c r="E126" s="70">
        <f>(2*Table!$AC$16*0.147)/A126</f>
        <v>4.4771721458257332E-3</v>
      </c>
      <c r="F126" s="70">
        <f t="shared" si="3"/>
        <v>8.9543442916514664E-3</v>
      </c>
      <c r="G126" s="157">
        <f>IF((('Raw Data'!C126)/('Raw Data'!C$136)*100)&lt;0,0,('Raw Data'!C126)/('Raw Data'!C$136)*100)</f>
        <v>99.635266579707874</v>
      </c>
      <c r="H126" s="157">
        <f t="shared" si="4"/>
        <v>9.1682899580646904E-2</v>
      </c>
      <c r="I126" s="146">
        <f t="shared" si="5"/>
        <v>3.9091857470420877E-2</v>
      </c>
      <c r="J126" s="70">
        <f>'Raw Data'!F126/I126</f>
        <v>2.3453196014031501E-2</v>
      </c>
      <c r="K126" s="138">
        <f t="shared" si="6"/>
        <v>304.84917354804878</v>
      </c>
      <c r="L126" s="157">
        <f>A126*Table!$AC$9/$AC$16</f>
        <v>4596.6514866281495</v>
      </c>
      <c r="M126" s="157">
        <f>A126*Table!$AD$9/$AC$16</f>
        <v>1575.9947954153654</v>
      </c>
      <c r="N126" s="157">
        <f>ABS(A126*Table!$AE$9/$AC$16)</f>
        <v>1990.4084798817419</v>
      </c>
      <c r="O126" s="157">
        <f>($L126*(Table!$AC$10/Table!$AC$9)/(Table!$AC$12-Table!$AC$14))</f>
        <v>9859.8272986446809</v>
      </c>
      <c r="P126" s="157">
        <f>$N126*(Table!$AE$10/Table!$AE$9)/(Table!$AC$12-Table!$AC$13)</f>
        <v>16341.613135318075</v>
      </c>
      <c r="Q126" s="157">
        <f>'Raw Data'!C126</f>
        <v>1.5868453032028957</v>
      </c>
      <c r="R126" s="157">
        <f>'Raw Data'!C126/'Raw Data'!I$23*100</f>
        <v>28.089495939592759</v>
      </c>
      <c r="S126" s="95">
        <f t="shared" si="7"/>
        <v>7.3870739078207778E-3</v>
      </c>
      <c r="T126" s="95">
        <f t="shared" si="8"/>
        <v>2.5376001300259077E-9</v>
      </c>
      <c r="U126" s="71">
        <f t="shared" si="9"/>
        <v>1.1513429435398264E-3</v>
      </c>
      <c r="V126" s="71">
        <f t="shared" si="10"/>
        <v>4.2802590028507585E-3</v>
      </c>
      <c r="W126" s="71">
        <f t="shared" si="11"/>
        <v>1.8509302088102052E-8</v>
      </c>
      <c r="X126" s="42">
        <f t="shared" si="12"/>
        <v>17.62734023225719</v>
      </c>
      <c r="Z126" s="8"/>
      <c r="AS126" s="150"/>
      <c r="AT126" s="150"/>
    </row>
    <row r="127" spans="1:46" x14ac:dyDescent="0.2">
      <c r="A127" s="157">
        <f>'Raw Data'!A127</f>
        <v>26700.064453125</v>
      </c>
      <c r="B127" s="8">
        <f>'Raw Data'!E127</f>
        <v>0.99759681055452565</v>
      </c>
      <c r="C127" s="8">
        <f t="shared" si="1"/>
        <v>2.4031894454743519E-3</v>
      </c>
      <c r="D127" s="80">
        <f t="shared" si="2"/>
        <v>1.2441447574469411E-3</v>
      </c>
      <c r="E127" s="70">
        <f>(2*Table!$AC$16*0.147)/A127</f>
        <v>4.0910117402937814E-3</v>
      </c>
      <c r="F127" s="70">
        <f t="shared" si="3"/>
        <v>8.1820234805875629E-3</v>
      </c>
      <c r="G127" s="157">
        <f>IF((('Raw Data'!C127)/('Raw Data'!C$136)*100)&lt;0,0,('Raw Data'!C127)/('Raw Data'!C$136)*100)</f>
        <v>99.75968105545256</v>
      </c>
      <c r="H127" s="157">
        <f t="shared" si="4"/>
        <v>0.12441447574468611</v>
      </c>
      <c r="I127" s="146">
        <f t="shared" si="5"/>
        <v>3.9173067358577285E-2</v>
      </c>
      <c r="J127" s="70">
        <f>'Raw Data'!F127/I127</f>
        <v>3.1760207748309621E-2</v>
      </c>
      <c r="K127" s="138">
        <f t="shared" si="6"/>
        <v>333.62461785291924</v>
      </c>
      <c r="L127" s="157">
        <f>A127*Table!$AC$9/$AC$16</f>
        <v>5030.5404399846866</v>
      </c>
      <c r="M127" s="157">
        <f>A127*Table!$AD$9/$AC$16</f>
        <v>1724.7567222804639</v>
      </c>
      <c r="N127" s="157">
        <f>ABS(A127*Table!$AE$9/$AC$16)</f>
        <v>2178.2879078958431</v>
      </c>
      <c r="O127" s="157">
        <f>($L127*(Table!$AC$10/Table!$AC$9)/(Table!$AC$12-Table!$AC$14))</f>
        <v>10790.520034287189</v>
      </c>
      <c r="P127" s="157">
        <f>$N127*(Table!$AE$10/Table!$AE$9)/(Table!$AC$12-Table!$AC$13)</f>
        <v>17884.137174842715</v>
      </c>
      <c r="Q127" s="157">
        <f>'Raw Data'!C127</f>
        <v>1.5888267956328674</v>
      </c>
      <c r="R127" s="157">
        <f>'Raw Data'!C127/'Raw Data'!I$23*100</f>
        <v>28.124571270158178</v>
      </c>
      <c r="S127" s="95">
        <f t="shared" si="7"/>
        <v>1.0024322220748562E-2</v>
      </c>
      <c r="T127" s="95">
        <f t="shared" si="8"/>
        <v>1.3478939075994845E-9</v>
      </c>
      <c r="U127" s="71">
        <f t="shared" si="9"/>
        <v>1.0533521864538591E-3</v>
      </c>
      <c r="V127" s="71">
        <f t="shared" si="10"/>
        <v>3.6825178028587202E-3</v>
      </c>
      <c r="W127" s="71">
        <f t="shared" si="11"/>
        <v>2.0971354556197637E-8</v>
      </c>
      <c r="X127" s="42">
        <f t="shared" si="12"/>
        <v>17.627340253228546</v>
      </c>
      <c r="Z127" s="8"/>
      <c r="AS127" s="150"/>
      <c r="AT127" s="150"/>
    </row>
    <row r="128" spans="1:46" x14ac:dyDescent="0.2">
      <c r="A128" s="157">
        <f>'Raw Data'!A128</f>
        <v>29297.080078125</v>
      </c>
      <c r="B128" s="8">
        <f>'Raw Data'!E128</f>
        <v>0.99775869340410051</v>
      </c>
      <c r="C128" s="8">
        <f t="shared" si="1"/>
        <v>2.2413065958994949E-3</v>
      </c>
      <c r="D128" s="80">
        <f t="shared" si="2"/>
        <v>1.6188284957485699E-4</v>
      </c>
      <c r="E128" s="70">
        <f>(2*Table!$AC$16*0.147)/A128</f>
        <v>3.7283673612884408E-3</v>
      </c>
      <c r="F128" s="70">
        <f t="shared" si="3"/>
        <v>7.4567347225768816E-3</v>
      </c>
      <c r="G128" s="157">
        <f>IF((('Raw Data'!C128)/('Raw Data'!C$136)*100)&lt;0,0,('Raw Data'!C128)/('Raw Data'!C$136)*100)</f>
        <v>99.775869340410054</v>
      </c>
      <c r="H128" s="157">
        <f t="shared" si="4"/>
        <v>1.6188284957493693E-2</v>
      </c>
      <c r="I128" s="146">
        <f t="shared" si="5"/>
        <v>4.0312028391373822E-2</v>
      </c>
      <c r="J128" s="70">
        <f>'Raw Data'!F128/I128</f>
        <v>4.0157455735841249E-3</v>
      </c>
      <c r="K128" s="138">
        <f t="shared" si="6"/>
        <v>366.07503934796085</v>
      </c>
      <c r="L128" s="157">
        <f>A128*Table!$AC$9/$AC$16</f>
        <v>5519.8423346587842</v>
      </c>
      <c r="M128" s="157">
        <f>A128*Table!$AD$9/$AC$16</f>
        <v>1892.5173718830119</v>
      </c>
      <c r="N128" s="157">
        <f>ABS(A128*Table!$AE$9/$AC$16)</f>
        <v>2390.1618433496565</v>
      </c>
      <c r="O128" s="157">
        <f>($L128*(Table!$AC$10/Table!$AC$9)/(Table!$AC$12-Table!$AC$14))</f>
        <v>11840.073647916743</v>
      </c>
      <c r="P128" s="157">
        <f>$N128*(Table!$AE$10/Table!$AE$9)/(Table!$AC$12-Table!$AC$13)</f>
        <v>19623.660454430672</v>
      </c>
      <c r="Q128" s="157">
        <f>'Raw Data'!C128</f>
        <v>1.5890846190405175</v>
      </c>
      <c r="R128" s="157">
        <f>'Raw Data'!C128/'Raw Data'!I$23*100</f>
        <v>28.129135123703129</v>
      </c>
      <c r="S128" s="95">
        <f t="shared" si="7"/>
        <v>1.304322376024272E-3</v>
      </c>
      <c r="T128" s="95">
        <f t="shared" si="8"/>
        <v>1.219322087742114E-9</v>
      </c>
      <c r="U128" s="71">
        <f t="shared" si="9"/>
        <v>9.6013442461476118E-4</v>
      </c>
      <c r="V128" s="71">
        <f t="shared" si="10"/>
        <v>3.1484469300061438E-3</v>
      </c>
      <c r="W128" s="71">
        <f t="shared" si="11"/>
        <v>2.2663780359416999E-9</v>
      </c>
      <c r="X128" s="42">
        <f t="shared" si="12"/>
        <v>17.627340255494925</v>
      </c>
      <c r="Z128" s="8"/>
      <c r="AS128" s="150"/>
      <c r="AT128" s="150"/>
    </row>
    <row r="129" spans="1:46" x14ac:dyDescent="0.2">
      <c r="A129" s="157">
        <f>'Raw Data'!A129</f>
        <v>31994.453125</v>
      </c>
      <c r="B129" s="8">
        <f>'Raw Data'!E129</f>
        <v>0.99860441971973657</v>
      </c>
      <c r="C129" s="8">
        <f t="shared" si="1"/>
        <v>1.395580280263431E-3</v>
      </c>
      <c r="D129" s="80">
        <f t="shared" si="2"/>
        <v>8.4572631563606393E-4</v>
      </c>
      <c r="E129" s="70">
        <f>(2*Table!$AC$16*0.147)/A129</f>
        <v>3.4140379495652047E-3</v>
      </c>
      <c r="F129" s="70">
        <f t="shared" si="3"/>
        <v>6.8280758991304093E-3</v>
      </c>
      <c r="G129" s="157">
        <f>IF((('Raw Data'!C129)/('Raw Data'!C$136)*100)&lt;0,0,('Raw Data'!C129)/('Raw Data'!C$136)*100)</f>
        <v>99.860441971973657</v>
      </c>
      <c r="H129" s="157">
        <f t="shared" si="4"/>
        <v>8.457263156360284E-2</v>
      </c>
      <c r="I129" s="146">
        <f t="shared" si="5"/>
        <v>3.8250353126375369E-2</v>
      </c>
      <c r="J129" s="70">
        <f>'Raw Data'!F129/I129</f>
        <v>2.2110287788504022E-2</v>
      </c>
      <c r="K129" s="138">
        <f t="shared" si="6"/>
        <v>399.77945431483596</v>
      </c>
      <c r="L129" s="157">
        <f>A129*Table!$AC$9/$AC$16</f>
        <v>6028.0525008871</v>
      </c>
      <c r="M129" s="157">
        <f>A129*Table!$AD$9/$AC$16</f>
        <v>2066.7608574470059</v>
      </c>
      <c r="N129" s="157">
        <f>ABS(A129*Table!$AE$9/$AC$16)</f>
        <v>2610.223300557273</v>
      </c>
      <c r="O129" s="157">
        <f>($L129*(Table!$AC$10/Table!$AC$9)/(Table!$AC$12-Table!$AC$14))</f>
        <v>12930.185544588376</v>
      </c>
      <c r="P129" s="157">
        <f>$N129*(Table!$AE$10/Table!$AE$9)/(Table!$AC$12-Table!$AC$13)</f>
        <v>21430.404766480067</v>
      </c>
      <c r="Q129" s="157">
        <f>'Raw Data'!C129</f>
        <v>1.5904315686476513</v>
      </c>
      <c r="R129" s="157">
        <f>'Raw Data'!C129/'Raw Data'!I$23*100</f>
        <v>28.152978112962423</v>
      </c>
      <c r="S129" s="95">
        <f t="shared" si="7"/>
        <v>6.8141854456706666E-3</v>
      </c>
      <c r="T129" s="95">
        <f t="shared" si="8"/>
        <v>6.5610761268430906E-10</v>
      </c>
      <c r="U129" s="71">
        <f t="shared" si="9"/>
        <v>8.7993309349501257E-4</v>
      </c>
      <c r="V129" s="71">
        <f t="shared" si="10"/>
        <v>2.7166723105091131E-3</v>
      </c>
      <c r="W129" s="71">
        <f t="shared" si="11"/>
        <v>9.9279744357201765E-9</v>
      </c>
      <c r="X129" s="42">
        <f t="shared" si="12"/>
        <v>17.627340265422898</v>
      </c>
      <c r="Z129" s="8"/>
      <c r="AS129" s="150"/>
      <c r="AT129" s="150"/>
    </row>
    <row r="130" spans="1:46" x14ac:dyDescent="0.2">
      <c r="A130" s="157">
        <f>'Raw Data'!A130</f>
        <v>34990.18359375</v>
      </c>
      <c r="B130" s="8">
        <f>'Raw Data'!E130</f>
        <v>0.99965016669913309</v>
      </c>
      <c r="C130" s="8">
        <f t="shared" si="1"/>
        <v>3.4983330086690856E-4</v>
      </c>
      <c r="D130" s="80">
        <f t="shared" si="2"/>
        <v>1.0457469793965224E-3</v>
      </c>
      <c r="E130" s="70">
        <f>(2*Table!$AC$16*0.147)/A130</f>
        <v>3.1217406119539745E-3</v>
      </c>
      <c r="F130" s="70">
        <f t="shared" si="3"/>
        <v>6.243481223907949E-3</v>
      </c>
      <c r="G130" s="157">
        <f>IF((('Raw Data'!C130)/('Raw Data'!C$136)*100)&lt;0,0,('Raw Data'!C130)/('Raw Data'!C$136)*100)</f>
        <v>99.965016669913311</v>
      </c>
      <c r="H130" s="157">
        <f t="shared" si="4"/>
        <v>0.10457469793965402</v>
      </c>
      <c r="I130" s="146">
        <f t="shared" si="5"/>
        <v>3.8871529978258046E-2</v>
      </c>
      <c r="J130" s="70">
        <f>'Raw Data'!F130/I130</f>
        <v>2.6902645200264523E-2</v>
      </c>
      <c r="K130" s="138">
        <f t="shared" si="6"/>
        <v>437.21192698102419</v>
      </c>
      <c r="L130" s="157">
        <f>A130*Table!$AC$9/$AC$16</f>
        <v>6592.4759799689018</v>
      </c>
      <c r="M130" s="157">
        <f>A130*Table!$AD$9/$AC$16</f>
        <v>2260.2774788464808</v>
      </c>
      <c r="N130" s="157">
        <f>ABS(A130*Table!$AE$9/$AC$16)</f>
        <v>2854.6258362458907</v>
      </c>
      <c r="O130" s="157">
        <f>($L130*(Table!$AC$10/Table!$AC$9)/(Table!$AC$12-Table!$AC$14))</f>
        <v>14140.875117908416</v>
      </c>
      <c r="P130" s="157">
        <f>$N130*(Table!$AE$10/Table!$AE$9)/(Table!$AC$12-Table!$AC$13)</f>
        <v>23436.993729440805</v>
      </c>
      <c r="Q130" s="157">
        <f>'Raw Data'!C130</f>
        <v>1.5920970820141123</v>
      </c>
      <c r="R130" s="157">
        <f>'Raw Data'!C130/'Raw Data'!I$23*100</f>
        <v>28.182460149333654</v>
      </c>
      <c r="S130" s="95">
        <f t="shared" si="7"/>
        <v>8.4257917899817295E-3</v>
      </c>
      <c r="T130" s="95">
        <f t="shared" si="8"/>
        <v>7.383338385125171E-11</v>
      </c>
      <c r="U130" s="71">
        <f t="shared" si="9"/>
        <v>8.0543904760670213E-4</v>
      </c>
      <c r="V130" s="71">
        <f t="shared" si="10"/>
        <v>2.3392366418845231E-3</v>
      </c>
      <c r="W130" s="71">
        <f t="shared" si="11"/>
        <v>1.0263946147484858E-8</v>
      </c>
      <c r="X130" s="42">
        <f t="shared" si="12"/>
        <v>17.627340275686844</v>
      </c>
      <c r="Z130" s="8"/>
      <c r="AS130" s="150"/>
      <c r="AT130" s="150"/>
    </row>
    <row r="131" spans="1:46" x14ac:dyDescent="0.2">
      <c r="A131" s="157">
        <f>'Raw Data'!A131</f>
        <v>38289.83203125</v>
      </c>
      <c r="B131" s="8">
        <f>'Raw Data'!E131</f>
        <v>0.99965016669913309</v>
      </c>
      <c r="C131" s="8">
        <f t="shared" si="1"/>
        <v>3.4983330086690856E-4</v>
      </c>
      <c r="D131" s="80">
        <f t="shared" si="2"/>
        <v>0</v>
      </c>
      <c r="E131" s="70">
        <f>(2*Table!$AC$16*0.147)/A131</f>
        <v>2.8527228078511148E-3</v>
      </c>
      <c r="F131" s="70">
        <f t="shared" si="3"/>
        <v>5.7054456157022296E-3</v>
      </c>
      <c r="G131" s="157">
        <f>IF((('Raw Data'!C131)/('Raw Data'!C$136)*100)&lt;0,0,('Raw Data'!C131)/('Raw Data'!C$136)*100)</f>
        <v>99.965016669913311</v>
      </c>
      <c r="H131" s="157">
        <f t="shared" si="4"/>
        <v>0</v>
      </c>
      <c r="I131" s="146">
        <f t="shared" si="5"/>
        <v>3.913723996592422E-2</v>
      </c>
      <c r="J131" s="70">
        <f>'Raw Data'!F131/I131</f>
        <v>0</v>
      </c>
      <c r="K131" s="138">
        <f t="shared" si="6"/>
        <v>478.44193790262983</v>
      </c>
      <c r="L131" s="157">
        <f>A131*Table!$AC$9/$AC$16</f>
        <v>7214.1604306456966</v>
      </c>
      <c r="M131" s="157">
        <f>A131*Table!$AD$9/$AC$16</f>
        <v>2473.4264333642391</v>
      </c>
      <c r="N131" s="157">
        <f>ABS(A131*Table!$AE$9/$AC$16)</f>
        <v>3123.8230999578295</v>
      </c>
      <c r="O131" s="157">
        <f>($L131*(Table!$AC$10/Table!$AC$9)/(Table!$AC$12-Table!$AC$14))</f>
        <v>15474.389598124619</v>
      </c>
      <c r="P131" s="157">
        <f>$N131*(Table!$AE$10/Table!$AE$9)/(Table!$AC$12-Table!$AC$13)</f>
        <v>25647.151887995307</v>
      </c>
      <c r="Q131" s="157">
        <f>'Raw Data'!C131</f>
        <v>1.5920970820141123</v>
      </c>
      <c r="R131" s="157">
        <f>'Raw Data'!C131/'Raw Data'!I$23*100</f>
        <v>28.182460149333654</v>
      </c>
      <c r="S131" s="95">
        <f t="shared" si="7"/>
        <v>0</v>
      </c>
      <c r="T131" s="95">
        <f t="shared" si="8"/>
        <v>7.383338385125171E-11</v>
      </c>
      <c r="U131" s="71">
        <f t="shared" si="9"/>
        <v>7.3602987148997472E-4</v>
      </c>
      <c r="V131" s="71">
        <f t="shared" si="10"/>
        <v>2.0085982748680323E-3</v>
      </c>
      <c r="W131" s="71">
        <f t="shared" si="11"/>
        <v>0</v>
      </c>
      <c r="X131" s="42">
        <f t="shared" si="12"/>
        <v>17.627340275686844</v>
      </c>
      <c r="Z131" s="8"/>
      <c r="AS131" s="150"/>
      <c r="AT131" s="150"/>
    </row>
    <row r="132" spans="1:46" x14ac:dyDescent="0.2">
      <c r="A132" s="157">
        <f>'Raw Data'!A132</f>
        <v>41888.546875</v>
      </c>
      <c r="B132" s="8">
        <f>'Raw Data'!E132</f>
        <v>0.99965016669913309</v>
      </c>
      <c r="C132" s="8">
        <f t="shared" si="1"/>
        <v>3.4983330086690856E-4</v>
      </c>
      <c r="D132" s="80">
        <f t="shared" si="2"/>
        <v>0</v>
      </c>
      <c r="E132" s="70">
        <f>(2*Table!$AC$16*0.147)/A132</f>
        <v>2.6076406391057232E-3</v>
      </c>
      <c r="F132" s="70">
        <f t="shared" si="3"/>
        <v>5.2152812782114465E-3</v>
      </c>
      <c r="G132" s="157">
        <f>IF((('Raw Data'!C132)/('Raw Data'!C$136)*100)&lt;0,0,('Raw Data'!C132)/('Raw Data'!C$136)*100)</f>
        <v>99.965016669913311</v>
      </c>
      <c r="H132" s="157">
        <f t="shared" si="4"/>
        <v>0</v>
      </c>
      <c r="I132" s="146">
        <f t="shared" si="5"/>
        <v>3.9011833628563863E-2</v>
      </c>
      <c r="J132" s="70">
        <f>'Raw Data'!F132/I132</f>
        <v>0</v>
      </c>
      <c r="K132" s="138">
        <f t="shared" si="6"/>
        <v>523.40886547748823</v>
      </c>
      <c r="L132" s="157">
        <f>A132*Table!$AC$9/$AC$16</f>
        <v>7892.1917734254212</v>
      </c>
      <c r="M132" s="157">
        <f>A132*Table!$AD$9/$AC$16</f>
        <v>2705.8943223172873</v>
      </c>
      <c r="N132" s="157">
        <f>ABS(A132*Table!$AE$9/$AC$16)</f>
        <v>3417.4192836624884</v>
      </c>
      <c r="O132" s="157">
        <f>($L132*(Table!$AC$10/Table!$AC$9)/(Table!$AC$12-Table!$AC$14))</f>
        <v>16928.768282765814</v>
      </c>
      <c r="P132" s="157">
        <f>$N132*(Table!$AE$10/Table!$AE$9)/(Table!$AC$12-Table!$AC$13)</f>
        <v>28057.629586719933</v>
      </c>
      <c r="Q132" s="157">
        <f>'Raw Data'!C132</f>
        <v>1.5920970820141123</v>
      </c>
      <c r="R132" s="157">
        <f>'Raw Data'!C132/'Raw Data'!I$23*100</f>
        <v>28.182460149333654</v>
      </c>
      <c r="S132" s="95">
        <f t="shared" si="7"/>
        <v>0</v>
      </c>
      <c r="T132" s="95">
        <f t="shared" si="8"/>
        <v>7.383338385125171E-11</v>
      </c>
      <c r="U132" s="71">
        <f t="shared" si="9"/>
        <v>6.7279631908533837E-4</v>
      </c>
      <c r="V132" s="71">
        <f t="shared" si="10"/>
        <v>1.7255361996254244E-3</v>
      </c>
      <c r="W132" s="71">
        <f t="shared" si="11"/>
        <v>0</v>
      </c>
      <c r="X132" s="42">
        <f t="shared" si="12"/>
        <v>17.627340275686844</v>
      </c>
      <c r="Z132" s="8"/>
      <c r="AS132" s="150"/>
      <c r="AT132" s="150"/>
    </row>
    <row r="133" spans="1:46" x14ac:dyDescent="0.2">
      <c r="A133" s="157">
        <f>'Raw Data'!A133</f>
        <v>45782.20703125</v>
      </c>
      <c r="B133" s="8">
        <f>'Raw Data'!E133</f>
        <v>0.99965016669913309</v>
      </c>
      <c r="C133" s="8">
        <f t="shared" si="1"/>
        <v>3.4983330086690856E-4</v>
      </c>
      <c r="D133" s="80">
        <f t="shared" si="2"/>
        <v>0</v>
      </c>
      <c r="E133" s="70">
        <f>(2*Table!$AC$16*0.147)/A133</f>
        <v>2.3858674412480089E-3</v>
      </c>
      <c r="F133" s="70">
        <f t="shared" si="3"/>
        <v>4.7717348824960178E-3</v>
      </c>
      <c r="G133" s="157">
        <f>IF((('Raw Data'!C133)/('Raw Data'!C$136)*100)&lt;0,0,('Raw Data'!C133)/('Raw Data'!C$136)*100)</f>
        <v>99.965016669913311</v>
      </c>
      <c r="H133" s="157">
        <f t="shared" si="4"/>
        <v>0</v>
      </c>
      <c r="I133" s="146">
        <f t="shared" si="5"/>
        <v>3.8601430127201741E-2</v>
      </c>
      <c r="J133" s="70">
        <f>'Raw Data'!F133/I133</f>
        <v>0</v>
      </c>
      <c r="K133" s="138">
        <f t="shared" si="6"/>
        <v>572.06121551052365</v>
      </c>
      <c r="L133" s="157">
        <f>A133*Table!$AC$9/$AC$16</f>
        <v>8625.793555921502</v>
      </c>
      <c r="M133" s="157">
        <f>A133*Table!$AD$9/$AC$16</f>
        <v>2957.4149334588005</v>
      </c>
      <c r="N133" s="157">
        <f>ABS(A133*Table!$AE$9/$AC$16)</f>
        <v>3735.0781736140639</v>
      </c>
      <c r="O133" s="157">
        <f>($L133*(Table!$AC$10/Table!$AC$9)/(Table!$AC$12-Table!$AC$14))</f>
        <v>18502.345679797305</v>
      </c>
      <c r="P133" s="157">
        <f>$N133*(Table!$AE$10/Table!$AE$9)/(Table!$AC$12-Table!$AC$13)</f>
        <v>30665.666450033357</v>
      </c>
      <c r="Q133" s="157">
        <f>'Raw Data'!C133</f>
        <v>1.5920970820141123</v>
      </c>
      <c r="R133" s="157">
        <f>'Raw Data'!C133/'Raw Data'!I$23*100</f>
        <v>28.182460149333654</v>
      </c>
      <c r="S133" s="95">
        <f t="shared" si="7"/>
        <v>0</v>
      </c>
      <c r="T133" s="95">
        <f t="shared" si="8"/>
        <v>7.383338385125171E-11</v>
      </c>
      <c r="U133" s="71">
        <f t="shared" si="9"/>
        <v>6.1557670494340481E-4</v>
      </c>
      <c r="V133" s="71">
        <f t="shared" si="10"/>
        <v>1.4847353759450312E-3</v>
      </c>
      <c r="W133" s="71">
        <f t="shared" si="11"/>
        <v>0</v>
      </c>
      <c r="X133" s="42">
        <f t="shared" si="12"/>
        <v>17.627340275686844</v>
      </c>
      <c r="Z133" s="8"/>
      <c r="AS133" s="150"/>
      <c r="AT133" s="150"/>
    </row>
    <row r="134" spans="1:46" x14ac:dyDescent="0.2">
      <c r="A134" s="157">
        <f>'Raw Data'!A134</f>
        <v>50080.359375</v>
      </c>
      <c r="B134" s="8">
        <f>'Raw Data'!E134</f>
        <v>0.99973100669356352</v>
      </c>
      <c r="C134" s="8">
        <f t="shared" si="1"/>
        <v>2.6899330643648245E-4</v>
      </c>
      <c r="D134" s="80">
        <f t="shared" si="2"/>
        <v>8.083999443042611E-5</v>
      </c>
      <c r="E134" s="70">
        <f>(2*Table!$AC$16*0.147)/A134</f>
        <v>2.1811001060599929E-3</v>
      </c>
      <c r="F134" s="70">
        <f t="shared" si="3"/>
        <v>4.3622002121199857E-3</v>
      </c>
      <c r="G134" s="157">
        <f>IF((('Raw Data'!C134)/('Raw Data'!C$136)*100)&lt;0,0,('Raw Data'!C134)/('Raw Data'!C$136)*100)</f>
        <v>99.973100669356356</v>
      </c>
      <c r="H134" s="157">
        <f t="shared" si="4"/>
        <v>8.0839994430448314E-3</v>
      </c>
      <c r="I134" s="146">
        <f t="shared" si="5"/>
        <v>3.8970711739464647E-2</v>
      </c>
      <c r="J134" s="70">
        <f>'Raw Data'!F134/I134</f>
        <v>2.0743781886991175E-3</v>
      </c>
      <c r="K134" s="138">
        <f t="shared" si="6"/>
        <v>625.76780620713851</v>
      </c>
      <c r="L134" s="157">
        <f>A134*Table!$AC$9/$AC$16</f>
        <v>9435.6054281141423</v>
      </c>
      <c r="M134" s="157">
        <f>A134*Table!$AD$9/$AC$16</f>
        <v>3235.0647182105631</v>
      </c>
      <c r="N134" s="157">
        <f>ABS(A134*Table!$AE$9/$AC$16)</f>
        <v>4085.7370004165959</v>
      </c>
      <c r="O134" s="157">
        <f>($L134*(Table!$AC$10/Table!$AC$9)/(Table!$AC$12-Table!$AC$14))</f>
        <v>20239.393882698721</v>
      </c>
      <c r="P134" s="157">
        <f>$N134*(Table!$AE$10/Table!$AE$9)/(Table!$AC$12-Table!$AC$13)</f>
        <v>33544.638755472864</v>
      </c>
      <c r="Q134" s="157">
        <f>'Raw Data'!C134</f>
        <v>1.5922258321744487</v>
      </c>
      <c r="R134" s="157">
        <f>'Raw Data'!C134/'Raw Data'!I$23*100</f>
        <v>28.18473921654877</v>
      </c>
      <c r="S134" s="95">
        <f t="shared" si="7"/>
        <v>6.5134394341461507E-4</v>
      </c>
      <c r="T134" s="95">
        <f t="shared" si="8"/>
        <v>5.1860737926290312E-11</v>
      </c>
      <c r="U134" s="71">
        <f t="shared" si="9"/>
        <v>5.6279027483613722E-4</v>
      </c>
      <c r="V134" s="71">
        <f t="shared" si="10"/>
        <v>1.275877472548832E-3</v>
      </c>
      <c r="W134" s="71">
        <f t="shared" si="11"/>
        <v>3.8732148646373498E-10</v>
      </c>
      <c r="X134" s="42">
        <f t="shared" si="12"/>
        <v>17.627340276074165</v>
      </c>
      <c r="Z134" s="8"/>
      <c r="AS134" s="150"/>
      <c r="AT134" s="150"/>
    </row>
    <row r="135" spans="1:46" x14ac:dyDescent="0.2">
      <c r="A135" s="157">
        <f>'Raw Data'!A135</f>
        <v>54777.015625</v>
      </c>
      <c r="B135" s="8">
        <f>'Raw Data'!E135</f>
        <v>0.99973100669356352</v>
      </c>
      <c r="C135" s="8">
        <f t="shared" si="1"/>
        <v>2.6899330643648245E-4</v>
      </c>
      <c r="D135" s="80">
        <f t="shared" si="2"/>
        <v>0</v>
      </c>
      <c r="E135" s="70">
        <f>(2*Table!$AC$16*0.147)/A135</f>
        <v>1.9940895994064126E-3</v>
      </c>
      <c r="F135" s="70">
        <f t="shared" si="3"/>
        <v>3.9881791988128253E-3</v>
      </c>
      <c r="G135" s="157">
        <f>IF((('Raw Data'!C135)/('Raw Data'!C$136)*100)&lt;0,0,('Raw Data'!C135)/('Raw Data'!C$136)*100)</f>
        <v>99.973100669356356</v>
      </c>
      <c r="H135" s="157">
        <f t="shared" si="4"/>
        <v>0</v>
      </c>
      <c r="I135" s="146">
        <f t="shared" si="5"/>
        <v>3.8930930526044349E-2</v>
      </c>
      <c r="J135" s="70">
        <f>'Raw Data'!F135/I135</f>
        <v>0</v>
      </c>
      <c r="K135" s="138">
        <f t="shared" si="6"/>
        <v>684.45381235306684</v>
      </c>
      <c r="L135" s="157">
        <f>A135*Table!$AC$9/$AC$16</f>
        <v>10320.499142127876</v>
      </c>
      <c r="M135" s="157">
        <f>A135*Table!$AD$9/$AC$16</f>
        <v>3538.4568487295574</v>
      </c>
      <c r="N135" s="157">
        <f>ABS(A135*Table!$AE$9/$AC$16)</f>
        <v>4468.9072184091237</v>
      </c>
      <c r="O135" s="157">
        <f>($L135*(Table!$AC$10/Table!$AC$9)/(Table!$AC$12-Table!$AC$14))</f>
        <v>22137.492797357092</v>
      </c>
      <c r="P135" s="157">
        <f>$N135*(Table!$AE$10/Table!$AE$9)/(Table!$AC$12-Table!$AC$13)</f>
        <v>36690.535454918907</v>
      </c>
      <c r="Q135" s="157">
        <f>'Raw Data'!C135</f>
        <v>1.5922258321744487</v>
      </c>
      <c r="R135" s="157">
        <f>'Raw Data'!C135/'Raw Data'!I$23*100</f>
        <v>28.18473921654877</v>
      </c>
      <c r="S135" s="95">
        <f t="shared" si="7"/>
        <v>0</v>
      </c>
      <c r="T135" s="95">
        <f t="shared" si="8"/>
        <v>5.1860737926290312E-11</v>
      </c>
      <c r="U135" s="71">
        <f t="shared" si="9"/>
        <v>5.1453586682231325E-4</v>
      </c>
      <c r="V135" s="71">
        <f t="shared" si="10"/>
        <v>1.0964195377525245E-3</v>
      </c>
      <c r="W135" s="71">
        <f t="shared" si="11"/>
        <v>0</v>
      </c>
      <c r="X135" s="42">
        <f t="shared" si="12"/>
        <v>17.627340276074165</v>
      </c>
      <c r="AS135" s="150"/>
      <c r="AT135" s="150"/>
    </row>
    <row r="136" spans="1:46" x14ac:dyDescent="0.2">
      <c r="A136" s="157">
        <f>'Raw Data'!A136</f>
        <v>59463.12890625</v>
      </c>
      <c r="B136" s="8">
        <f>'Raw Data'!E136</f>
        <v>1</v>
      </c>
      <c r="C136" s="8">
        <f t="shared" si="1"/>
        <v>0</v>
      </c>
      <c r="D136" s="80">
        <f t="shared" si="2"/>
        <v>2.6899330643648245E-4</v>
      </c>
      <c r="E136" s="70">
        <f>(2*Table!$AC$16*0.147)/A136</f>
        <v>1.8369412971279782E-3</v>
      </c>
      <c r="F136" s="70">
        <f t="shared" si="3"/>
        <v>3.6738825942559564E-3</v>
      </c>
      <c r="G136" s="157">
        <f>IF((('Raw Data'!C136)/('Raw Data'!C$136)*100)&lt;0,0,('Raw Data'!C136)/('Raw Data'!C$136)*100)</f>
        <v>100</v>
      </c>
      <c r="H136" s="157">
        <f t="shared" si="4"/>
        <v>2.6899330643644248E-2</v>
      </c>
      <c r="I136" s="146">
        <f t="shared" si="5"/>
        <v>3.564939050501037E-2</v>
      </c>
      <c r="J136" s="70">
        <f>'Raw Data'!F136/I136</f>
        <v>7.5455232929908462E-3</v>
      </c>
      <c r="K136" s="138">
        <f t="shared" si="6"/>
        <v>743.00808121699617</v>
      </c>
      <c r="L136" s="157">
        <f>A136*Table!$AC$9/$AC$16</f>
        <v>11203.406462784862</v>
      </c>
      <c r="M136" s="157">
        <f>A136*Table!$AD$9/$AC$16</f>
        <v>3841.1679300976671</v>
      </c>
      <c r="N136" s="157">
        <f>ABS(A136*Table!$AE$9/$AC$16)</f>
        <v>4851.2173028472253</v>
      </c>
      <c r="O136" s="157">
        <f>($L136*(Table!$AC$10/Table!$AC$9)/(Table!$AC$12-Table!$AC$14))</f>
        <v>24031.330894004426</v>
      </c>
      <c r="P136" s="157">
        <f>$N136*(Table!$AE$10/Table!$AE$9)/(Table!$AC$12-Table!$AC$13)</f>
        <v>39829.370302522366</v>
      </c>
      <c r="Q136" s="157">
        <f>'Raw Data'!C136</f>
        <v>1.5926542455059574</v>
      </c>
      <c r="R136" s="157">
        <f>'Raw Data'!C136/'Raw Data'!I$23*100</f>
        <v>28.192322762664823</v>
      </c>
      <c r="S136" s="95">
        <f t="shared" si="7"/>
        <v>2.1673326699355997E-3</v>
      </c>
      <c r="T136" s="95">
        <f t="shared" si="8"/>
        <v>0</v>
      </c>
      <c r="U136" s="71">
        <f t="shared" si="9"/>
        <v>4.7411435087973665E-4</v>
      </c>
      <c r="V136" s="71">
        <f t="shared" si="10"/>
        <v>9.5475341322482277E-4</v>
      </c>
      <c r="W136" s="71">
        <f t="shared" si="11"/>
        <v>9.1416827625648169E-10</v>
      </c>
      <c r="X136" s="42">
        <f t="shared" si="12"/>
        <v>17.627340276988331</v>
      </c>
      <c r="AS136" s="150"/>
      <c r="AT136" s="150"/>
    </row>
    <row r="137" spans="1:46" x14ac:dyDescent="0.2">
      <c r="A137" s="157"/>
      <c r="B137" s="8"/>
      <c r="C137" s="8"/>
      <c r="D137" s="88"/>
      <c r="E137" s="88"/>
      <c r="F137" s="88"/>
      <c r="G137" s="88"/>
      <c r="H137" s="88"/>
      <c r="I137" s="88"/>
      <c r="J137" s="70"/>
      <c r="K137" s="129"/>
      <c r="L137" s="157"/>
      <c r="M137" s="157"/>
      <c r="N137" s="157"/>
      <c r="O137" s="157"/>
      <c r="P137" s="157"/>
      <c r="Q137" s="157"/>
      <c r="AS137" s="150"/>
      <c r="AT137" s="150"/>
    </row>
    <row r="138" spans="1:46" x14ac:dyDescent="0.2">
      <c r="A138" s="157"/>
      <c r="B138" s="8"/>
      <c r="C138" s="8"/>
      <c r="D138" s="88"/>
      <c r="E138" s="88"/>
      <c r="F138" s="88"/>
      <c r="G138" s="88"/>
      <c r="H138" s="88"/>
      <c r="I138" s="88"/>
      <c r="J138" s="70"/>
      <c r="K138" s="129"/>
      <c r="L138" s="157"/>
      <c r="M138" s="157"/>
      <c r="N138" s="157"/>
      <c r="O138" s="157"/>
      <c r="P138" s="157"/>
      <c r="Q138" s="157"/>
      <c r="AS138" s="150"/>
      <c r="AT138" s="150"/>
    </row>
    <row r="139" spans="1:46" x14ac:dyDescent="0.2">
      <c r="A139" s="157"/>
      <c r="B139" s="8"/>
      <c r="C139" s="8"/>
      <c r="D139" s="88"/>
      <c r="E139" s="88"/>
      <c r="F139" s="88"/>
      <c r="G139" s="88"/>
      <c r="H139" s="88"/>
      <c r="I139" s="88"/>
      <c r="J139" s="70"/>
      <c r="K139" s="129"/>
      <c r="L139" s="157"/>
      <c r="M139" s="157"/>
      <c r="N139" s="157"/>
      <c r="O139" s="157"/>
      <c r="P139" s="157"/>
      <c r="Q139" s="157"/>
      <c r="AS139" s="150"/>
      <c r="AT139" s="150"/>
    </row>
    <row r="140" spans="1:46" x14ac:dyDescent="0.2">
      <c r="A140" s="157"/>
      <c r="B140" s="8"/>
      <c r="C140" s="8"/>
      <c r="D140" s="88"/>
      <c r="E140" s="88"/>
      <c r="F140" s="88"/>
      <c r="G140" s="88"/>
      <c r="H140" s="88"/>
      <c r="I140" s="88"/>
      <c r="J140" s="70"/>
      <c r="K140" s="129"/>
      <c r="L140" s="157"/>
      <c r="M140" s="157"/>
      <c r="N140" s="157"/>
      <c r="O140" s="157"/>
      <c r="P140" s="157"/>
      <c r="Q140" s="157"/>
      <c r="AS140" s="150"/>
      <c r="AT140" s="150"/>
    </row>
    <row r="141" spans="1:46" x14ac:dyDescent="0.2">
      <c r="A141" s="157"/>
      <c r="B141" s="8"/>
      <c r="C141" s="8"/>
      <c r="D141" s="88"/>
      <c r="E141" s="88"/>
      <c r="F141" s="88"/>
      <c r="G141" s="88"/>
      <c r="H141" s="88"/>
      <c r="I141" s="88"/>
      <c r="J141" s="70"/>
      <c r="K141" s="129"/>
      <c r="L141" s="157"/>
      <c r="M141" s="157"/>
      <c r="N141" s="157"/>
      <c r="O141" s="157"/>
      <c r="P141" s="157"/>
      <c r="Q141" s="157"/>
      <c r="AS141" s="150"/>
      <c r="AT141" s="150"/>
    </row>
    <row r="142" spans="1:46" x14ac:dyDescent="0.2">
      <c r="A142" s="157"/>
      <c r="B142" s="8"/>
      <c r="C142" s="8"/>
      <c r="D142" s="88"/>
      <c r="E142" s="88"/>
      <c r="F142" s="88"/>
      <c r="G142" s="88"/>
      <c r="H142" s="88"/>
      <c r="I142" s="88"/>
      <c r="J142" s="70"/>
      <c r="K142" s="129"/>
      <c r="L142" s="157"/>
      <c r="M142" s="157"/>
      <c r="N142" s="157"/>
      <c r="O142" s="157"/>
      <c r="P142" s="157"/>
      <c r="Q142" s="157"/>
      <c r="AS142" s="150"/>
      <c r="AT142" s="150"/>
    </row>
    <row r="143" spans="1:46" x14ac:dyDescent="0.2">
      <c r="J143" s="70"/>
      <c r="AS143" s="150"/>
      <c r="AT143" s="150"/>
    </row>
    <row r="144" spans="1:46" x14ac:dyDescent="0.2">
      <c r="J144" s="70"/>
      <c r="AS144" s="150"/>
      <c r="AT144" s="150"/>
    </row>
    <row r="145" spans="10:46" x14ac:dyDescent="0.2">
      <c r="J145" s="70"/>
      <c r="AS145" s="150"/>
      <c r="AT145" s="150"/>
    </row>
    <row r="146" spans="10:46" x14ac:dyDescent="0.2">
      <c r="J146" s="70"/>
      <c r="AS146" s="150"/>
      <c r="AT146" s="150"/>
    </row>
    <row r="147" spans="10:46" x14ac:dyDescent="0.2">
      <c r="J147" s="70"/>
      <c r="AS147" s="150"/>
      <c r="AT147" s="150"/>
    </row>
    <row r="148" spans="10:46" x14ac:dyDescent="0.2">
      <c r="J148" s="70"/>
      <c r="AS148" s="150"/>
      <c r="AT148" s="150"/>
    </row>
    <row r="149" spans="10:46" x14ac:dyDescent="0.2">
      <c r="J149" s="70"/>
      <c r="AS149" s="150"/>
      <c r="AT149" s="150"/>
    </row>
    <row r="150" spans="10:46" x14ac:dyDescent="0.2">
      <c r="J150" s="70"/>
      <c r="AS150" s="150"/>
      <c r="AT150" s="150"/>
    </row>
    <row r="151" spans="10:46" x14ac:dyDescent="0.2">
      <c r="J151" s="70"/>
      <c r="AS151" s="150"/>
      <c r="AT151" s="150"/>
    </row>
    <row r="152" spans="10:46" x14ac:dyDescent="0.2">
      <c r="J152" s="70"/>
      <c r="AS152" s="150"/>
      <c r="AT152" s="150"/>
    </row>
    <row r="153" spans="10:46" x14ac:dyDescent="0.2">
      <c r="J153" s="70"/>
      <c r="AS153" s="150"/>
      <c r="AT153" s="150"/>
    </row>
    <row r="154" spans="10:46" x14ac:dyDescent="0.2">
      <c r="J154" s="70"/>
      <c r="AS154" s="150"/>
      <c r="AT154" s="150"/>
    </row>
    <row r="155" spans="10:46" x14ac:dyDescent="0.2">
      <c r="J155" s="70"/>
      <c r="AS155" s="150"/>
      <c r="AT155" s="150"/>
    </row>
    <row r="156" spans="10:46" x14ac:dyDescent="0.2">
      <c r="J156" s="70"/>
      <c r="AS156" s="150"/>
      <c r="AT156" s="150"/>
    </row>
    <row r="157" spans="10:46" x14ac:dyDescent="0.2">
      <c r="J157" s="70"/>
      <c r="AS157" s="150"/>
      <c r="AT157" s="150"/>
    </row>
    <row r="158" spans="10:46" x14ac:dyDescent="0.2">
      <c r="J158" s="70"/>
      <c r="AS158" s="150"/>
      <c r="AT158" s="150"/>
    </row>
    <row r="159" spans="10:46" x14ac:dyDescent="0.2">
      <c r="J159" s="70"/>
      <c r="AS159" s="150"/>
      <c r="AT159" s="150"/>
    </row>
    <row r="160" spans="10:46" x14ac:dyDescent="0.2">
      <c r="J160" s="70"/>
      <c r="AS160" s="150"/>
      <c r="AT160" s="150"/>
    </row>
    <row r="161" spans="10:46" x14ac:dyDescent="0.2">
      <c r="J161" s="70"/>
      <c r="AS161" s="150"/>
      <c r="AT161" s="150"/>
    </row>
    <row r="162" spans="10:46" x14ac:dyDescent="0.2">
      <c r="J162" s="70"/>
    </row>
    <row r="163" spans="10:46" x14ac:dyDescent="0.2">
      <c r="J163" s="70"/>
    </row>
    <row r="164" spans="10:46" x14ac:dyDescent="0.2">
      <c r="J164" s="70"/>
    </row>
    <row r="165" spans="10:46" x14ac:dyDescent="0.2">
      <c r="J165" s="70"/>
    </row>
    <row r="166" spans="10:46" x14ac:dyDescent="0.2">
      <c r="J166" s="70"/>
    </row>
    <row r="167" spans="10:46" x14ac:dyDescent="0.2">
      <c r="J167" s="70"/>
    </row>
    <row r="168" spans="10:46" x14ac:dyDescent="0.2">
      <c r="J168" s="70"/>
    </row>
    <row r="169" spans="10:46" x14ac:dyDescent="0.2">
      <c r="J169" s="70"/>
    </row>
    <row r="170" spans="10:46" x14ac:dyDescent="0.2">
      <c r="J170" s="70"/>
    </row>
    <row r="171" spans="10:46" x14ac:dyDescent="0.2">
      <c r="J171" s="70"/>
    </row>
    <row r="172" spans="10:46" x14ac:dyDescent="0.2">
      <c r="J172" s="70"/>
    </row>
    <row r="173" spans="10:46" x14ac:dyDescent="0.2">
      <c r="J173" s="70"/>
    </row>
    <row r="174" spans="10:46" x14ac:dyDescent="0.2">
      <c r="J174" s="70"/>
    </row>
    <row r="175" spans="10:46" x14ac:dyDescent="0.2">
      <c r="J175" s="70"/>
    </row>
    <row r="176" spans="10:46" x14ac:dyDescent="0.2">
      <c r="J176" s="70"/>
    </row>
    <row r="177" spans="10:10" x14ac:dyDescent="0.2">
      <c r="J177" s="70"/>
    </row>
    <row r="178" spans="10:10" x14ac:dyDescent="0.2">
      <c r="J178" s="70"/>
    </row>
    <row r="179" spans="10:10" x14ac:dyDescent="0.2">
      <c r="J179" s="70"/>
    </row>
    <row r="180" spans="10:10" x14ac:dyDescent="0.2">
      <c r="J180" s="70"/>
    </row>
    <row r="181" spans="10:10" x14ac:dyDescent="0.2">
      <c r="J181" s="70"/>
    </row>
    <row r="182" spans="10:10" x14ac:dyDescent="0.2">
      <c r="J182" s="70"/>
    </row>
    <row r="183" spans="10:10" x14ac:dyDescent="0.2">
      <c r="J183" s="70"/>
    </row>
    <row r="184" spans="10:10" x14ac:dyDescent="0.2">
      <c r="J184" s="70"/>
    </row>
    <row r="185" spans="10:10" x14ac:dyDescent="0.2">
      <c r="J185" s="70"/>
    </row>
    <row r="186" spans="10:10" x14ac:dyDescent="0.2">
      <c r="J186" s="70"/>
    </row>
    <row r="187" spans="10:10" x14ac:dyDescent="0.2">
      <c r="J187" s="70"/>
    </row>
    <row r="188" spans="10:10" x14ac:dyDescent="0.2">
      <c r="J188" s="70"/>
    </row>
    <row r="189" spans="10:10" x14ac:dyDescent="0.2">
      <c r="J189" s="70"/>
    </row>
    <row r="190" spans="10:10" x14ac:dyDescent="0.2">
      <c r="J190" s="70"/>
    </row>
  </sheetData>
  <mergeCells count="3">
    <mergeCell ref="AR4:AT4"/>
    <mergeCell ref="AN4:AP4"/>
    <mergeCell ref="A5:P5"/>
  </mergeCells>
  <printOptions horizontalCentered="1"/>
  <pageMargins left="0.5" right="0.5" top="0.1" bottom="0.25" header="0" footer="0"/>
  <pageSetup scale="3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Data</vt:lpstr>
      <vt:lpstr>Compilation</vt:lpstr>
      <vt:lpstr>Compilation 2</vt:lpstr>
      <vt:lpstr>Table</vt:lpstr>
      <vt:lpstr>Compilation!Print_Area</vt:lpstr>
      <vt:lpstr>'Compilation 2'!Print_Area</vt:lpstr>
      <vt:lpstr>'Raw Data'!Print_Area</vt:lpstr>
      <vt:lpstr>Table!Print_Area</vt:lpstr>
      <vt:lpstr>'Raw Data'!Print_Titles</vt:lpstr>
      <vt:lpstr>Table!Print_Titles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Kristi D</dc:creator>
  <cp:lastModifiedBy>Morris, Kristi D</cp:lastModifiedBy>
  <dcterms:created xsi:type="dcterms:W3CDTF">2016-03-31T19:39:17Z</dcterms:created>
  <dcterms:modified xsi:type="dcterms:W3CDTF">2016-04-04T20:24:19Z</dcterms:modified>
</cp:coreProperties>
</file>