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600" yWindow="120" windowWidth="11400" windowHeight="10005" tabRatio="835"/>
  </bookViews>
  <sheets>
    <sheet name="Raw Data" sheetId="3" r:id="rId1"/>
    <sheet name="Compilation" sheetId="4" r:id="rId2"/>
    <sheet name="Compilation 2" sheetId="5" r:id="rId3"/>
    <sheet name="Table" sheetId="6" r:id="rId4"/>
  </sheets>
  <definedNames>
    <definedName name="_xlnm.Print_Area" localSheetId="1">Compilation!$A$1:$O$44</definedName>
    <definedName name="_xlnm.Print_Area" localSheetId="2">'Compilation 2'!$A$1:$O$54</definedName>
    <definedName name="_xlnm.Print_Area" localSheetId="0">'Raw Data'!$A$1:$M$162</definedName>
    <definedName name="_xlnm.Print_Area" localSheetId="3">Table!$A$1:$X$138</definedName>
    <definedName name="_xlnm.Print_Titles" localSheetId="0">'Raw Data'!$1:$17</definedName>
    <definedName name="_xlnm.Print_Titles" localSheetId="3">Table!$1:$16</definedName>
  </definedNames>
  <calcPr calcId="145621"/>
</workbook>
</file>

<file path=xl/calcChain.xml><?xml version="1.0" encoding="utf-8"?>
<calcChain xmlns="http://schemas.openxmlformats.org/spreadsheetml/2006/main">
  <c r="A130" i="6" l="1"/>
  <c r="A65" i="6"/>
  <c r="A53" i="6"/>
  <c r="M53" i="6" s="1"/>
  <c r="A48" i="6"/>
  <c r="A40" i="6"/>
  <c r="L40" i="6" s="1"/>
  <c r="O40" i="6" s="1"/>
  <c r="A28" i="6"/>
  <c r="A18" i="6"/>
  <c r="M18" i="6" s="1"/>
  <c r="AC16" i="6"/>
  <c r="AE10" i="6"/>
  <c r="AC10" i="6"/>
  <c r="AE9" i="6"/>
  <c r="AD9" i="6"/>
  <c r="AC9" i="6"/>
  <c r="I8" i="3"/>
  <c r="C2" i="5"/>
  <c r="K6" i="5"/>
  <c r="K5" i="5"/>
  <c r="K4" i="5"/>
  <c r="K2" i="5"/>
  <c r="K6" i="4"/>
  <c r="K5" i="4"/>
  <c r="K4" i="4"/>
  <c r="K2" i="4"/>
  <c r="A55" i="6"/>
  <c r="I11" i="3"/>
  <c r="I10" i="3"/>
  <c r="I9" i="3"/>
  <c r="I7" i="3"/>
  <c r="A19" i="6"/>
  <c r="L53" i="6" l="1"/>
  <c r="O53" i="6" s="1"/>
  <c r="K3" i="5"/>
  <c r="O3" i="5"/>
  <c r="O3" i="4"/>
  <c r="M8" i="3"/>
  <c r="A7" i="3"/>
  <c r="C5" i="5"/>
  <c r="C5" i="4"/>
  <c r="A10" i="3"/>
  <c r="C3" i="4"/>
  <c r="A8" i="3"/>
  <c r="A120" i="6"/>
  <c r="A67" i="6"/>
  <c r="A131" i="6"/>
  <c r="A41" i="6"/>
  <c r="A129" i="6"/>
  <c r="E129" i="6" s="1"/>
  <c r="A108" i="6"/>
  <c r="A126" i="6"/>
  <c r="A88" i="6"/>
  <c r="E88" i="6" s="1"/>
  <c r="N48" i="6"/>
  <c r="P48" i="6" s="1"/>
  <c r="M48" i="6"/>
  <c r="L48" i="6"/>
  <c r="O48" i="6" s="1"/>
  <c r="E48" i="6"/>
  <c r="N65" i="6"/>
  <c r="P65" i="6" s="1"/>
  <c r="L65" i="6"/>
  <c r="O65" i="6" s="1"/>
  <c r="M65" i="6"/>
  <c r="A136" i="6"/>
  <c r="A38" i="6"/>
  <c r="A51" i="6"/>
  <c r="A70" i="6"/>
  <c r="E70" i="6" s="1"/>
  <c r="A107" i="6"/>
  <c r="A25" i="6"/>
  <c r="A87" i="6"/>
  <c r="A73" i="6"/>
  <c r="E73" i="6" s="1"/>
  <c r="A74" i="6"/>
  <c r="E74" i="6" s="1"/>
  <c r="A62" i="6"/>
  <c r="A22" i="6"/>
  <c r="A34" i="6"/>
  <c r="A80" i="6"/>
  <c r="A115" i="6"/>
  <c r="A46" i="6"/>
  <c r="E46" i="6" s="1"/>
  <c r="A128" i="6"/>
  <c r="E62" i="6"/>
  <c r="A31" i="6"/>
  <c r="A56" i="6"/>
  <c r="A112" i="6"/>
  <c r="E112" i="6" s="1"/>
  <c r="A116" i="6"/>
  <c r="A33" i="6"/>
  <c r="E33" i="6" s="1"/>
  <c r="A43" i="6"/>
  <c r="E43" i="6" s="1"/>
  <c r="A94" i="6"/>
  <c r="E94" i="6" s="1"/>
  <c r="N28" i="6"/>
  <c r="P28" i="6" s="1"/>
  <c r="M28" i="6"/>
  <c r="L28" i="6"/>
  <c r="O28" i="6" s="1"/>
  <c r="A52" i="6"/>
  <c r="A64" i="6"/>
  <c r="A30" i="6"/>
  <c r="A20" i="6"/>
  <c r="A63" i="6"/>
  <c r="E63" i="6" s="1"/>
  <c r="A75" i="6"/>
  <c r="E75" i="6" s="1"/>
  <c r="A32" i="6"/>
  <c r="A92" i="6"/>
  <c r="A118" i="6"/>
  <c r="E118" i="6" s="1"/>
  <c r="A124" i="6"/>
  <c r="E124" i="6" s="1"/>
  <c r="A58" i="6"/>
  <c r="A24" i="6"/>
  <c r="A105" i="6"/>
  <c r="E105" i="6" s="1"/>
  <c r="A54" i="6"/>
  <c r="E54" i="6" s="1"/>
  <c r="A60" i="6"/>
  <c r="A71" i="6"/>
  <c r="A100" i="6"/>
  <c r="A102" i="6"/>
  <c r="A113" i="6"/>
  <c r="E113" i="6" s="1"/>
  <c r="L55" i="6"/>
  <c r="O55" i="6" s="1"/>
  <c r="N55" i="6"/>
  <c r="P55" i="6" s="1"/>
  <c r="M55" i="6"/>
  <c r="A72" i="6"/>
  <c r="E72" i="6" s="1"/>
  <c r="A96" i="6"/>
  <c r="A99" i="6"/>
  <c r="C2" i="4"/>
  <c r="A44" i="6"/>
  <c r="A49" i="6"/>
  <c r="A27" i="6"/>
  <c r="A47" i="6"/>
  <c r="A76" i="6"/>
  <c r="A89" i="6"/>
  <c r="A91" i="6"/>
  <c r="A39" i="6"/>
  <c r="A111" i="6"/>
  <c r="A119" i="6"/>
  <c r="E119" i="6" s="1"/>
  <c r="E22" i="6"/>
  <c r="A26" i="6"/>
  <c r="E26" i="6" s="1"/>
  <c r="A57" i="6"/>
  <c r="M130" i="6"/>
  <c r="L130" i="6"/>
  <c r="O130" i="6" s="1"/>
  <c r="N130" i="6"/>
  <c r="P130" i="6" s="1"/>
  <c r="A83" i="6"/>
  <c r="N18" i="6"/>
  <c r="P18" i="6" s="1"/>
  <c r="L18" i="6"/>
  <c r="O18" i="6" s="1"/>
  <c r="N19" i="6"/>
  <c r="P19" i="6" s="1"/>
  <c r="M19" i="6"/>
  <c r="A50" i="6"/>
  <c r="E50" i="6" s="1"/>
  <c r="A68" i="6"/>
  <c r="A81" i="6"/>
  <c r="A132" i="6"/>
  <c r="E132" i="6" s="1"/>
  <c r="A78" i="6"/>
  <c r="A95" i="6"/>
  <c r="E95" i="6" s="1"/>
  <c r="A103" i="6"/>
  <c r="E103" i="6" s="1"/>
  <c r="A35" i="6"/>
  <c r="E35" i="6" s="1"/>
  <c r="N40" i="6"/>
  <c r="P40" i="6" s="1"/>
  <c r="M40" i="6"/>
  <c r="A37" i="6"/>
  <c r="A59" i="6"/>
  <c r="A79" i="6"/>
  <c r="E79" i="6" s="1"/>
  <c r="A110" i="6"/>
  <c r="E110" i="6" s="1"/>
  <c r="A123" i="6"/>
  <c r="A66" i="6"/>
  <c r="A104" i="6"/>
  <c r="E104" i="6" s="1"/>
  <c r="K3" i="4"/>
  <c r="A36" i="6"/>
  <c r="E36" i="6" s="1"/>
  <c r="E40" i="6"/>
  <c r="E55" i="6"/>
  <c r="A121" i="6"/>
  <c r="A84" i="6"/>
  <c r="E84" i="6" s="1"/>
  <c r="A86" i="6"/>
  <c r="A97" i="6"/>
  <c r="A21" i="6"/>
  <c r="A127" i="6"/>
  <c r="E127" i="6" s="1"/>
  <c r="A135" i="6"/>
  <c r="C3" i="5"/>
  <c r="C4" i="4"/>
  <c r="A9" i="3"/>
  <c r="C4" i="5"/>
  <c r="E123" i="6"/>
  <c r="E111" i="6"/>
  <c r="E107" i="6"/>
  <c r="E130" i="6"/>
  <c r="E100" i="6"/>
  <c r="E108" i="6"/>
  <c r="E91" i="6"/>
  <c r="E86" i="6"/>
  <c r="E80" i="6"/>
  <c r="E76" i="6"/>
  <c r="E68" i="6"/>
  <c r="E67" i="6"/>
  <c r="E66" i="6"/>
  <c r="E120" i="6"/>
  <c r="E96" i="6"/>
  <c r="E65" i="6"/>
  <c r="E53" i="6"/>
  <c r="E135" i="6"/>
  <c r="E49" i="6"/>
  <c r="E41" i="6"/>
  <c r="E19" i="6"/>
  <c r="E32" i="6"/>
  <c r="E28" i="6"/>
  <c r="E18" i="6"/>
  <c r="L19" i="6"/>
  <c r="O19" i="6" s="1"/>
  <c r="A29" i="6"/>
  <c r="A42" i="6"/>
  <c r="E42" i="6" s="1"/>
  <c r="N53" i="6"/>
  <c r="P53" i="6" s="1"/>
  <c r="A134" i="6"/>
  <c r="E134" i="6" s="1"/>
  <c r="A69" i="6"/>
  <c r="E69" i="6" s="1"/>
  <c r="A77" i="6"/>
  <c r="E77" i="6" s="1"/>
  <c r="A85" i="6"/>
  <c r="A93" i="6"/>
  <c r="E93" i="6" s="1"/>
  <c r="A101" i="6"/>
  <c r="E101" i="6" s="1"/>
  <c r="A117" i="6"/>
  <c r="E117" i="6" s="1"/>
  <c r="A125" i="6"/>
  <c r="A133" i="6"/>
  <c r="A23" i="6"/>
  <c r="A61" i="6"/>
  <c r="E61" i="6" s="1"/>
  <c r="A109" i="6"/>
  <c r="E109" i="6" s="1"/>
  <c r="A82" i="6"/>
  <c r="E82" i="6" s="1"/>
  <c r="A90" i="6"/>
  <c r="E90" i="6" s="1"/>
  <c r="A106" i="6"/>
  <c r="E106" i="6" s="1"/>
  <c r="A114" i="6"/>
  <c r="E114" i="6" s="1"/>
  <c r="A122" i="6"/>
  <c r="A98" i="6"/>
  <c r="A45" i="6"/>
  <c r="E51" i="6" l="1"/>
  <c r="O2" i="4"/>
  <c r="M7" i="3"/>
  <c r="O2" i="5"/>
  <c r="F77" i="6"/>
  <c r="I51" i="6"/>
  <c r="F50" i="6"/>
  <c r="I120" i="6"/>
  <c r="F119" i="6"/>
  <c r="I107" i="6"/>
  <c r="F106" i="6"/>
  <c r="F103" i="6"/>
  <c r="I104" i="6"/>
  <c r="F72" i="6"/>
  <c r="I73" i="6"/>
  <c r="F118" i="6"/>
  <c r="I119" i="6"/>
  <c r="F43" i="6"/>
  <c r="F46" i="6"/>
  <c r="F36" i="6"/>
  <c r="I111" i="6"/>
  <c r="F110" i="6"/>
  <c r="F33" i="6"/>
  <c r="F51" i="6"/>
  <c r="I94" i="6"/>
  <c r="F93" i="6"/>
  <c r="I70" i="6"/>
  <c r="F69" i="6"/>
  <c r="M23" i="6"/>
  <c r="N23" i="6"/>
  <c r="P23" i="6" s="1"/>
  <c r="L23" i="6"/>
  <c r="O23" i="6" s="1"/>
  <c r="F42" i="6"/>
  <c r="AN23" i="6"/>
  <c r="I43" i="6"/>
  <c r="I67" i="6"/>
  <c r="F66" i="6"/>
  <c r="I91" i="6"/>
  <c r="F90" i="6"/>
  <c r="I108" i="6"/>
  <c r="AN13" i="6"/>
  <c r="F107" i="6"/>
  <c r="N121" i="6"/>
  <c r="P121" i="6" s="1"/>
  <c r="M121" i="6"/>
  <c r="L121" i="6"/>
  <c r="O121" i="6" s="1"/>
  <c r="M83" i="6"/>
  <c r="N83" i="6"/>
  <c r="P83" i="6" s="1"/>
  <c r="L83" i="6"/>
  <c r="O83" i="6" s="1"/>
  <c r="N57" i="6"/>
  <c r="P57" i="6" s="1"/>
  <c r="M57" i="6"/>
  <c r="L57" i="6"/>
  <c r="O57" i="6" s="1"/>
  <c r="M99" i="6"/>
  <c r="L99" i="6"/>
  <c r="O99" i="6" s="1"/>
  <c r="N99" i="6"/>
  <c r="P99" i="6" s="1"/>
  <c r="E99" i="6"/>
  <c r="N20" i="6"/>
  <c r="P20" i="6" s="1"/>
  <c r="M20" i="6"/>
  <c r="E20" i="6"/>
  <c r="I20" i="6" s="1"/>
  <c r="L20" i="6"/>
  <c r="O20" i="6" s="1"/>
  <c r="N45" i="6"/>
  <c r="P45" i="6" s="1"/>
  <c r="L45" i="6"/>
  <c r="O45" i="6" s="1"/>
  <c r="M45" i="6"/>
  <c r="L133" i="6"/>
  <c r="O133" i="6" s="1"/>
  <c r="N133" i="6"/>
  <c r="P133" i="6" s="1"/>
  <c r="M133" i="6"/>
  <c r="M85" i="6"/>
  <c r="N85" i="6"/>
  <c r="P85" i="6" s="1"/>
  <c r="L85" i="6"/>
  <c r="O85" i="6" s="1"/>
  <c r="F26" i="6"/>
  <c r="F135" i="6"/>
  <c r="AN8" i="6"/>
  <c r="F124" i="6"/>
  <c r="F67" i="6"/>
  <c r="I68" i="6"/>
  <c r="F75" i="6"/>
  <c r="I76" i="6"/>
  <c r="E83" i="6"/>
  <c r="F91" i="6"/>
  <c r="AN16" i="6"/>
  <c r="F113" i="6"/>
  <c r="I114" i="6"/>
  <c r="F111" i="6"/>
  <c r="I112" i="6"/>
  <c r="AN21" i="6"/>
  <c r="F55" i="6"/>
  <c r="N39" i="6"/>
  <c r="P39" i="6" s="1"/>
  <c r="M39" i="6"/>
  <c r="L39" i="6"/>
  <c r="O39" i="6" s="1"/>
  <c r="N47" i="6"/>
  <c r="P47" i="6" s="1"/>
  <c r="M47" i="6"/>
  <c r="L47" i="6"/>
  <c r="O47" i="6" s="1"/>
  <c r="E47" i="6"/>
  <c r="M71" i="6"/>
  <c r="N71" i="6"/>
  <c r="P71" i="6" s="1"/>
  <c r="L71" i="6"/>
  <c r="O71" i="6" s="1"/>
  <c r="M92" i="6"/>
  <c r="N92" i="6"/>
  <c r="P92" i="6" s="1"/>
  <c r="L92" i="6"/>
  <c r="O92" i="6" s="1"/>
  <c r="M56" i="6"/>
  <c r="L56" i="6"/>
  <c r="O56" i="6" s="1"/>
  <c r="N56" i="6"/>
  <c r="P56" i="6" s="1"/>
  <c r="M115" i="6"/>
  <c r="N115" i="6"/>
  <c r="P115" i="6" s="1"/>
  <c r="L115" i="6"/>
  <c r="O115" i="6" s="1"/>
  <c r="M126" i="6"/>
  <c r="N126" i="6"/>
  <c r="P126" i="6" s="1"/>
  <c r="L126" i="6"/>
  <c r="O126" i="6" s="1"/>
  <c r="M131" i="6"/>
  <c r="N131" i="6"/>
  <c r="P131" i="6" s="1"/>
  <c r="L131" i="6"/>
  <c r="O131" i="6" s="1"/>
  <c r="M90" i="6"/>
  <c r="L90" i="6"/>
  <c r="O90" i="6" s="1"/>
  <c r="N90" i="6"/>
  <c r="P90" i="6" s="1"/>
  <c r="F35" i="6"/>
  <c r="I36" i="6"/>
  <c r="F19" i="6"/>
  <c r="F53" i="6"/>
  <c r="I54" i="6"/>
  <c r="F96" i="6"/>
  <c r="F68" i="6"/>
  <c r="AN19" i="6"/>
  <c r="I69" i="6"/>
  <c r="F76" i="6"/>
  <c r="I77" i="6"/>
  <c r="F84" i="6"/>
  <c r="E92" i="6"/>
  <c r="I92" i="6" s="1"/>
  <c r="I118" i="6"/>
  <c r="F117" i="6"/>
  <c r="AN12" i="6"/>
  <c r="F114" i="6"/>
  <c r="E115" i="6"/>
  <c r="M97" i="6"/>
  <c r="N97" i="6"/>
  <c r="P97" i="6" s="1"/>
  <c r="L97" i="6"/>
  <c r="O97" i="6" s="1"/>
  <c r="E97" i="6"/>
  <c r="E45" i="6"/>
  <c r="M123" i="6"/>
  <c r="N123" i="6"/>
  <c r="P123" i="6" s="1"/>
  <c r="L123" i="6"/>
  <c r="O123" i="6" s="1"/>
  <c r="N37" i="6"/>
  <c r="P37" i="6" s="1"/>
  <c r="L37" i="6"/>
  <c r="O37" i="6" s="1"/>
  <c r="M37" i="6"/>
  <c r="E37" i="6"/>
  <c r="E39" i="6"/>
  <c r="L96" i="6"/>
  <c r="O96" i="6" s="1"/>
  <c r="N96" i="6"/>
  <c r="P96" i="6" s="1"/>
  <c r="M96" i="6"/>
  <c r="N30" i="6"/>
  <c r="P30" i="6" s="1"/>
  <c r="L30" i="6"/>
  <c r="O30" i="6" s="1"/>
  <c r="M30" i="6"/>
  <c r="E30" i="6"/>
  <c r="N31" i="6"/>
  <c r="P31" i="6" s="1"/>
  <c r="L31" i="6"/>
  <c r="O31" i="6" s="1"/>
  <c r="M31" i="6"/>
  <c r="E31" i="6"/>
  <c r="N62" i="6"/>
  <c r="P62" i="6" s="1"/>
  <c r="M62" i="6"/>
  <c r="L62" i="6"/>
  <c r="O62" i="6" s="1"/>
  <c r="M25" i="6"/>
  <c r="L25" i="6"/>
  <c r="O25" i="6" s="1"/>
  <c r="N25" i="6"/>
  <c r="P25" i="6" s="1"/>
  <c r="N38" i="6"/>
  <c r="P38" i="6" s="1"/>
  <c r="M38" i="6"/>
  <c r="L38" i="6"/>
  <c r="O38" i="6" s="1"/>
  <c r="E38" i="6"/>
  <c r="F48" i="6"/>
  <c r="I49" i="6"/>
  <c r="N98" i="6"/>
  <c r="P98" i="6" s="1"/>
  <c r="L98" i="6"/>
  <c r="O98" i="6" s="1"/>
  <c r="M98" i="6"/>
  <c r="M101" i="6"/>
  <c r="N101" i="6"/>
  <c r="P101" i="6" s="1"/>
  <c r="L101" i="6"/>
  <c r="O101" i="6" s="1"/>
  <c r="E57" i="6"/>
  <c r="E98" i="6"/>
  <c r="E85" i="6"/>
  <c r="I85" i="6" s="1"/>
  <c r="E121" i="6"/>
  <c r="I121" i="6" s="1"/>
  <c r="F40" i="6"/>
  <c r="I41" i="6"/>
  <c r="N35" i="6"/>
  <c r="P35" i="6" s="1"/>
  <c r="L35" i="6"/>
  <c r="O35" i="6" s="1"/>
  <c r="M35" i="6"/>
  <c r="N132" i="6"/>
  <c r="P132" i="6" s="1"/>
  <c r="M132" i="6"/>
  <c r="L132" i="6"/>
  <c r="O132" i="6" s="1"/>
  <c r="N26" i="6"/>
  <c r="P26" i="6" s="1"/>
  <c r="L26" i="6"/>
  <c r="O26" i="6" s="1"/>
  <c r="M26" i="6"/>
  <c r="M91" i="6"/>
  <c r="N91" i="6"/>
  <c r="P91" i="6" s="1"/>
  <c r="L91" i="6"/>
  <c r="O91" i="6" s="1"/>
  <c r="N49" i="6"/>
  <c r="P49" i="6" s="1"/>
  <c r="M49" i="6"/>
  <c r="L49" i="6"/>
  <c r="O49" i="6" s="1"/>
  <c r="L113" i="6"/>
  <c r="O113" i="6" s="1"/>
  <c r="N113" i="6"/>
  <c r="P113" i="6" s="1"/>
  <c r="M113" i="6"/>
  <c r="N58" i="6"/>
  <c r="P58" i="6" s="1"/>
  <c r="M58" i="6"/>
  <c r="L58" i="6"/>
  <c r="O58" i="6" s="1"/>
  <c r="E58" i="6"/>
  <c r="N32" i="6"/>
  <c r="P32" i="6" s="1"/>
  <c r="M32" i="6"/>
  <c r="L32" i="6"/>
  <c r="O32" i="6" s="1"/>
  <c r="M94" i="6"/>
  <c r="L94" i="6"/>
  <c r="O94" i="6" s="1"/>
  <c r="N94" i="6"/>
  <c r="P94" i="6" s="1"/>
  <c r="M80" i="6"/>
  <c r="N80" i="6"/>
  <c r="P80" i="6" s="1"/>
  <c r="L80" i="6"/>
  <c r="O80" i="6" s="1"/>
  <c r="M108" i="6"/>
  <c r="N108" i="6"/>
  <c r="P108" i="6" s="1"/>
  <c r="L108" i="6"/>
  <c r="O108" i="6" s="1"/>
  <c r="M67" i="6"/>
  <c r="L67" i="6"/>
  <c r="O67" i="6" s="1"/>
  <c r="N67" i="6"/>
  <c r="P67" i="6" s="1"/>
  <c r="F18" i="6"/>
  <c r="AN27" i="6"/>
  <c r="I19" i="6"/>
  <c r="I18" i="6"/>
  <c r="F101" i="6"/>
  <c r="I83" i="6"/>
  <c r="F82" i="6"/>
  <c r="M21" i="6"/>
  <c r="N21" i="6"/>
  <c r="P21" i="6" s="1"/>
  <c r="L21" i="6"/>
  <c r="O21" i="6" s="1"/>
  <c r="L59" i="6"/>
  <c r="O59" i="6" s="1"/>
  <c r="M59" i="6"/>
  <c r="N59" i="6"/>
  <c r="P59" i="6" s="1"/>
  <c r="E59" i="6"/>
  <c r="N50" i="6"/>
  <c r="P50" i="6" s="1"/>
  <c r="M50" i="6"/>
  <c r="L50" i="6"/>
  <c r="O50" i="6" s="1"/>
  <c r="L51" i="6"/>
  <c r="O51" i="6" s="1"/>
  <c r="N51" i="6"/>
  <c r="P51" i="6" s="1"/>
  <c r="M51" i="6"/>
  <c r="M122" i="6"/>
  <c r="N122" i="6"/>
  <c r="P122" i="6" s="1"/>
  <c r="L122" i="6"/>
  <c r="O122" i="6" s="1"/>
  <c r="M125" i="6"/>
  <c r="L125" i="6"/>
  <c r="O125" i="6" s="1"/>
  <c r="N125" i="6"/>
  <c r="P125" i="6" s="1"/>
  <c r="M77" i="6"/>
  <c r="N77" i="6"/>
  <c r="P77" i="6" s="1"/>
  <c r="L77" i="6"/>
  <c r="N42" i="6"/>
  <c r="P42" i="6" s="1"/>
  <c r="M42" i="6"/>
  <c r="L42" i="6"/>
  <c r="O42" i="6" s="1"/>
  <c r="F41" i="6"/>
  <c r="I42" i="6"/>
  <c r="I110" i="6"/>
  <c r="F109" i="6"/>
  <c r="F86" i="6"/>
  <c r="F123" i="6"/>
  <c r="I124" i="6"/>
  <c r="M81" i="6"/>
  <c r="N81" i="6"/>
  <c r="P81" i="6" s="1"/>
  <c r="L81" i="6"/>
  <c r="O81" i="6" s="1"/>
  <c r="N44" i="6"/>
  <c r="P44" i="6" s="1"/>
  <c r="M44" i="6"/>
  <c r="L44" i="6"/>
  <c r="O44" i="6" s="1"/>
  <c r="N64" i="6"/>
  <c r="P64" i="6" s="1"/>
  <c r="L64" i="6"/>
  <c r="O64" i="6" s="1"/>
  <c r="M64" i="6"/>
  <c r="F28" i="6"/>
  <c r="I66" i="6"/>
  <c r="F65" i="6"/>
  <c r="E71" i="6"/>
  <c r="I71" i="6" s="1"/>
  <c r="F108" i="6"/>
  <c r="I109" i="6"/>
  <c r="E126" i="6"/>
  <c r="M119" i="6"/>
  <c r="N119" i="6"/>
  <c r="P119" i="6" s="1"/>
  <c r="L119" i="6"/>
  <c r="O119" i="6" s="1"/>
  <c r="N102" i="6"/>
  <c r="P102" i="6" s="1"/>
  <c r="L102" i="6"/>
  <c r="O102" i="6" s="1"/>
  <c r="M102" i="6"/>
  <c r="M60" i="6"/>
  <c r="L60" i="6"/>
  <c r="O60" i="6" s="1"/>
  <c r="N60" i="6"/>
  <c r="P60" i="6" s="1"/>
  <c r="M124" i="6"/>
  <c r="N124" i="6"/>
  <c r="P124" i="6" s="1"/>
  <c r="L124" i="6"/>
  <c r="O124" i="6" s="1"/>
  <c r="M128" i="6"/>
  <c r="N128" i="6"/>
  <c r="P128" i="6" s="1"/>
  <c r="L128" i="6"/>
  <c r="O128" i="6" s="1"/>
  <c r="M114" i="6"/>
  <c r="N114" i="6"/>
  <c r="P114" i="6" s="1"/>
  <c r="L114" i="6"/>
  <c r="O114" i="6" s="1"/>
  <c r="M109" i="6"/>
  <c r="L109" i="6"/>
  <c r="O109" i="6" s="1"/>
  <c r="N109" i="6"/>
  <c r="P109" i="6" s="1"/>
  <c r="M93" i="6"/>
  <c r="N93" i="6"/>
  <c r="P93" i="6" s="1"/>
  <c r="L93" i="6"/>
  <c r="O93" i="6" s="1"/>
  <c r="E25" i="6"/>
  <c r="F32" i="6"/>
  <c r="I33" i="6"/>
  <c r="I55" i="6"/>
  <c r="F54" i="6"/>
  <c r="E133" i="6"/>
  <c r="F80" i="6"/>
  <c r="F88" i="6"/>
  <c r="E128" i="6"/>
  <c r="I135" i="6"/>
  <c r="F134" i="6"/>
  <c r="F130" i="6"/>
  <c r="E131" i="6"/>
  <c r="M127" i="6"/>
  <c r="N127" i="6"/>
  <c r="P127" i="6" s="1"/>
  <c r="L127" i="6"/>
  <c r="O127" i="6" s="1"/>
  <c r="M84" i="6"/>
  <c r="N84" i="6"/>
  <c r="P84" i="6" s="1"/>
  <c r="L84" i="6"/>
  <c r="O84" i="6" s="1"/>
  <c r="M104" i="6"/>
  <c r="L104" i="6"/>
  <c r="O104" i="6" s="1"/>
  <c r="N104" i="6"/>
  <c r="P104" i="6" s="1"/>
  <c r="M79" i="6"/>
  <c r="N79" i="6"/>
  <c r="P79" i="6" s="1"/>
  <c r="L79" i="6"/>
  <c r="O79" i="6" s="1"/>
  <c r="E64" i="6"/>
  <c r="M95" i="6"/>
  <c r="N95" i="6"/>
  <c r="P95" i="6" s="1"/>
  <c r="L95" i="6"/>
  <c r="O95" i="6" s="1"/>
  <c r="M68" i="6"/>
  <c r="N68" i="6"/>
  <c r="P68" i="6" s="1"/>
  <c r="L68" i="6"/>
  <c r="O68" i="6" s="1"/>
  <c r="I113" i="6"/>
  <c r="F112" i="6"/>
  <c r="N105" i="6"/>
  <c r="P105" i="6" s="1"/>
  <c r="M105" i="6"/>
  <c r="L105" i="6"/>
  <c r="O105" i="6" s="1"/>
  <c r="L63" i="6"/>
  <c r="O63" i="6" s="1"/>
  <c r="M63" i="6"/>
  <c r="N63" i="6"/>
  <c r="P63" i="6" s="1"/>
  <c r="N52" i="6"/>
  <c r="P52" i="6" s="1"/>
  <c r="M52" i="6"/>
  <c r="E52" i="6"/>
  <c r="L52" i="6"/>
  <c r="O52" i="6" s="1"/>
  <c r="M112" i="6"/>
  <c r="N112" i="6"/>
  <c r="P112" i="6" s="1"/>
  <c r="L112" i="6"/>
  <c r="O112" i="6" s="1"/>
  <c r="M73" i="6"/>
  <c r="N73" i="6"/>
  <c r="P73" i="6" s="1"/>
  <c r="L73" i="6"/>
  <c r="O73" i="6" s="1"/>
  <c r="M70" i="6"/>
  <c r="N70" i="6"/>
  <c r="P70" i="6" s="1"/>
  <c r="L70" i="6"/>
  <c r="O70" i="6" s="1"/>
  <c r="N129" i="6"/>
  <c r="P129" i="6" s="1"/>
  <c r="M129" i="6"/>
  <c r="L129" i="6"/>
  <c r="O129" i="6" s="1"/>
  <c r="M106" i="6"/>
  <c r="N106" i="6"/>
  <c r="P106" i="6" s="1"/>
  <c r="L106" i="6"/>
  <c r="O106" i="6" s="1"/>
  <c r="I96" i="6"/>
  <c r="AN15" i="6"/>
  <c r="F95" i="6"/>
  <c r="E23" i="6"/>
  <c r="I75" i="6"/>
  <c r="F74" i="6"/>
  <c r="I105" i="6"/>
  <c r="F104" i="6"/>
  <c r="M66" i="6"/>
  <c r="N66" i="6"/>
  <c r="P66" i="6" s="1"/>
  <c r="L66" i="6"/>
  <c r="O66" i="6" s="1"/>
  <c r="M78" i="6"/>
  <c r="N78" i="6"/>
  <c r="P78" i="6" s="1"/>
  <c r="L78" i="6"/>
  <c r="O78" i="6" s="1"/>
  <c r="L24" i="6"/>
  <c r="O24" i="6" s="1"/>
  <c r="N24" i="6"/>
  <c r="P24" i="6" s="1"/>
  <c r="M24" i="6"/>
  <c r="E24" i="6"/>
  <c r="N33" i="6"/>
  <c r="P33" i="6" s="1"/>
  <c r="M33" i="6"/>
  <c r="L33" i="6"/>
  <c r="O33" i="6" s="1"/>
  <c r="M87" i="6"/>
  <c r="N87" i="6"/>
  <c r="P87" i="6" s="1"/>
  <c r="L87" i="6"/>
  <c r="O87" i="6" s="1"/>
  <c r="M82" i="6"/>
  <c r="N82" i="6"/>
  <c r="P82" i="6" s="1"/>
  <c r="L82" i="6"/>
  <c r="O82" i="6" s="1"/>
  <c r="F63" i="6"/>
  <c r="F61" i="6"/>
  <c r="I62" i="6"/>
  <c r="F70" i="6"/>
  <c r="E78" i="6"/>
  <c r="F105" i="6"/>
  <c r="I106" i="6"/>
  <c r="E125" i="6"/>
  <c r="E122" i="6"/>
  <c r="L135" i="6"/>
  <c r="O135" i="6" s="1"/>
  <c r="M135" i="6"/>
  <c r="N135" i="6"/>
  <c r="P135" i="6" s="1"/>
  <c r="M86" i="6"/>
  <c r="L86" i="6"/>
  <c r="O86" i="6" s="1"/>
  <c r="N86" i="6"/>
  <c r="P86" i="6" s="1"/>
  <c r="N36" i="6"/>
  <c r="P36" i="6" s="1"/>
  <c r="M36" i="6"/>
  <c r="L36" i="6"/>
  <c r="O36" i="6" s="1"/>
  <c r="N110" i="6"/>
  <c r="P110" i="6" s="1"/>
  <c r="M110" i="6"/>
  <c r="L110" i="6"/>
  <c r="O110" i="6" s="1"/>
  <c r="M103" i="6"/>
  <c r="N103" i="6"/>
  <c r="P103" i="6" s="1"/>
  <c r="L103" i="6"/>
  <c r="O103" i="6" s="1"/>
  <c r="F22" i="6"/>
  <c r="I23" i="6"/>
  <c r="M27" i="6"/>
  <c r="L27" i="6"/>
  <c r="O27" i="6" s="1"/>
  <c r="N27" i="6"/>
  <c r="P27" i="6" s="1"/>
  <c r="E27" i="6"/>
  <c r="M72" i="6"/>
  <c r="N72" i="6"/>
  <c r="P72" i="6" s="1"/>
  <c r="L72" i="6"/>
  <c r="O72" i="6" s="1"/>
  <c r="M75" i="6"/>
  <c r="N75" i="6"/>
  <c r="P75" i="6" s="1"/>
  <c r="L75" i="6"/>
  <c r="O75" i="6" s="1"/>
  <c r="M116" i="6"/>
  <c r="N116" i="6"/>
  <c r="P116" i="6" s="1"/>
  <c r="L116" i="6"/>
  <c r="O116" i="6" s="1"/>
  <c r="I63" i="6"/>
  <c r="F62" i="6"/>
  <c r="M74" i="6"/>
  <c r="N74" i="6"/>
  <c r="P74" i="6" s="1"/>
  <c r="L74" i="6"/>
  <c r="O74" i="6" s="1"/>
  <c r="M107" i="6"/>
  <c r="N107" i="6"/>
  <c r="P107" i="6" s="1"/>
  <c r="L107" i="6"/>
  <c r="O107" i="6" s="1"/>
  <c r="N136" i="6"/>
  <c r="P136" i="6" s="1"/>
  <c r="M136" i="6"/>
  <c r="L136" i="6"/>
  <c r="O136" i="6" s="1"/>
  <c r="N29" i="6"/>
  <c r="P29" i="6" s="1"/>
  <c r="M29" i="6"/>
  <c r="L29" i="6"/>
  <c r="O29" i="6" s="1"/>
  <c r="E29" i="6"/>
  <c r="I29" i="6" s="1"/>
  <c r="F49" i="6"/>
  <c r="I50" i="6"/>
  <c r="F120" i="6"/>
  <c r="AN11" i="6"/>
  <c r="F79" i="6"/>
  <c r="I80" i="6"/>
  <c r="E87" i="6"/>
  <c r="I87" i="6" s="1"/>
  <c r="I130" i="6"/>
  <c r="F129" i="6"/>
  <c r="F127" i="6"/>
  <c r="F94" i="6"/>
  <c r="I95" i="6"/>
  <c r="M89" i="6"/>
  <c r="N89" i="6"/>
  <c r="P89" i="6" s="1"/>
  <c r="L89" i="6"/>
  <c r="O89" i="6" s="1"/>
  <c r="N34" i="6"/>
  <c r="P34" i="6" s="1"/>
  <c r="M34" i="6"/>
  <c r="L34" i="6"/>
  <c r="O34" i="6" s="1"/>
  <c r="M120" i="6"/>
  <c r="N120" i="6"/>
  <c r="P120" i="6" s="1"/>
  <c r="L120" i="6"/>
  <c r="O120" i="6" s="1"/>
  <c r="N61" i="6"/>
  <c r="P61" i="6" s="1"/>
  <c r="L61" i="6"/>
  <c r="O61" i="6" s="1"/>
  <c r="M61" i="6"/>
  <c r="N117" i="6"/>
  <c r="P117" i="6" s="1"/>
  <c r="M117" i="6"/>
  <c r="L117" i="6"/>
  <c r="O117" i="6" s="1"/>
  <c r="M69" i="6"/>
  <c r="N69" i="6"/>
  <c r="P69" i="6" s="1"/>
  <c r="L69" i="6"/>
  <c r="O69" i="6" s="1"/>
  <c r="N134" i="6"/>
  <c r="P134" i="6" s="1"/>
  <c r="L134" i="6"/>
  <c r="O134" i="6" s="1"/>
  <c r="M134" i="6"/>
  <c r="E34" i="6"/>
  <c r="E56" i="6"/>
  <c r="I56" i="6" s="1"/>
  <c r="E21" i="6"/>
  <c r="E136" i="6"/>
  <c r="I136" i="6" s="1"/>
  <c r="I74" i="6"/>
  <c r="F73" i="6"/>
  <c r="AN18" i="6"/>
  <c r="E81" i="6"/>
  <c r="I81" i="6" s="1"/>
  <c r="E89" i="6"/>
  <c r="I89" i="6" s="1"/>
  <c r="E116" i="6"/>
  <c r="F100" i="6"/>
  <c r="I101" i="6"/>
  <c r="E102" i="6"/>
  <c r="I133" i="6"/>
  <c r="F132" i="6"/>
  <c r="E44" i="6"/>
  <c r="I44" i="6" s="1"/>
  <c r="E60" i="6"/>
  <c r="M111" i="6"/>
  <c r="L111" i="6"/>
  <c r="O111" i="6" s="1"/>
  <c r="N111" i="6"/>
  <c r="P111" i="6" s="1"/>
  <c r="M76" i="6"/>
  <c r="N76" i="6"/>
  <c r="P76" i="6" s="1"/>
  <c r="L76" i="6"/>
  <c r="O76" i="6" s="1"/>
  <c r="N100" i="6"/>
  <c r="P100" i="6" s="1"/>
  <c r="L100" i="6"/>
  <c r="O100" i="6" s="1"/>
  <c r="M100" i="6"/>
  <c r="N54" i="6"/>
  <c r="P54" i="6" s="1"/>
  <c r="M54" i="6"/>
  <c r="L54" i="6"/>
  <c r="O54" i="6" s="1"/>
  <c r="M118" i="6"/>
  <c r="N118" i="6"/>
  <c r="P118" i="6" s="1"/>
  <c r="L118" i="6"/>
  <c r="O118" i="6" s="1"/>
  <c r="N43" i="6"/>
  <c r="P43" i="6" s="1"/>
  <c r="M43" i="6"/>
  <c r="L43" i="6"/>
  <c r="O43" i="6" s="1"/>
  <c r="N46" i="6"/>
  <c r="P46" i="6" s="1"/>
  <c r="M46" i="6"/>
  <c r="L46" i="6"/>
  <c r="O46" i="6" s="1"/>
  <c r="N22" i="6"/>
  <c r="P22" i="6" s="1"/>
  <c r="L22" i="6"/>
  <c r="O22" i="6" s="1"/>
  <c r="M22" i="6"/>
  <c r="M88" i="6"/>
  <c r="N88" i="6"/>
  <c r="P88" i="6" s="1"/>
  <c r="L88" i="6"/>
  <c r="O88" i="6" s="1"/>
  <c r="N41" i="6"/>
  <c r="P41" i="6" s="1"/>
  <c r="M41" i="6"/>
  <c r="L41" i="6"/>
  <c r="O41" i="6" s="1"/>
  <c r="F34" i="6" l="1"/>
  <c r="I35" i="6"/>
  <c r="F133" i="6"/>
  <c r="I134" i="6"/>
  <c r="AN9" i="6"/>
  <c r="I103" i="6"/>
  <c r="F102" i="6"/>
  <c r="I60" i="6"/>
  <c r="F59" i="6"/>
  <c r="F39" i="6"/>
  <c r="I40" i="6"/>
  <c r="AN24" i="6"/>
  <c r="I116" i="6"/>
  <c r="F115" i="6"/>
  <c r="F47" i="6"/>
  <c r="I48" i="6"/>
  <c r="AN22" i="6"/>
  <c r="I100" i="6"/>
  <c r="AN14" i="6"/>
  <c r="F99" i="6"/>
  <c r="F64" i="6"/>
  <c r="I65" i="6"/>
  <c r="AN20" i="6"/>
  <c r="F37" i="6"/>
  <c r="I38" i="6"/>
  <c r="F87" i="6"/>
  <c r="I88" i="6"/>
  <c r="I126" i="6"/>
  <c r="F125" i="6"/>
  <c r="AN10" i="6"/>
  <c r="F52" i="6"/>
  <c r="I53" i="6"/>
  <c r="F131" i="6"/>
  <c r="I132" i="6"/>
  <c r="F45" i="6"/>
  <c r="I46" i="6"/>
  <c r="I115" i="6"/>
  <c r="I37" i="6"/>
  <c r="I131" i="6"/>
  <c r="I59" i="6"/>
  <c r="F58" i="6"/>
  <c r="F121" i="6"/>
  <c r="I122" i="6"/>
  <c r="F38" i="6"/>
  <c r="I39" i="6"/>
  <c r="I98" i="6"/>
  <c r="F97" i="6"/>
  <c r="I97" i="6"/>
  <c r="I52" i="6"/>
  <c r="F126" i="6"/>
  <c r="I127" i="6"/>
  <c r="F31" i="6"/>
  <c r="I32" i="6"/>
  <c r="F92" i="6"/>
  <c r="I93" i="6"/>
  <c r="I123" i="6"/>
  <c r="F122" i="6"/>
  <c r="F128" i="6"/>
  <c r="I129" i="6"/>
  <c r="I25" i="6"/>
  <c r="F24" i="6"/>
  <c r="F136" i="6"/>
  <c r="I28" i="6"/>
  <c r="F27" i="6"/>
  <c r="F98" i="6"/>
  <c r="I99" i="6"/>
  <c r="I27" i="6"/>
  <c r="F44" i="6"/>
  <c r="I45" i="6"/>
  <c r="F116" i="6"/>
  <c r="I117" i="6"/>
  <c r="I22" i="6"/>
  <c r="F21" i="6"/>
  <c r="AN26" i="6"/>
  <c r="I79" i="6"/>
  <c r="F78" i="6"/>
  <c r="I102" i="6"/>
  <c r="F57" i="6"/>
  <c r="I58" i="6"/>
  <c r="F30" i="6"/>
  <c r="I31" i="6"/>
  <c r="F83" i="6"/>
  <c r="I84" i="6"/>
  <c r="I125" i="6"/>
  <c r="I78" i="6"/>
  <c r="I82" i="6"/>
  <c r="AN17" i="6"/>
  <c r="F81" i="6"/>
  <c r="F71" i="6"/>
  <c r="I72" i="6"/>
  <c r="O77" i="6"/>
  <c r="I86" i="6"/>
  <c r="F85" i="6"/>
  <c r="F20" i="6"/>
  <c r="I21" i="6"/>
  <c r="I34" i="6"/>
  <c r="F60" i="6"/>
  <c r="I61" i="6"/>
  <c r="I128" i="6"/>
  <c r="AN25" i="6"/>
  <c r="F29" i="6"/>
  <c r="I30" i="6"/>
  <c r="I47" i="6"/>
  <c r="I90" i="6"/>
  <c r="F89" i="6"/>
  <c r="F56" i="6"/>
  <c r="I57" i="6"/>
  <c r="I64" i="6"/>
  <c r="F23" i="6"/>
  <c r="I24" i="6"/>
  <c r="I26" i="6"/>
  <c r="F25" i="6"/>
  <c r="C41" i="3" l="1"/>
  <c r="Q41" i="6" s="1"/>
  <c r="C18" i="3"/>
  <c r="C37" i="3" l="1"/>
  <c r="C42" i="3"/>
  <c r="Q42" i="6" s="1"/>
  <c r="C32" i="3"/>
  <c r="Q32" i="6" s="1"/>
  <c r="C33" i="3"/>
  <c r="Q33" i="6" s="1"/>
  <c r="C30" i="3"/>
  <c r="Q30" i="6" s="1"/>
  <c r="C29" i="3"/>
  <c r="Q29" i="6" s="1"/>
  <c r="C25" i="3"/>
  <c r="Q25" i="6" s="1"/>
  <c r="C40" i="3"/>
  <c r="Q40" i="6" s="1"/>
  <c r="C24" i="3"/>
  <c r="Q24" i="6" s="1"/>
  <c r="C38" i="3"/>
  <c r="C22" i="3"/>
  <c r="Q22" i="6" s="1"/>
  <c r="C39" i="3"/>
  <c r="Q39" i="6" s="1"/>
  <c r="C31" i="3"/>
  <c r="Q31" i="6" s="1"/>
  <c r="C23" i="3"/>
  <c r="Q23" i="6" s="1"/>
  <c r="C21" i="3"/>
  <c r="Q21" i="6" s="1"/>
  <c r="C36" i="3"/>
  <c r="Q36" i="6" s="1"/>
  <c r="C28" i="3"/>
  <c r="Q28" i="6" s="1"/>
  <c r="C20" i="3"/>
  <c r="Q20" i="6" s="1"/>
  <c r="C35" i="3"/>
  <c r="Q35" i="6" s="1"/>
  <c r="C27" i="3"/>
  <c r="Q27" i="6" s="1"/>
  <c r="C19" i="3"/>
  <c r="Q19" i="6" s="1"/>
  <c r="C34" i="3"/>
  <c r="Q34" i="6" s="1"/>
  <c r="C26" i="3"/>
  <c r="Q26" i="6" s="1"/>
  <c r="I23" i="3"/>
  <c r="Q18" i="6"/>
  <c r="Q37" i="6"/>
  <c r="Q38" i="6"/>
  <c r="C43" i="3"/>
  <c r="R38" i="6" l="1"/>
  <c r="U38" i="6" s="1"/>
  <c r="V38" i="6" s="1"/>
  <c r="R33" i="6"/>
  <c r="U33" i="6" s="1"/>
  <c r="V33" i="6" s="1"/>
  <c r="R28" i="6"/>
  <c r="U28" i="6" s="1"/>
  <c r="V28" i="6" s="1"/>
  <c r="R21" i="6"/>
  <c r="U21" i="6" s="1"/>
  <c r="V21" i="6" s="1"/>
  <c r="R32" i="6"/>
  <c r="U32" i="6" s="1"/>
  <c r="V32" i="6" s="1"/>
  <c r="R35" i="6"/>
  <c r="U35" i="6" s="1"/>
  <c r="V35" i="6" s="1"/>
  <c r="R22" i="6"/>
  <c r="U22" i="6" s="1"/>
  <c r="V22" i="6" s="1"/>
  <c r="R36" i="6"/>
  <c r="U36" i="6" s="1"/>
  <c r="V36" i="6" s="1"/>
  <c r="R29" i="6"/>
  <c r="U29" i="6" s="1"/>
  <c r="V29" i="6" s="1"/>
  <c r="R23" i="6"/>
  <c r="U23" i="6" s="1"/>
  <c r="V23" i="6" s="1"/>
  <c r="R34" i="6"/>
  <c r="U34" i="6" s="1"/>
  <c r="V34" i="6" s="1"/>
  <c r="R42" i="6"/>
  <c r="U42" i="6" s="1"/>
  <c r="V42" i="6" s="1"/>
  <c r="R19" i="6"/>
  <c r="U19" i="6" s="1"/>
  <c r="V19" i="6" s="1"/>
  <c r="R31" i="6"/>
  <c r="U31" i="6" s="1"/>
  <c r="V31" i="6" s="1"/>
  <c r="R26" i="6"/>
  <c r="U26" i="6" s="1"/>
  <c r="V26" i="6" s="1"/>
  <c r="R40" i="6"/>
  <c r="U40" i="6" s="1"/>
  <c r="V40" i="6" s="1"/>
  <c r="R20" i="6"/>
  <c r="U20" i="6" s="1"/>
  <c r="V20" i="6" s="1"/>
  <c r="R39" i="6"/>
  <c r="U39" i="6" s="1"/>
  <c r="V39" i="6" s="1"/>
  <c r="R37" i="6"/>
  <c r="U37" i="6" s="1"/>
  <c r="V37" i="6" s="1"/>
  <c r="R41" i="6"/>
  <c r="U41" i="6" s="1"/>
  <c r="V41" i="6" s="1"/>
  <c r="R27" i="6"/>
  <c r="U27" i="6" s="1"/>
  <c r="V27" i="6" s="1"/>
  <c r="R18" i="6"/>
  <c r="U18" i="6" s="1"/>
  <c r="V18" i="6" s="1"/>
  <c r="R25" i="6"/>
  <c r="U25" i="6" s="1"/>
  <c r="V25" i="6" s="1"/>
  <c r="R30" i="6"/>
  <c r="U30" i="6" s="1"/>
  <c r="V30" i="6" s="1"/>
  <c r="R24" i="6"/>
  <c r="U24" i="6" s="1"/>
  <c r="V24" i="6" s="1"/>
  <c r="Q43" i="6"/>
  <c r="R43" i="6"/>
  <c r="U43" i="6" s="1"/>
  <c r="V43" i="6" s="1"/>
  <c r="C44" i="3"/>
  <c r="C45" i="3" l="1"/>
  <c r="R44" i="6"/>
  <c r="U44" i="6" s="1"/>
  <c r="V44" i="6" s="1"/>
  <c r="Q44" i="6"/>
  <c r="C46" i="3" l="1"/>
  <c r="R45" i="6"/>
  <c r="U45" i="6" s="1"/>
  <c r="V45" i="6" s="1"/>
  <c r="Q45" i="6"/>
  <c r="C47" i="3" l="1"/>
  <c r="Q46" i="6"/>
  <c r="R46" i="6"/>
  <c r="U46" i="6" s="1"/>
  <c r="V46" i="6" s="1"/>
  <c r="C48" i="3" l="1"/>
  <c r="Q47" i="6"/>
  <c r="R47" i="6"/>
  <c r="U47" i="6" s="1"/>
  <c r="V47" i="6" s="1"/>
  <c r="C49" i="3" l="1"/>
  <c r="R48" i="6"/>
  <c r="U48" i="6" s="1"/>
  <c r="V48" i="6" s="1"/>
  <c r="Q48" i="6"/>
  <c r="C50" i="3" l="1"/>
  <c r="R49" i="6"/>
  <c r="U49" i="6" s="1"/>
  <c r="V49" i="6" s="1"/>
  <c r="Q49" i="6"/>
  <c r="R50" i="6" l="1"/>
  <c r="U50" i="6" s="1"/>
  <c r="V50" i="6" s="1"/>
  <c r="Q50" i="6"/>
  <c r="C51" i="3"/>
  <c r="C52" i="3" l="1"/>
  <c r="R51" i="6"/>
  <c r="U51" i="6" s="1"/>
  <c r="V51" i="6" s="1"/>
  <c r="Q51" i="6"/>
  <c r="C53" i="3" l="1"/>
  <c r="R52" i="6"/>
  <c r="U52" i="6" s="1"/>
  <c r="V52" i="6" s="1"/>
  <c r="Q52" i="6"/>
  <c r="C54" i="3" l="1"/>
  <c r="R53" i="6"/>
  <c r="U53" i="6" s="1"/>
  <c r="V53" i="6" s="1"/>
  <c r="Q53" i="6"/>
  <c r="C55" i="3" l="1"/>
  <c r="R54" i="6"/>
  <c r="U54" i="6" s="1"/>
  <c r="V54" i="6" s="1"/>
  <c r="Q54" i="6"/>
  <c r="C56" i="3" l="1"/>
  <c r="R55" i="6"/>
  <c r="U55" i="6" s="1"/>
  <c r="V55" i="6" s="1"/>
  <c r="Q55" i="6"/>
  <c r="C57" i="3" l="1"/>
  <c r="R56" i="6"/>
  <c r="U56" i="6" s="1"/>
  <c r="V56" i="6" s="1"/>
  <c r="Q56" i="6"/>
  <c r="C58" i="3" l="1"/>
  <c r="R57" i="6"/>
  <c r="U57" i="6" s="1"/>
  <c r="V57" i="6" s="1"/>
  <c r="Q57" i="6"/>
  <c r="C59" i="3" l="1"/>
  <c r="R58" i="6"/>
  <c r="U58" i="6" s="1"/>
  <c r="V58" i="6" s="1"/>
  <c r="Q58" i="6"/>
  <c r="C60" i="3" l="1"/>
  <c r="R59" i="6"/>
  <c r="U59" i="6" s="1"/>
  <c r="V59" i="6" s="1"/>
  <c r="Q59" i="6"/>
  <c r="R60" i="6" l="1"/>
  <c r="U60" i="6" s="1"/>
  <c r="V60" i="6" s="1"/>
  <c r="Q60" i="6"/>
  <c r="C61" i="3"/>
  <c r="C62" i="3" l="1"/>
  <c r="R61" i="6"/>
  <c r="U61" i="6" s="1"/>
  <c r="V61" i="6" s="1"/>
  <c r="Q61" i="6"/>
  <c r="C63" i="3" l="1"/>
  <c r="R62" i="6"/>
  <c r="U62" i="6" s="1"/>
  <c r="V62" i="6" s="1"/>
  <c r="Q62" i="6"/>
  <c r="C64" i="3" l="1"/>
  <c r="R63" i="6"/>
  <c r="U63" i="6" s="1"/>
  <c r="V63" i="6" s="1"/>
  <c r="Q63" i="6"/>
  <c r="R64" i="6" l="1"/>
  <c r="U64" i="6" s="1"/>
  <c r="V64" i="6" s="1"/>
  <c r="Q64" i="6"/>
  <c r="C65" i="3"/>
  <c r="C66" i="3" l="1"/>
  <c r="R65" i="6"/>
  <c r="U65" i="6" s="1"/>
  <c r="V65" i="6" s="1"/>
  <c r="Q65" i="6"/>
  <c r="C67" i="3" l="1"/>
  <c r="Q66" i="6"/>
  <c r="R66" i="6"/>
  <c r="U66" i="6" s="1"/>
  <c r="V66" i="6" s="1"/>
  <c r="C68" i="3" l="1"/>
  <c r="Q67" i="6"/>
  <c r="R67" i="6"/>
  <c r="U67" i="6" s="1"/>
  <c r="V67" i="6" s="1"/>
  <c r="C69" i="3" l="1"/>
  <c r="Q68" i="6"/>
  <c r="R68" i="6"/>
  <c r="U68" i="6" s="1"/>
  <c r="V68" i="6" s="1"/>
  <c r="C70" i="3" l="1"/>
  <c r="Q69" i="6"/>
  <c r="R69" i="6"/>
  <c r="U69" i="6" s="1"/>
  <c r="V69" i="6" s="1"/>
  <c r="C71" i="3" l="1"/>
  <c r="R70" i="6"/>
  <c r="U70" i="6" s="1"/>
  <c r="V70" i="6" s="1"/>
  <c r="Q70" i="6"/>
  <c r="C72" i="3" l="1"/>
  <c r="Q71" i="6"/>
  <c r="R71" i="6"/>
  <c r="U71" i="6" s="1"/>
  <c r="V71" i="6" s="1"/>
  <c r="Q72" i="6" l="1"/>
  <c r="R72" i="6"/>
  <c r="U72" i="6" s="1"/>
  <c r="V72" i="6" s="1"/>
  <c r="C73" i="3"/>
  <c r="C74" i="3" l="1"/>
  <c r="R73" i="6"/>
  <c r="U73" i="6" s="1"/>
  <c r="V73" i="6" s="1"/>
  <c r="Q73" i="6"/>
  <c r="Q74" i="6" l="1"/>
  <c r="R74" i="6"/>
  <c r="U74" i="6" s="1"/>
  <c r="V74" i="6" s="1"/>
  <c r="C75" i="3"/>
  <c r="C76" i="3" l="1"/>
  <c r="Q75" i="6"/>
  <c r="R75" i="6"/>
  <c r="U75" i="6" s="1"/>
  <c r="V75" i="6" s="1"/>
  <c r="C77" i="3" l="1"/>
  <c r="K27" i="3"/>
  <c r="Q76" i="6"/>
  <c r="R76" i="6"/>
  <c r="U76" i="6" s="1"/>
  <c r="V76" i="6" s="1"/>
  <c r="AE17" i="6" l="1"/>
  <c r="R77" i="6"/>
  <c r="U77" i="6" s="1"/>
  <c r="V77" i="6" s="1"/>
  <c r="Q77" i="6"/>
  <c r="C78" i="3"/>
  <c r="R78" i="6" l="1"/>
  <c r="U78" i="6" s="1"/>
  <c r="V78" i="6" s="1"/>
  <c r="Q78" i="6"/>
  <c r="C79" i="3"/>
  <c r="Q79" i="6" l="1"/>
  <c r="R79" i="6"/>
  <c r="U79" i="6" s="1"/>
  <c r="V79" i="6" s="1"/>
  <c r="C80" i="3"/>
  <c r="Q80" i="6" l="1"/>
  <c r="R80" i="6"/>
  <c r="U80" i="6" s="1"/>
  <c r="V80" i="6" s="1"/>
  <c r="C81" i="3"/>
  <c r="C82" i="3" l="1"/>
  <c r="R81" i="6"/>
  <c r="U81" i="6" s="1"/>
  <c r="V81" i="6" s="1"/>
  <c r="Q81" i="6"/>
  <c r="C83" i="3" l="1"/>
  <c r="Q82" i="6"/>
  <c r="R82" i="6"/>
  <c r="U82" i="6" s="1"/>
  <c r="V82" i="6" s="1"/>
  <c r="C84" i="3" l="1"/>
  <c r="Q83" i="6"/>
  <c r="R83" i="6"/>
  <c r="U83" i="6" s="1"/>
  <c r="V83" i="6" s="1"/>
  <c r="C85" i="3" l="1"/>
  <c r="Q84" i="6"/>
  <c r="R84" i="6"/>
  <c r="U84" i="6" s="1"/>
  <c r="V84" i="6" s="1"/>
  <c r="C86" i="3" l="1"/>
  <c r="Q85" i="6"/>
  <c r="R85" i="6"/>
  <c r="U85" i="6" s="1"/>
  <c r="V85" i="6" s="1"/>
  <c r="C87" i="3" l="1"/>
  <c r="R86" i="6"/>
  <c r="U86" i="6" s="1"/>
  <c r="V86" i="6" s="1"/>
  <c r="Q86" i="6"/>
  <c r="C88" i="3" l="1"/>
  <c r="Q87" i="6"/>
  <c r="R87" i="6"/>
  <c r="U87" i="6" s="1"/>
  <c r="V87" i="6" s="1"/>
  <c r="C89" i="3" l="1"/>
  <c r="Q88" i="6"/>
  <c r="R88" i="6"/>
  <c r="U88" i="6" s="1"/>
  <c r="V88" i="6" s="1"/>
  <c r="C90" i="3" l="1"/>
  <c r="R89" i="6"/>
  <c r="U89" i="6" s="1"/>
  <c r="V89" i="6" s="1"/>
  <c r="Q89" i="6"/>
  <c r="C91" i="3" l="1"/>
  <c r="R90" i="6"/>
  <c r="U90" i="6" s="1"/>
  <c r="V90" i="6" s="1"/>
  <c r="Q90" i="6"/>
  <c r="C92" i="3" l="1"/>
  <c r="Q91" i="6"/>
  <c r="R91" i="6"/>
  <c r="U91" i="6" s="1"/>
  <c r="V91" i="6" s="1"/>
  <c r="C93" i="3" l="1"/>
  <c r="Q92" i="6"/>
  <c r="R92" i="6"/>
  <c r="U92" i="6" s="1"/>
  <c r="V92" i="6" s="1"/>
  <c r="Q93" i="6" l="1"/>
  <c r="R93" i="6"/>
  <c r="U93" i="6" s="1"/>
  <c r="V93" i="6" s="1"/>
  <c r="C94" i="3"/>
  <c r="C95" i="3" l="1"/>
  <c r="R94" i="6"/>
  <c r="U94" i="6" s="1"/>
  <c r="V94" i="6" s="1"/>
  <c r="Q94" i="6"/>
  <c r="C96" i="3" l="1"/>
  <c r="Q95" i="6"/>
  <c r="R95" i="6"/>
  <c r="U95" i="6" s="1"/>
  <c r="V95" i="6" s="1"/>
  <c r="C97" i="3" l="1"/>
  <c r="R96" i="6"/>
  <c r="U96" i="6" s="1"/>
  <c r="V96" i="6" s="1"/>
  <c r="Q96" i="6"/>
  <c r="Q97" i="6" l="1"/>
  <c r="R97" i="6"/>
  <c r="U97" i="6" s="1"/>
  <c r="V97" i="6" s="1"/>
  <c r="C98" i="3"/>
  <c r="C99" i="3" l="1"/>
  <c r="R98" i="6"/>
  <c r="U98" i="6" s="1"/>
  <c r="V98" i="6" s="1"/>
  <c r="Q98" i="6"/>
  <c r="C100" i="3" l="1"/>
  <c r="Q99" i="6"/>
  <c r="R99" i="6"/>
  <c r="U99" i="6" s="1"/>
  <c r="V99" i="6" s="1"/>
  <c r="R100" i="6" l="1"/>
  <c r="U100" i="6" s="1"/>
  <c r="V100" i="6" s="1"/>
  <c r="Q100" i="6"/>
  <c r="C101" i="3"/>
  <c r="C102" i="3" l="1"/>
  <c r="Q101" i="6"/>
  <c r="R101" i="6"/>
  <c r="U101" i="6" s="1"/>
  <c r="V101" i="6" s="1"/>
  <c r="C103" i="3" l="1"/>
  <c r="R102" i="6"/>
  <c r="U102" i="6" s="1"/>
  <c r="V102" i="6" s="1"/>
  <c r="Q102" i="6"/>
  <c r="Q103" i="6" l="1"/>
  <c r="R103" i="6"/>
  <c r="U103" i="6" s="1"/>
  <c r="V103" i="6" s="1"/>
  <c r="C104" i="3"/>
  <c r="R104" i="6" l="1"/>
  <c r="U104" i="6" s="1"/>
  <c r="V104" i="6" s="1"/>
  <c r="Q104" i="6"/>
  <c r="C105" i="3"/>
  <c r="R105" i="6" l="1"/>
  <c r="U105" i="6" s="1"/>
  <c r="V105" i="6" s="1"/>
  <c r="Q105" i="6"/>
  <c r="C106" i="3"/>
  <c r="C107" i="3" l="1"/>
  <c r="R106" i="6"/>
  <c r="U106" i="6" s="1"/>
  <c r="V106" i="6" s="1"/>
  <c r="Q106" i="6"/>
  <c r="C108" i="3" l="1"/>
  <c r="R107" i="6"/>
  <c r="U107" i="6" s="1"/>
  <c r="V107" i="6" s="1"/>
  <c r="Q107" i="6"/>
  <c r="R108" i="6" l="1"/>
  <c r="U108" i="6" s="1"/>
  <c r="V108" i="6" s="1"/>
  <c r="Q108" i="6"/>
  <c r="C109" i="3"/>
  <c r="R109" i="6" l="1"/>
  <c r="U109" i="6" s="1"/>
  <c r="V109" i="6" s="1"/>
  <c r="Q109" i="6"/>
  <c r="C110" i="3"/>
  <c r="C111" i="3" l="1"/>
  <c r="R110" i="6"/>
  <c r="U110" i="6" s="1"/>
  <c r="V110" i="6" s="1"/>
  <c r="Q110" i="6"/>
  <c r="C112" i="3" l="1"/>
  <c r="R111" i="6"/>
  <c r="U111" i="6" s="1"/>
  <c r="V111" i="6" s="1"/>
  <c r="Q111" i="6"/>
  <c r="C113" i="3" l="1"/>
  <c r="R112" i="6"/>
  <c r="U112" i="6" s="1"/>
  <c r="V112" i="6" s="1"/>
  <c r="Q112" i="6"/>
  <c r="C114" i="3" l="1"/>
  <c r="R113" i="6"/>
  <c r="U113" i="6" s="1"/>
  <c r="V113" i="6" s="1"/>
  <c r="Q113" i="6"/>
  <c r="C115" i="3" l="1"/>
  <c r="R114" i="6"/>
  <c r="U114" i="6" s="1"/>
  <c r="V114" i="6" s="1"/>
  <c r="Q114" i="6"/>
  <c r="R115" i="6" l="1"/>
  <c r="U115" i="6" s="1"/>
  <c r="V115" i="6" s="1"/>
  <c r="Q115" i="6"/>
  <c r="C116" i="3"/>
  <c r="R116" i="6" l="1"/>
  <c r="U116" i="6" s="1"/>
  <c r="V116" i="6" s="1"/>
  <c r="Q116" i="6"/>
  <c r="C117" i="3"/>
  <c r="C118" i="3" l="1"/>
  <c r="R117" i="6"/>
  <c r="U117" i="6" s="1"/>
  <c r="V117" i="6" s="1"/>
  <c r="Q117" i="6"/>
  <c r="C119" i="3" l="1"/>
  <c r="R118" i="6"/>
  <c r="U118" i="6" s="1"/>
  <c r="V118" i="6" s="1"/>
  <c r="Q118" i="6"/>
  <c r="C120" i="3" l="1"/>
  <c r="R119" i="6"/>
  <c r="U119" i="6" s="1"/>
  <c r="V119" i="6" s="1"/>
  <c r="Q119" i="6"/>
  <c r="C121" i="3" l="1"/>
  <c r="R120" i="6"/>
  <c r="U120" i="6" s="1"/>
  <c r="V120" i="6" s="1"/>
  <c r="Q120" i="6"/>
  <c r="R121" i="6" l="1"/>
  <c r="U121" i="6" s="1"/>
  <c r="V121" i="6" s="1"/>
  <c r="Q121" i="6"/>
  <c r="C122" i="3"/>
  <c r="C123" i="3" l="1"/>
  <c r="R122" i="6"/>
  <c r="U122" i="6" s="1"/>
  <c r="V122" i="6" s="1"/>
  <c r="Q122" i="6"/>
  <c r="C124" i="3" l="1"/>
  <c r="R123" i="6"/>
  <c r="U123" i="6" s="1"/>
  <c r="V123" i="6" s="1"/>
  <c r="Q123" i="6"/>
  <c r="C125" i="3" l="1"/>
  <c r="R124" i="6"/>
  <c r="U124" i="6" s="1"/>
  <c r="V124" i="6" s="1"/>
  <c r="Q124" i="6"/>
  <c r="C126" i="3" l="1"/>
  <c r="R125" i="6"/>
  <c r="U125" i="6" s="1"/>
  <c r="V125" i="6" s="1"/>
  <c r="Q125" i="6"/>
  <c r="R126" i="6" l="1"/>
  <c r="U126" i="6" s="1"/>
  <c r="V126" i="6" s="1"/>
  <c r="Q126" i="6"/>
  <c r="C127" i="3"/>
  <c r="C128" i="3" l="1"/>
  <c r="Q127" i="6"/>
  <c r="R127" i="6"/>
  <c r="U127" i="6" s="1"/>
  <c r="V127" i="6" s="1"/>
  <c r="R128" i="6" l="1"/>
  <c r="U128" i="6" s="1"/>
  <c r="V128" i="6" s="1"/>
  <c r="Q128" i="6"/>
  <c r="C129" i="3"/>
  <c r="R129" i="6" l="1"/>
  <c r="U129" i="6" s="1"/>
  <c r="V129" i="6" s="1"/>
  <c r="Q129" i="6"/>
  <c r="C130" i="3"/>
  <c r="C131" i="3" l="1"/>
  <c r="R130" i="6"/>
  <c r="U130" i="6" s="1"/>
  <c r="V130" i="6" s="1"/>
  <c r="Q130" i="6"/>
  <c r="C132" i="3" l="1"/>
  <c r="Q131" i="6"/>
  <c r="R131" i="6"/>
  <c r="U131" i="6" s="1"/>
  <c r="V131" i="6" s="1"/>
  <c r="C133" i="3" l="1"/>
  <c r="R132" i="6"/>
  <c r="U132" i="6" s="1"/>
  <c r="V132" i="6" s="1"/>
  <c r="Q132" i="6"/>
  <c r="C134" i="3" l="1"/>
  <c r="R133" i="6"/>
  <c r="U133" i="6" s="1"/>
  <c r="V133" i="6" s="1"/>
  <c r="Q133" i="6"/>
  <c r="C135" i="3" l="1"/>
  <c r="R134" i="6"/>
  <c r="U134" i="6" s="1"/>
  <c r="V134" i="6" s="1"/>
  <c r="Q134" i="6"/>
  <c r="R135" i="6" l="1"/>
  <c r="U135" i="6" s="1"/>
  <c r="V135" i="6" s="1"/>
  <c r="Q135" i="6"/>
  <c r="C136" i="3"/>
  <c r="G135" i="6" s="1"/>
  <c r="D136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R136" i="6" l="1"/>
  <c r="U136" i="6" s="1"/>
  <c r="V136" i="6" s="1"/>
  <c r="P9" i="6" s="1"/>
  <c r="Q136" i="6"/>
  <c r="G136" i="6"/>
  <c r="H136" i="6" s="1"/>
  <c r="H23" i="3"/>
  <c r="E136" i="3" s="1"/>
  <c r="B136" i="6" s="1"/>
  <c r="G18" i="6"/>
  <c r="H18" i="6" s="1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H135" i="6" s="1"/>
  <c r="H129" i="6" l="1"/>
  <c r="H121" i="6"/>
  <c r="H113" i="6"/>
  <c r="H105" i="6"/>
  <c r="H97" i="6"/>
  <c r="H89" i="6"/>
  <c r="H81" i="6"/>
  <c r="H73" i="6"/>
  <c r="H65" i="6"/>
  <c r="H57" i="6"/>
  <c r="H49" i="6"/>
  <c r="H41" i="6"/>
  <c r="H33" i="6"/>
  <c r="H25" i="6"/>
  <c r="H128" i="6"/>
  <c r="H120" i="6"/>
  <c r="H112" i="6"/>
  <c r="H104" i="6"/>
  <c r="H96" i="6"/>
  <c r="H88" i="6"/>
  <c r="H80" i="6"/>
  <c r="H72" i="6"/>
  <c r="H64" i="6"/>
  <c r="H56" i="6"/>
  <c r="H48" i="6"/>
  <c r="H40" i="6"/>
  <c r="H32" i="6"/>
  <c r="H24" i="6"/>
  <c r="H132" i="6"/>
  <c r="H124" i="6"/>
  <c r="H116" i="6"/>
  <c r="H108" i="6"/>
  <c r="H100" i="6"/>
  <c r="H92" i="6"/>
  <c r="H84" i="6"/>
  <c r="H76" i="6"/>
  <c r="H68" i="6"/>
  <c r="H60" i="6"/>
  <c r="H52" i="6"/>
  <c r="H44" i="6"/>
  <c r="H36" i="6"/>
  <c r="H28" i="6"/>
  <c r="H20" i="6"/>
  <c r="H131" i="6"/>
  <c r="H123" i="6"/>
  <c r="H115" i="6"/>
  <c r="H107" i="6"/>
  <c r="H99" i="6"/>
  <c r="H91" i="6"/>
  <c r="H83" i="6"/>
  <c r="H75" i="6"/>
  <c r="H67" i="6"/>
  <c r="H59" i="6"/>
  <c r="H51" i="6"/>
  <c r="H43" i="6"/>
  <c r="H35" i="6"/>
  <c r="H27" i="6"/>
  <c r="H19" i="6"/>
  <c r="H127" i="6"/>
  <c r="H119" i="6"/>
  <c r="H111" i="6"/>
  <c r="H103" i="6"/>
  <c r="H95" i="6"/>
  <c r="H87" i="6"/>
  <c r="H79" i="6"/>
  <c r="H71" i="6"/>
  <c r="H63" i="6"/>
  <c r="H55" i="6"/>
  <c r="H47" i="6"/>
  <c r="H39" i="6"/>
  <c r="H31" i="6"/>
  <c r="H23" i="6"/>
  <c r="H130" i="6"/>
  <c r="H122" i="6"/>
  <c r="H114" i="6"/>
  <c r="H106" i="6"/>
  <c r="H98" i="6"/>
  <c r="H90" i="6"/>
  <c r="H82" i="6"/>
  <c r="H74" i="6"/>
  <c r="H66" i="6"/>
  <c r="H58" i="6"/>
  <c r="H50" i="6"/>
  <c r="H42" i="6"/>
  <c r="H34" i="6"/>
  <c r="H26" i="6"/>
  <c r="H134" i="6"/>
  <c r="H126" i="6"/>
  <c r="H118" i="6"/>
  <c r="H110" i="6"/>
  <c r="H102" i="6"/>
  <c r="H94" i="6"/>
  <c r="H86" i="6"/>
  <c r="H78" i="6"/>
  <c r="H70" i="6"/>
  <c r="H62" i="6"/>
  <c r="H54" i="6"/>
  <c r="H46" i="6"/>
  <c r="H38" i="6"/>
  <c r="H30" i="6"/>
  <c r="H22" i="6"/>
  <c r="K23" i="3"/>
  <c r="M10" i="3" s="1"/>
  <c r="P10" i="6" s="1"/>
  <c r="J23" i="3"/>
  <c r="L23" i="3" s="1"/>
  <c r="M11" i="3" s="1"/>
  <c r="P11" i="6" s="1"/>
  <c r="E18" i="3"/>
  <c r="B18" i="6" s="1"/>
  <c r="E19" i="3"/>
  <c r="B19" i="6" s="1"/>
  <c r="E20" i="3"/>
  <c r="B20" i="6" s="1"/>
  <c r="E21" i="3"/>
  <c r="B21" i="6" s="1"/>
  <c r="E22" i="3"/>
  <c r="B22" i="6" s="1"/>
  <c r="E23" i="3"/>
  <c r="B23" i="6" s="1"/>
  <c r="E24" i="3"/>
  <c r="B24" i="6" s="1"/>
  <c r="E25" i="3"/>
  <c r="B25" i="6" s="1"/>
  <c r="E26" i="3"/>
  <c r="B26" i="6" s="1"/>
  <c r="E27" i="3"/>
  <c r="B27" i="6" s="1"/>
  <c r="E28" i="3"/>
  <c r="B28" i="6" s="1"/>
  <c r="E29" i="3"/>
  <c r="B29" i="6" s="1"/>
  <c r="E30" i="3"/>
  <c r="B30" i="6" s="1"/>
  <c r="E31" i="3"/>
  <c r="B31" i="6" s="1"/>
  <c r="E32" i="3"/>
  <c r="B32" i="6" s="1"/>
  <c r="E33" i="3"/>
  <c r="B33" i="6" s="1"/>
  <c r="E34" i="3"/>
  <c r="B34" i="6" s="1"/>
  <c r="E35" i="3"/>
  <c r="B35" i="6" s="1"/>
  <c r="E36" i="3"/>
  <c r="B36" i="6" s="1"/>
  <c r="E37" i="3"/>
  <c r="B37" i="6" s="1"/>
  <c r="E38" i="3"/>
  <c r="B38" i="6" s="1"/>
  <c r="E39" i="3"/>
  <c r="B39" i="6" s="1"/>
  <c r="E40" i="3"/>
  <c r="B40" i="6" s="1"/>
  <c r="E41" i="3"/>
  <c r="B41" i="6" s="1"/>
  <c r="E42" i="3"/>
  <c r="B42" i="6" s="1"/>
  <c r="E43" i="3"/>
  <c r="B43" i="6" s="1"/>
  <c r="E44" i="3"/>
  <c r="B44" i="6" s="1"/>
  <c r="E45" i="3"/>
  <c r="B45" i="6" s="1"/>
  <c r="E46" i="3"/>
  <c r="B46" i="6" s="1"/>
  <c r="E47" i="3"/>
  <c r="B47" i="6" s="1"/>
  <c r="E48" i="3"/>
  <c r="B48" i="6" s="1"/>
  <c r="E49" i="3"/>
  <c r="B49" i="6" s="1"/>
  <c r="E50" i="3"/>
  <c r="B50" i="6" s="1"/>
  <c r="E51" i="3"/>
  <c r="B51" i="6" s="1"/>
  <c r="E52" i="3"/>
  <c r="B52" i="6" s="1"/>
  <c r="E53" i="3"/>
  <c r="B53" i="6" s="1"/>
  <c r="E54" i="3"/>
  <c r="B54" i="6" s="1"/>
  <c r="E55" i="3"/>
  <c r="B55" i="6" s="1"/>
  <c r="E56" i="3"/>
  <c r="B56" i="6" s="1"/>
  <c r="E57" i="3"/>
  <c r="B57" i="6" s="1"/>
  <c r="E58" i="3"/>
  <c r="B58" i="6" s="1"/>
  <c r="E59" i="3"/>
  <c r="B59" i="6" s="1"/>
  <c r="E60" i="3"/>
  <c r="B60" i="6" s="1"/>
  <c r="E61" i="3"/>
  <c r="B61" i="6" s="1"/>
  <c r="E62" i="3"/>
  <c r="B62" i="6" s="1"/>
  <c r="E63" i="3"/>
  <c r="B63" i="6" s="1"/>
  <c r="E64" i="3"/>
  <c r="B64" i="6" s="1"/>
  <c r="E65" i="3"/>
  <c r="B65" i="6" s="1"/>
  <c r="E66" i="3"/>
  <c r="B66" i="6" s="1"/>
  <c r="E67" i="3"/>
  <c r="B67" i="6" s="1"/>
  <c r="E68" i="3"/>
  <c r="B68" i="6" s="1"/>
  <c r="E69" i="3"/>
  <c r="B69" i="6" s="1"/>
  <c r="E70" i="3"/>
  <c r="B70" i="6" s="1"/>
  <c r="E71" i="3"/>
  <c r="B71" i="6" s="1"/>
  <c r="E72" i="3"/>
  <c r="B72" i="6" s="1"/>
  <c r="E73" i="3"/>
  <c r="B73" i="6" s="1"/>
  <c r="E74" i="3"/>
  <c r="B74" i="6" s="1"/>
  <c r="E75" i="3"/>
  <c r="B75" i="6" s="1"/>
  <c r="E76" i="3"/>
  <c r="B76" i="6" s="1"/>
  <c r="E77" i="3"/>
  <c r="B77" i="6" s="1"/>
  <c r="E78" i="3"/>
  <c r="B78" i="6" s="1"/>
  <c r="E79" i="3"/>
  <c r="B79" i="6" s="1"/>
  <c r="E80" i="3"/>
  <c r="B80" i="6" s="1"/>
  <c r="E81" i="3"/>
  <c r="B81" i="6" s="1"/>
  <c r="E82" i="3"/>
  <c r="B82" i="6" s="1"/>
  <c r="E83" i="3"/>
  <c r="B83" i="6" s="1"/>
  <c r="E84" i="3"/>
  <c r="B84" i="6" s="1"/>
  <c r="E85" i="3"/>
  <c r="B85" i="6" s="1"/>
  <c r="E86" i="3"/>
  <c r="B86" i="6" s="1"/>
  <c r="E87" i="3"/>
  <c r="B87" i="6" s="1"/>
  <c r="E88" i="3"/>
  <c r="B88" i="6" s="1"/>
  <c r="E89" i="3"/>
  <c r="B89" i="6" s="1"/>
  <c r="E90" i="3"/>
  <c r="B90" i="6" s="1"/>
  <c r="E91" i="3"/>
  <c r="B91" i="6" s="1"/>
  <c r="E92" i="3"/>
  <c r="B92" i="6" s="1"/>
  <c r="E93" i="3"/>
  <c r="B93" i="6" s="1"/>
  <c r="E94" i="3"/>
  <c r="B94" i="6" s="1"/>
  <c r="E95" i="3"/>
  <c r="B95" i="6" s="1"/>
  <c r="E96" i="3"/>
  <c r="B96" i="6" s="1"/>
  <c r="E97" i="3"/>
  <c r="B97" i="6" s="1"/>
  <c r="E98" i="3"/>
  <c r="B98" i="6" s="1"/>
  <c r="E99" i="3"/>
  <c r="B99" i="6" s="1"/>
  <c r="E100" i="3"/>
  <c r="B100" i="6" s="1"/>
  <c r="E101" i="3"/>
  <c r="B101" i="6" s="1"/>
  <c r="E102" i="3"/>
  <c r="B102" i="6" s="1"/>
  <c r="E103" i="3"/>
  <c r="B103" i="6" s="1"/>
  <c r="E104" i="3"/>
  <c r="B104" i="6" s="1"/>
  <c r="E105" i="3"/>
  <c r="B105" i="6" s="1"/>
  <c r="E106" i="3"/>
  <c r="B106" i="6" s="1"/>
  <c r="E107" i="3"/>
  <c r="B107" i="6" s="1"/>
  <c r="E108" i="3"/>
  <c r="B108" i="6" s="1"/>
  <c r="E109" i="3"/>
  <c r="B109" i="6" s="1"/>
  <c r="E110" i="3"/>
  <c r="B110" i="6" s="1"/>
  <c r="E111" i="3"/>
  <c r="B111" i="6" s="1"/>
  <c r="E112" i="3"/>
  <c r="B112" i="6" s="1"/>
  <c r="E113" i="3"/>
  <c r="B113" i="6" s="1"/>
  <c r="E114" i="3"/>
  <c r="B114" i="6" s="1"/>
  <c r="E115" i="3"/>
  <c r="B115" i="6" s="1"/>
  <c r="E116" i="3"/>
  <c r="B116" i="6" s="1"/>
  <c r="E117" i="3"/>
  <c r="B117" i="6" s="1"/>
  <c r="E118" i="3"/>
  <c r="B118" i="6" s="1"/>
  <c r="E119" i="3"/>
  <c r="B119" i="6" s="1"/>
  <c r="E120" i="3"/>
  <c r="B120" i="6" s="1"/>
  <c r="E121" i="3"/>
  <c r="B121" i="6" s="1"/>
  <c r="E122" i="3"/>
  <c r="B122" i="6" s="1"/>
  <c r="E123" i="3"/>
  <c r="B123" i="6" s="1"/>
  <c r="E124" i="3"/>
  <c r="B124" i="6" s="1"/>
  <c r="E125" i="3"/>
  <c r="B125" i="6" s="1"/>
  <c r="E126" i="3"/>
  <c r="B126" i="6" s="1"/>
  <c r="E127" i="3"/>
  <c r="B127" i="6" s="1"/>
  <c r="E128" i="3"/>
  <c r="B128" i="6" s="1"/>
  <c r="E129" i="3"/>
  <c r="B129" i="6" s="1"/>
  <c r="E130" i="3"/>
  <c r="B130" i="6" s="1"/>
  <c r="E131" i="3"/>
  <c r="B131" i="6" s="1"/>
  <c r="E132" i="3"/>
  <c r="B132" i="6" s="1"/>
  <c r="E133" i="3"/>
  <c r="B133" i="6" s="1"/>
  <c r="E134" i="3"/>
  <c r="B134" i="6" s="1"/>
  <c r="E135" i="3"/>
  <c r="B135" i="6" s="1"/>
  <c r="H133" i="6"/>
  <c r="H125" i="6"/>
  <c r="H117" i="6"/>
  <c r="H109" i="6"/>
  <c r="H101" i="6"/>
  <c r="H93" i="6"/>
  <c r="H85" i="6"/>
  <c r="H77" i="6"/>
  <c r="H69" i="6"/>
  <c r="H61" i="6"/>
  <c r="H53" i="6"/>
  <c r="H45" i="6"/>
  <c r="H37" i="6"/>
  <c r="H29" i="6"/>
  <c r="H21" i="6"/>
  <c r="O4" i="4"/>
  <c r="M9" i="3"/>
  <c r="O4" i="5"/>
  <c r="K69" i="6" l="1"/>
  <c r="K66" i="6"/>
  <c r="K21" i="6"/>
  <c r="K33" i="6"/>
  <c r="K59" i="6"/>
  <c r="K115" i="6"/>
  <c r="K40" i="6"/>
  <c r="K94" i="6"/>
  <c r="K58" i="6"/>
  <c r="K61" i="6"/>
  <c r="K82" i="6"/>
  <c r="K28" i="6"/>
  <c r="K81" i="6"/>
  <c r="K127" i="6"/>
  <c r="K125" i="6"/>
  <c r="K41" i="6"/>
  <c r="K111" i="6"/>
  <c r="K36" i="6"/>
  <c r="K78" i="6"/>
  <c r="K45" i="6"/>
  <c r="K67" i="6"/>
  <c r="K34" i="6"/>
  <c r="K96" i="6"/>
  <c r="K49" i="6"/>
  <c r="K63" i="6"/>
  <c r="K129" i="6"/>
  <c r="K117" i="6"/>
  <c r="K80" i="6"/>
  <c r="K75" i="6"/>
  <c r="K53" i="6"/>
  <c r="K85" i="6"/>
  <c r="K72" i="6"/>
  <c r="K52" i="6"/>
  <c r="K120" i="6"/>
  <c r="K104" i="6"/>
  <c r="K135" i="6"/>
  <c r="K48" i="6"/>
  <c r="K68" i="6"/>
  <c r="K32" i="6"/>
  <c r="K27" i="6"/>
  <c r="K44" i="6"/>
  <c r="K54" i="6"/>
  <c r="K118" i="6"/>
  <c r="K43" i="6"/>
  <c r="K130" i="6"/>
  <c r="K136" i="6"/>
  <c r="K132" i="6"/>
  <c r="K51" i="6"/>
  <c r="K79" i="6"/>
  <c r="K113" i="6"/>
  <c r="K121" i="6"/>
  <c r="K76" i="6"/>
  <c r="K89" i="6"/>
  <c r="K98" i="6"/>
  <c r="K74" i="6"/>
  <c r="K38" i="6"/>
  <c r="K24" i="6"/>
  <c r="K106" i="6"/>
  <c r="K97" i="6"/>
  <c r="K55" i="6"/>
  <c r="K101" i="6"/>
  <c r="K37" i="6"/>
  <c r="K29" i="6"/>
  <c r="K62" i="6"/>
  <c r="K131" i="6"/>
  <c r="K91" i="6"/>
  <c r="K123" i="6"/>
  <c r="K31" i="6"/>
  <c r="K114" i="6"/>
  <c r="K126" i="6"/>
  <c r="K73" i="6"/>
  <c r="K60" i="6"/>
  <c r="K87" i="6"/>
  <c r="K42" i="6"/>
  <c r="K110" i="6"/>
  <c r="K39" i="6"/>
  <c r="K71" i="6"/>
  <c r="K128" i="6"/>
  <c r="K92" i="6"/>
  <c r="K18" i="6"/>
  <c r="K112" i="6"/>
  <c r="K84" i="6"/>
  <c r="K105" i="6"/>
  <c r="K116" i="6"/>
  <c r="K26" i="6"/>
  <c r="K19" i="6"/>
  <c r="K88" i="6"/>
  <c r="K90" i="6"/>
  <c r="K56" i="6"/>
  <c r="K124" i="6"/>
  <c r="K133" i="6"/>
  <c r="K93" i="6"/>
  <c r="K77" i="6"/>
  <c r="K70" i="6"/>
  <c r="K30" i="6"/>
  <c r="K50" i="6"/>
  <c r="K99" i="6"/>
  <c r="K20" i="6"/>
  <c r="K119" i="6"/>
  <c r="K47" i="6"/>
  <c r="K65" i="6"/>
  <c r="K25" i="6"/>
  <c r="K107" i="6"/>
  <c r="K103" i="6"/>
  <c r="K109" i="6"/>
  <c r="K134" i="6"/>
  <c r="K83" i="6"/>
  <c r="K86" i="6"/>
  <c r="K102" i="6"/>
  <c r="K95" i="6"/>
  <c r="K100" i="6"/>
  <c r="K35" i="6"/>
  <c r="K64" i="6"/>
  <c r="K46" i="6"/>
  <c r="K108" i="6"/>
  <c r="K22" i="6"/>
  <c r="K57" i="6"/>
  <c r="K122" i="6"/>
  <c r="K23" i="6"/>
  <c r="F133" i="3"/>
  <c r="J133" i="6" s="1"/>
  <c r="F125" i="3"/>
  <c r="J125" i="6" s="1"/>
  <c r="F117" i="3"/>
  <c r="J117" i="6" s="1"/>
  <c r="F109" i="3"/>
  <c r="J109" i="6" s="1"/>
  <c r="F101" i="3"/>
  <c r="J101" i="6" s="1"/>
  <c r="F93" i="3"/>
  <c r="J93" i="6" s="1"/>
  <c r="F85" i="3"/>
  <c r="J85" i="6" s="1"/>
  <c r="F77" i="3"/>
  <c r="J77" i="6" s="1"/>
  <c r="F69" i="3"/>
  <c r="J69" i="6" s="1"/>
  <c r="F61" i="3"/>
  <c r="J61" i="6" s="1"/>
  <c r="F53" i="3"/>
  <c r="J53" i="6" s="1"/>
  <c r="F45" i="3"/>
  <c r="J45" i="6" s="1"/>
  <c r="F37" i="3"/>
  <c r="J37" i="6" s="1"/>
  <c r="F29" i="3"/>
  <c r="J29" i="6" s="1"/>
  <c r="F21" i="3"/>
  <c r="J21" i="6" s="1"/>
  <c r="F132" i="3"/>
  <c r="J132" i="6" s="1"/>
  <c r="F124" i="3"/>
  <c r="J124" i="6" s="1"/>
  <c r="F116" i="3"/>
  <c r="J116" i="6" s="1"/>
  <c r="F108" i="3"/>
  <c r="J108" i="6" s="1"/>
  <c r="F100" i="3"/>
  <c r="J100" i="6" s="1"/>
  <c r="F92" i="3"/>
  <c r="J92" i="6" s="1"/>
  <c r="F84" i="3"/>
  <c r="J84" i="6" s="1"/>
  <c r="F76" i="3"/>
  <c r="J76" i="6" s="1"/>
  <c r="F68" i="3"/>
  <c r="J68" i="6" s="1"/>
  <c r="F60" i="3"/>
  <c r="J60" i="6" s="1"/>
  <c r="F52" i="3"/>
  <c r="J52" i="6" s="1"/>
  <c r="F44" i="3"/>
  <c r="J44" i="6" s="1"/>
  <c r="F36" i="3"/>
  <c r="J36" i="6" s="1"/>
  <c r="F28" i="3"/>
  <c r="J28" i="6" s="1"/>
  <c r="F20" i="3"/>
  <c r="J20" i="6" s="1"/>
  <c r="F131" i="3"/>
  <c r="J131" i="6" s="1"/>
  <c r="F123" i="3"/>
  <c r="J123" i="6" s="1"/>
  <c r="F115" i="3"/>
  <c r="J115" i="6" s="1"/>
  <c r="F107" i="3"/>
  <c r="J107" i="6" s="1"/>
  <c r="F99" i="3"/>
  <c r="J99" i="6" s="1"/>
  <c r="F91" i="3"/>
  <c r="J91" i="6" s="1"/>
  <c r="F83" i="3"/>
  <c r="J83" i="6" s="1"/>
  <c r="F75" i="3"/>
  <c r="J75" i="6" s="1"/>
  <c r="F67" i="3"/>
  <c r="J67" i="6" s="1"/>
  <c r="F59" i="3"/>
  <c r="J59" i="6" s="1"/>
  <c r="F51" i="3"/>
  <c r="J51" i="6" s="1"/>
  <c r="F43" i="3"/>
  <c r="J43" i="6" s="1"/>
  <c r="F35" i="3"/>
  <c r="J35" i="6" s="1"/>
  <c r="F27" i="3"/>
  <c r="J27" i="6" s="1"/>
  <c r="F19" i="3"/>
  <c r="J19" i="6" s="1"/>
  <c r="F114" i="3"/>
  <c r="J114" i="6" s="1"/>
  <c r="F90" i="3"/>
  <c r="J90" i="6" s="1"/>
  <c r="F66" i="3"/>
  <c r="J66" i="6" s="1"/>
  <c r="F42" i="3"/>
  <c r="J42" i="6" s="1"/>
  <c r="F18" i="3"/>
  <c r="J18" i="6" s="1"/>
  <c r="F129" i="3"/>
  <c r="J129" i="6" s="1"/>
  <c r="F97" i="3"/>
  <c r="J97" i="6" s="1"/>
  <c r="F128" i="3"/>
  <c r="J128" i="6" s="1"/>
  <c r="F120" i="3"/>
  <c r="J120" i="6" s="1"/>
  <c r="F112" i="3"/>
  <c r="J112" i="6" s="1"/>
  <c r="F104" i="3"/>
  <c r="J104" i="6" s="1"/>
  <c r="F96" i="3"/>
  <c r="J96" i="6" s="1"/>
  <c r="F88" i="3"/>
  <c r="J88" i="6" s="1"/>
  <c r="F80" i="3"/>
  <c r="J80" i="6" s="1"/>
  <c r="F72" i="3"/>
  <c r="J72" i="6" s="1"/>
  <c r="F64" i="3"/>
  <c r="J64" i="6" s="1"/>
  <c r="F56" i="3"/>
  <c r="J56" i="6" s="1"/>
  <c r="F48" i="3"/>
  <c r="J48" i="6" s="1"/>
  <c r="F40" i="3"/>
  <c r="J40" i="6" s="1"/>
  <c r="F32" i="3"/>
  <c r="J32" i="6" s="1"/>
  <c r="F24" i="3"/>
  <c r="J24" i="6" s="1"/>
  <c r="O5" i="4"/>
  <c r="O5" i="5"/>
  <c r="F130" i="3"/>
  <c r="J130" i="6" s="1"/>
  <c r="F106" i="3"/>
  <c r="J106" i="6" s="1"/>
  <c r="F82" i="3"/>
  <c r="J82" i="6" s="1"/>
  <c r="F58" i="3"/>
  <c r="J58" i="6" s="1"/>
  <c r="F34" i="3"/>
  <c r="J34" i="6" s="1"/>
  <c r="F113" i="3"/>
  <c r="J113" i="6" s="1"/>
  <c r="F105" i="3"/>
  <c r="J105" i="6" s="1"/>
  <c r="F81" i="3"/>
  <c r="J81" i="6" s="1"/>
  <c r="F73" i="3"/>
  <c r="J73" i="6" s="1"/>
  <c r="F65" i="3"/>
  <c r="J65" i="6" s="1"/>
  <c r="F57" i="3"/>
  <c r="J57" i="6" s="1"/>
  <c r="F49" i="3"/>
  <c r="J49" i="6" s="1"/>
  <c r="F41" i="3"/>
  <c r="J41" i="6" s="1"/>
  <c r="F33" i="3"/>
  <c r="J33" i="6" s="1"/>
  <c r="F25" i="3"/>
  <c r="J25" i="6" s="1"/>
  <c r="O6" i="4"/>
  <c r="O6" i="5"/>
  <c r="F135" i="3"/>
  <c r="J135" i="6" s="1"/>
  <c r="F127" i="3"/>
  <c r="J127" i="6" s="1"/>
  <c r="F119" i="3"/>
  <c r="J119" i="6" s="1"/>
  <c r="F111" i="3"/>
  <c r="J111" i="6" s="1"/>
  <c r="F103" i="3"/>
  <c r="J103" i="6" s="1"/>
  <c r="F95" i="3"/>
  <c r="J95" i="6" s="1"/>
  <c r="F87" i="3"/>
  <c r="J87" i="6" s="1"/>
  <c r="F79" i="3"/>
  <c r="J79" i="6" s="1"/>
  <c r="F71" i="3"/>
  <c r="J71" i="6" s="1"/>
  <c r="F63" i="3"/>
  <c r="J63" i="6" s="1"/>
  <c r="F55" i="3"/>
  <c r="J55" i="6" s="1"/>
  <c r="F47" i="3"/>
  <c r="J47" i="6" s="1"/>
  <c r="F39" i="3"/>
  <c r="J39" i="6" s="1"/>
  <c r="F31" i="3"/>
  <c r="J31" i="6" s="1"/>
  <c r="F23" i="3"/>
  <c r="J23" i="6" s="1"/>
  <c r="F136" i="3"/>
  <c r="J136" i="6" s="1"/>
  <c r="F122" i="3"/>
  <c r="J122" i="6" s="1"/>
  <c r="F98" i="3"/>
  <c r="J98" i="6" s="1"/>
  <c r="F74" i="3"/>
  <c r="J74" i="6" s="1"/>
  <c r="F50" i="3"/>
  <c r="J50" i="6" s="1"/>
  <c r="F26" i="3"/>
  <c r="J26" i="6" s="1"/>
  <c r="F121" i="3"/>
  <c r="J121" i="6" s="1"/>
  <c r="F89" i="3"/>
  <c r="J89" i="6" s="1"/>
  <c r="F134" i="3"/>
  <c r="J134" i="6" s="1"/>
  <c r="F126" i="3"/>
  <c r="J126" i="6" s="1"/>
  <c r="F118" i="3"/>
  <c r="J118" i="6" s="1"/>
  <c r="F110" i="3"/>
  <c r="J110" i="6" s="1"/>
  <c r="F102" i="3"/>
  <c r="J102" i="6" s="1"/>
  <c r="F94" i="3"/>
  <c r="J94" i="6" s="1"/>
  <c r="F86" i="3"/>
  <c r="J86" i="6" s="1"/>
  <c r="F78" i="3"/>
  <c r="J78" i="6" s="1"/>
  <c r="F70" i="3"/>
  <c r="J70" i="6" s="1"/>
  <c r="F62" i="3"/>
  <c r="J62" i="6" s="1"/>
  <c r="F54" i="3"/>
  <c r="J54" i="6" s="1"/>
  <c r="F46" i="3"/>
  <c r="J46" i="6" s="1"/>
  <c r="F38" i="3"/>
  <c r="J38" i="6" s="1"/>
  <c r="F30" i="3"/>
  <c r="J30" i="6" s="1"/>
  <c r="F22" i="3"/>
  <c r="J22" i="6" s="1"/>
  <c r="C136" i="6"/>
  <c r="D136" i="6" l="1"/>
  <c r="C38" i="6"/>
  <c r="D38" i="6"/>
  <c r="C102" i="6"/>
  <c r="D102" i="6"/>
  <c r="D134" i="6"/>
  <c r="C134" i="6"/>
  <c r="D50" i="6"/>
  <c r="C50" i="6"/>
  <c r="C114" i="6"/>
  <c r="D114" i="6"/>
  <c r="C107" i="6"/>
  <c r="D107" i="6"/>
  <c r="AO13" i="6"/>
  <c r="C45" i="6"/>
  <c r="D45" i="6"/>
  <c r="C77" i="6"/>
  <c r="D77" i="6"/>
  <c r="D78" i="6"/>
  <c r="C78" i="6"/>
  <c r="C23" i="6"/>
  <c r="D23" i="6"/>
  <c r="AO21" i="6"/>
  <c r="D55" i="6"/>
  <c r="C55" i="6"/>
  <c r="C87" i="6"/>
  <c r="D87" i="6"/>
  <c r="C119" i="6"/>
  <c r="D119" i="6"/>
  <c r="C25" i="6"/>
  <c r="D25" i="6"/>
  <c r="D57" i="6"/>
  <c r="C57" i="6"/>
  <c r="C105" i="6"/>
  <c r="D105" i="6"/>
  <c r="C82" i="6"/>
  <c r="D82" i="6"/>
  <c r="D24" i="6"/>
  <c r="C24" i="6"/>
  <c r="D56" i="6"/>
  <c r="C56" i="6"/>
  <c r="C88" i="6"/>
  <c r="D88" i="6"/>
  <c r="C120" i="6"/>
  <c r="D120" i="6"/>
  <c r="AO11" i="6"/>
  <c r="D36" i="6"/>
  <c r="C36" i="6"/>
  <c r="C68" i="6"/>
  <c r="AO19" i="6"/>
  <c r="D68" i="6"/>
  <c r="C100" i="6"/>
  <c r="D100" i="6"/>
  <c r="D132" i="6"/>
  <c r="C132" i="6"/>
  <c r="C109" i="6"/>
  <c r="D109" i="6"/>
  <c r="D46" i="6"/>
  <c r="C46" i="6"/>
  <c r="C110" i="6"/>
  <c r="D110" i="6"/>
  <c r="C89" i="6"/>
  <c r="D89" i="6"/>
  <c r="D74" i="6"/>
  <c r="C74" i="6"/>
  <c r="D33" i="6"/>
  <c r="C33" i="6"/>
  <c r="C113" i="6"/>
  <c r="D113" i="6"/>
  <c r="D32" i="6"/>
  <c r="C32" i="6"/>
  <c r="D42" i="6"/>
  <c r="AO23" i="6"/>
  <c r="C42" i="6"/>
  <c r="C19" i="6"/>
  <c r="D19" i="6"/>
  <c r="D51" i="6"/>
  <c r="C51" i="6"/>
  <c r="D83" i="6"/>
  <c r="C83" i="6"/>
  <c r="C115" i="6"/>
  <c r="D115" i="6"/>
  <c r="C21" i="6"/>
  <c r="D21" i="6"/>
  <c r="D63" i="6"/>
  <c r="C63" i="6"/>
  <c r="C64" i="6"/>
  <c r="D64" i="6"/>
  <c r="AO20" i="6"/>
  <c r="C108" i="6"/>
  <c r="D108" i="6"/>
  <c r="C117" i="6"/>
  <c r="D117" i="6"/>
  <c r="AO12" i="6"/>
  <c r="AO26" i="6"/>
  <c r="D22" i="6"/>
  <c r="C22" i="6"/>
  <c r="C121" i="6"/>
  <c r="D121" i="6"/>
  <c r="C72" i="6"/>
  <c r="D72" i="6"/>
  <c r="D66" i="6"/>
  <c r="C66" i="6"/>
  <c r="C123" i="6"/>
  <c r="D123" i="6"/>
  <c r="AO24" i="6"/>
  <c r="C39" i="6"/>
  <c r="D39" i="6"/>
  <c r="C103" i="6"/>
  <c r="D103" i="6"/>
  <c r="C135" i="6"/>
  <c r="AO8" i="6"/>
  <c r="D135" i="6"/>
  <c r="D41" i="6"/>
  <c r="C41" i="6"/>
  <c r="C73" i="6"/>
  <c r="D73" i="6"/>
  <c r="AO18" i="6"/>
  <c r="D34" i="6"/>
  <c r="C34" i="6"/>
  <c r="C130" i="6"/>
  <c r="D130" i="6"/>
  <c r="D40" i="6"/>
  <c r="C40" i="6"/>
  <c r="C104" i="6"/>
  <c r="D104" i="6"/>
  <c r="C90" i="6"/>
  <c r="D90" i="6"/>
  <c r="C20" i="6"/>
  <c r="D20" i="6"/>
  <c r="C52" i="6"/>
  <c r="D52" i="6"/>
  <c r="C84" i="6"/>
  <c r="D84" i="6"/>
  <c r="C116" i="6"/>
  <c r="D116" i="6"/>
  <c r="D29" i="6"/>
  <c r="C29" i="6"/>
  <c r="AO25" i="6"/>
  <c r="D61" i="6"/>
  <c r="C61" i="6"/>
  <c r="C93" i="6"/>
  <c r="D93" i="6"/>
  <c r="C125" i="6"/>
  <c r="D125" i="6"/>
  <c r="AO10" i="6"/>
  <c r="C96" i="6"/>
  <c r="D96" i="6"/>
  <c r="C97" i="6"/>
  <c r="D97" i="6"/>
  <c r="D53" i="6"/>
  <c r="C53" i="6"/>
  <c r="D86" i="6"/>
  <c r="C86" i="6"/>
  <c r="C98" i="6"/>
  <c r="D98" i="6"/>
  <c r="D71" i="6"/>
  <c r="C71" i="6"/>
  <c r="D59" i="6"/>
  <c r="C59" i="6"/>
  <c r="C30" i="6"/>
  <c r="D30" i="6"/>
  <c r="D62" i="6"/>
  <c r="C62" i="6"/>
  <c r="D94" i="6"/>
  <c r="C94" i="6"/>
  <c r="C126" i="6"/>
  <c r="D126" i="6"/>
  <c r="D26" i="6"/>
  <c r="C26" i="6"/>
  <c r="C122" i="6"/>
  <c r="D122" i="6"/>
  <c r="D49" i="6"/>
  <c r="C49" i="6"/>
  <c r="C81" i="6"/>
  <c r="AO17" i="6"/>
  <c r="D81" i="6"/>
  <c r="C129" i="6"/>
  <c r="D129" i="6"/>
  <c r="C35" i="6"/>
  <c r="D35" i="6"/>
  <c r="D67" i="6"/>
  <c r="C67" i="6"/>
  <c r="C99" i="6"/>
  <c r="D99" i="6"/>
  <c r="AO14" i="6"/>
  <c r="C131" i="6"/>
  <c r="D131" i="6"/>
  <c r="D37" i="6"/>
  <c r="C37" i="6"/>
  <c r="D31" i="6"/>
  <c r="C31" i="6"/>
  <c r="C95" i="6"/>
  <c r="AO15" i="6"/>
  <c r="D95" i="6"/>
  <c r="C127" i="6"/>
  <c r="D127" i="6"/>
  <c r="D65" i="6"/>
  <c r="C65" i="6"/>
  <c r="C106" i="6"/>
  <c r="D106" i="6"/>
  <c r="C128" i="6"/>
  <c r="D128" i="6"/>
  <c r="D44" i="6"/>
  <c r="C44" i="6"/>
  <c r="C76" i="6"/>
  <c r="D76" i="6"/>
  <c r="C85" i="6"/>
  <c r="D85" i="6"/>
  <c r="D54" i="6"/>
  <c r="C54" i="6"/>
  <c r="C118" i="6"/>
  <c r="D118" i="6"/>
  <c r="C27" i="6"/>
  <c r="D27" i="6"/>
  <c r="C91" i="6"/>
  <c r="AO16" i="6"/>
  <c r="D91" i="6"/>
  <c r="D70" i="6"/>
  <c r="C70" i="6"/>
  <c r="AO22" i="6"/>
  <c r="C47" i="6"/>
  <c r="D47" i="6"/>
  <c r="C79" i="6"/>
  <c r="D79" i="6"/>
  <c r="C111" i="6"/>
  <c r="D111" i="6"/>
  <c r="D58" i="6"/>
  <c r="C58" i="6"/>
  <c r="D48" i="6"/>
  <c r="C48" i="6"/>
  <c r="C80" i="6"/>
  <c r="D80" i="6"/>
  <c r="C112" i="6"/>
  <c r="D112" i="6"/>
  <c r="D18" i="6"/>
  <c r="C18" i="6"/>
  <c r="AO27" i="6"/>
  <c r="AP27" i="6" s="1"/>
  <c r="C43" i="6"/>
  <c r="D43" i="6"/>
  <c r="C75" i="6"/>
  <c r="D75" i="6"/>
  <c r="D28" i="6"/>
  <c r="C28" i="6"/>
  <c r="D60" i="6"/>
  <c r="C60" i="6"/>
  <c r="C92" i="6"/>
  <c r="D92" i="6"/>
  <c r="C124" i="6"/>
  <c r="D124" i="6"/>
  <c r="C69" i="6"/>
  <c r="D69" i="6"/>
  <c r="C101" i="6"/>
  <c r="D101" i="6"/>
  <c r="D133" i="6"/>
  <c r="C133" i="6"/>
  <c r="AO9" i="6"/>
  <c r="AP20" i="6" l="1"/>
  <c r="S136" i="6"/>
  <c r="W136" i="6" s="1"/>
  <c r="AP11" i="6"/>
  <c r="S133" i="6"/>
  <c r="W133" i="6" s="1"/>
  <c r="S47" i="6"/>
  <c r="W47" i="6" s="1"/>
  <c r="AP16" i="6"/>
  <c r="AP14" i="6"/>
  <c r="AP25" i="6"/>
  <c r="AP19" i="6"/>
  <c r="AP23" i="6"/>
  <c r="S124" i="6"/>
  <c r="W124" i="6" s="1"/>
  <c r="S75" i="6"/>
  <c r="W75" i="6" s="1"/>
  <c r="S127" i="6"/>
  <c r="W127" i="6" s="1"/>
  <c r="S37" i="6"/>
  <c r="W37" i="6" s="1"/>
  <c r="S35" i="6"/>
  <c r="W35" i="6" s="1"/>
  <c r="S49" i="6"/>
  <c r="W49" i="6" s="1"/>
  <c r="S94" i="6"/>
  <c r="W94" i="6" s="1"/>
  <c r="S71" i="6"/>
  <c r="W71" i="6" s="1"/>
  <c r="S97" i="6"/>
  <c r="W97" i="6" s="1"/>
  <c r="S84" i="6"/>
  <c r="W84" i="6" s="1"/>
  <c r="S34" i="6"/>
  <c r="W34" i="6" s="1"/>
  <c r="S22" i="6"/>
  <c r="W22" i="6" s="1"/>
  <c r="S115" i="6"/>
  <c r="W115" i="6" s="1"/>
  <c r="S33" i="6"/>
  <c r="W33" i="6" s="1"/>
  <c r="S46" i="6"/>
  <c r="W46" i="6" s="1"/>
  <c r="S132" i="6"/>
  <c r="W132" i="6" s="1"/>
  <c r="S24" i="6"/>
  <c r="W24" i="6" s="1"/>
  <c r="S23" i="6"/>
  <c r="W23" i="6" s="1"/>
  <c r="AP9" i="6"/>
  <c r="S80" i="6"/>
  <c r="W80" i="6" s="1"/>
  <c r="S79" i="6"/>
  <c r="W79" i="6" s="1"/>
  <c r="S44" i="6"/>
  <c r="W44" i="6" s="1"/>
  <c r="S131" i="6"/>
  <c r="W131" i="6" s="1"/>
  <c r="S122" i="6"/>
  <c r="W122" i="6" s="1"/>
  <c r="S98" i="6"/>
  <c r="W98" i="6" s="1"/>
  <c r="S104" i="6"/>
  <c r="W104" i="6" s="1"/>
  <c r="AP18" i="6"/>
  <c r="S103" i="6"/>
  <c r="W103" i="6" s="1"/>
  <c r="AP26" i="6"/>
  <c r="S100" i="6"/>
  <c r="W100" i="6" s="1"/>
  <c r="S120" i="6"/>
  <c r="W120" i="6" s="1"/>
  <c r="S82" i="6"/>
  <c r="W82" i="6" s="1"/>
  <c r="S119" i="6"/>
  <c r="W119" i="6" s="1"/>
  <c r="S45" i="6"/>
  <c r="W45" i="6" s="1"/>
  <c r="S50" i="6"/>
  <c r="W50" i="6" s="1"/>
  <c r="S92" i="6"/>
  <c r="W92" i="6" s="1"/>
  <c r="S43" i="6"/>
  <c r="W43" i="6" s="1"/>
  <c r="S91" i="6"/>
  <c r="W91" i="6" s="1"/>
  <c r="S54" i="6"/>
  <c r="W54" i="6" s="1"/>
  <c r="S128" i="6"/>
  <c r="W128" i="6" s="1"/>
  <c r="S95" i="6"/>
  <c r="W95" i="6" s="1"/>
  <c r="S129" i="6"/>
  <c r="W129" i="6" s="1"/>
  <c r="S62" i="6"/>
  <c r="W62" i="6" s="1"/>
  <c r="S96" i="6"/>
  <c r="W96" i="6" s="1"/>
  <c r="S61" i="6"/>
  <c r="W61" i="6" s="1"/>
  <c r="S52" i="6"/>
  <c r="W52" i="6" s="1"/>
  <c r="S73" i="6"/>
  <c r="W73" i="6" s="1"/>
  <c r="S66" i="6"/>
  <c r="W66" i="6" s="1"/>
  <c r="S64" i="6"/>
  <c r="W64" i="6" s="1"/>
  <c r="S42" i="6"/>
  <c r="W42" i="6" s="1"/>
  <c r="S74" i="6"/>
  <c r="W74" i="6" s="1"/>
  <c r="AP15" i="6"/>
  <c r="S39" i="6"/>
  <c r="W39" i="6" s="1"/>
  <c r="S83" i="6"/>
  <c r="W83" i="6" s="1"/>
  <c r="S105" i="6"/>
  <c r="W105" i="6" s="1"/>
  <c r="S78" i="6"/>
  <c r="W78" i="6" s="1"/>
  <c r="S101" i="6"/>
  <c r="W101" i="6" s="1"/>
  <c r="S48" i="6"/>
  <c r="W48" i="6" s="1"/>
  <c r="AC17" i="6"/>
  <c r="S85" i="6"/>
  <c r="W85" i="6" s="1"/>
  <c r="S106" i="6"/>
  <c r="W106" i="6" s="1"/>
  <c r="S99" i="6"/>
  <c r="W99" i="6" s="1"/>
  <c r="S81" i="6"/>
  <c r="W81" i="6" s="1"/>
  <c r="S26" i="6"/>
  <c r="W26" i="6" s="1"/>
  <c r="S86" i="6"/>
  <c r="W86" i="6" s="1"/>
  <c r="AP10" i="6"/>
  <c r="S20" i="6"/>
  <c r="W20" i="6" s="1"/>
  <c r="S40" i="6"/>
  <c r="W40" i="6" s="1"/>
  <c r="AP12" i="6"/>
  <c r="S32" i="6"/>
  <c r="W32" i="6" s="1"/>
  <c r="S107" i="6"/>
  <c r="W107" i="6" s="1"/>
  <c r="S102" i="6"/>
  <c r="W102" i="6" s="1"/>
  <c r="S60" i="6"/>
  <c r="W60" i="6" s="1"/>
  <c r="AP22" i="6"/>
  <c r="S27" i="6"/>
  <c r="W27" i="6" s="1"/>
  <c r="AP17" i="6"/>
  <c r="S126" i="6"/>
  <c r="W126" i="6" s="1"/>
  <c r="S125" i="6"/>
  <c r="W125" i="6" s="1"/>
  <c r="S29" i="6"/>
  <c r="W29" i="6" s="1"/>
  <c r="S130" i="6"/>
  <c r="W130" i="6" s="1"/>
  <c r="S41" i="6"/>
  <c r="W41" i="6" s="1"/>
  <c r="AP24" i="6"/>
  <c r="S121" i="6"/>
  <c r="W121" i="6" s="1"/>
  <c r="S117" i="6"/>
  <c r="W117" i="6" s="1"/>
  <c r="S63" i="6"/>
  <c r="W63" i="6" s="1"/>
  <c r="S51" i="6"/>
  <c r="W51" i="6" s="1"/>
  <c r="S113" i="6"/>
  <c r="W113" i="6" s="1"/>
  <c r="S110" i="6"/>
  <c r="W110" i="6" s="1"/>
  <c r="S109" i="6"/>
  <c r="W109" i="6" s="1"/>
  <c r="S30" i="6"/>
  <c r="W30" i="6" s="1"/>
  <c r="S72" i="6"/>
  <c r="W72" i="6" s="1"/>
  <c r="S89" i="6"/>
  <c r="W89" i="6" s="1"/>
  <c r="S88" i="6"/>
  <c r="W88" i="6" s="1"/>
  <c r="S134" i="6"/>
  <c r="W134" i="6" s="1"/>
  <c r="S69" i="6"/>
  <c r="W69" i="6" s="1"/>
  <c r="S58" i="6"/>
  <c r="W58" i="6" s="1"/>
  <c r="S76" i="6"/>
  <c r="W76" i="6" s="1"/>
  <c r="S59" i="6"/>
  <c r="W59" i="6" s="1"/>
  <c r="S90" i="6"/>
  <c r="W90" i="6" s="1"/>
  <c r="S135" i="6"/>
  <c r="W135" i="6" s="1"/>
  <c r="S21" i="6"/>
  <c r="W21" i="6" s="1"/>
  <c r="S19" i="6"/>
  <c r="S56" i="6"/>
  <c r="W56" i="6" s="1"/>
  <c r="S57" i="6"/>
  <c r="W57" i="6" s="1"/>
  <c r="S55" i="6"/>
  <c r="W55" i="6" s="1"/>
  <c r="S114" i="6"/>
  <c r="W114" i="6" s="1"/>
  <c r="S68" i="6"/>
  <c r="W68" i="6" s="1"/>
  <c r="S87" i="6"/>
  <c r="W87" i="6" s="1"/>
  <c r="AP13" i="6"/>
  <c r="S18" i="6"/>
  <c r="W18" i="6" s="1"/>
  <c r="X18" i="6" s="1"/>
  <c r="S31" i="6"/>
  <c r="W31" i="6" s="1"/>
  <c r="S116" i="6"/>
  <c r="W116" i="6" s="1"/>
  <c r="S38" i="6"/>
  <c r="W38" i="6" s="1"/>
  <c r="S28" i="6"/>
  <c r="W28" i="6" s="1"/>
  <c r="S112" i="6"/>
  <c r="W112" i="6" s="1"/>
  <c r="S111" i="6"/>
  <c r="W111" i="6" s="1"/>
  <c r="S70" i="6"/>
  <c r="W70" i="6" s="1"/>
  <c r="S118" i="6"/>
  <c r="W118" i="6" s="1"/>
  <c r="S65" i="6"/>
  <c r="W65" i="6" s="1"/>
  <c r="S67" i="6"/>
  <c r="W67" i="6" s="1"/>
  <c r="S53" i="6"/>
  <c r="W53" i="6" s="1"/>
  <c r="S93" i="6"/>
  <c r="W93" i="6" s="1"/>
  <c r="AP8" i="6"/>
  <c r="AP7" i="6"/>
  <c r="S123" i="6"/>
  <c r="W123" i="6" s="1"/>
  <c r="S108" i="6"/>
  <c r="W108" i="6" s="1"/>
  <c r="S36" i="6"/>
  <c r="W36" i="6" s="1"/>
  <c r="S25" i="6"/>
  <c r="W25" i="6" s="1"/>
  <c r="AP21" i="6"/>
  <c r="S77" i="6"/>
  <c r="W77" i="6" s="1"/>
  <c r="W19" i="6" l="1"/>
  <c r="X19" i="6" s="1"/>
  <c r="AD17" i="6"/>
  <c r="X20" i="6" l="1"/>
  <c r="X21" i="6" l="1"/>
  <c r="X22" i="6" l="1"/>
  <c r="X23" i="6" l="1"/>
  <c r="X24" i="6" l="1"/>
  <c r="X25" i="6" l="1"/>
  <c r="X26" i="6" l="1"/>
  <c r="X27" i="6" l="1"/>
  <c r="X28" i="6" l="1"/>
  <c r="X29" i="6" l="1"/>
  <c r="X30" i="6" l="1"/>
  <c r="X31" i="6" l="1"/>
  <c r="X32" i="6" l="1"/>
  <c r="X33" i="6" l="1"/>
  <c r="X34" i="6" l="1"/>
  <c r="X35" i="6" l="1"/>
  <c r="X36" i="6" l="1"/>
  <c r="X37" i="6" l="1"/>
  <c r="X38" i="6" l="1"/>
  <c r="X39" i="6" l="1"/>
  <c r="X40" i="6" l="1"/>
  <c r="X41" i="6" l="1"/>
  <c r="X42" i="6" l="1"/>
  <c r="X43" i="6" l="1"/>
  <c r="X44" i="6" l="1"/>
  <c r="X45" i="6" l="1"/>
  <c r="X46" i="6" l="1"/>
  <c r="X47" i="6" l="1"/>
  <c r="X48" i="6" l="1"/>
  <c r="X49" i="6" l="1"/>
  <c r="X50" i="6" l="1"/>
  <c r="X51" i="6" l="1"/>
  <c r="X52" i="6" l="1"/>
  <c r="X53" i="6" l="1"/>
  <c r="X54" i="6" l="1"/>
  <c r="X55" i="6" l="1"/>
  <c r="X56" i="6" l="1"/>
  <c r="X57" i="6" l="1"/>
  <c r="X58" i="6" l="1"/>
  <c r="X59" i="6" l="1"/>
  <c r="X60" i="6" l="1"/>
  <c r="X61" i="6" l="1"/>
  <c r="X62" i="6" l="1"/>
  <c r="X63" i="6" l="1"/>
  <c r="X64" i="6" l="1"/>
  <c r="X65" i="6" l="1"/>
  <c r="X66" i="6" l="1"/>
  <c r="X67" i="6" l="1"/>
  <c r="X68" i="6" l="1"/>
  <c r="X69" i="6" l="1"/>
  <c r="X70" i="6" l="1"/>
  <c r="X71" i="6" l="1"/>
  <c r="X72" i="6" l="1"/>
  <c r="X73" i="6" l="1"/>
  <c r="X74" i="6" l="1"/>
  <c r="X75" i="6" l="1"/>
  <c r="X76" i="6" l="1"/>
  <c r="X77" i="6" l="1"/>
  <c r="X78" i="6" l="1"/>
  <c r="X79" i="6" l="1"/>
  <c r="X80" i="6" l="1"/>
  <c r="X81" i="6" l="1"/>
  <c r="X82" i="6" l="1"/>
  <c r="X83" i="6" l="1"/>
  <c r="X84" i="6" l="1"/>
  <c r="X85" i="6" l="1"/>
  <c r="X86" i="6" l="1"/>
  <c r="X87" i="6" l="1"/>
  <c r="X88" i="6" l="1"/>
  <c r="X89" i="6" l="1"/>
  <c r="X90" i="6" l="1"/>
  <c r="X91" i="6" l="1"/>
  <c r="X92" i="6" l="1"/>
  <c r="X93" i="6" l="1"/>
  <c r="X94" i="6" l="1"/>
  <c r="X95" i="6" l="1"/>
  <c r="X96" i="6" l="1"/>
  <c r="X97" i="6" l="1"/>
  <c r="X98" i="6" l="1"/>
  <c r="X99" i="6" l="1"/>
  <c r="X100" i="6" l="1"/>
  <c r="X101" i="6" l="1"/>
  <c r="X102" i="6" l="1"/>
  <c r="X103" i="6" l="1"/>
  <c r="X104" i="6" l="1"/>
  <c r="X105" i="6" l="1"/>
  <c r="X106" i="6" l="1"/>
  <c r="X107" i="6" l="1"/>
  <c r="X108" i="6" l="1"/>
  <c r="X109" i="6" l="1"/>
  <c r="X110" i="6" l="1"/>
  <c r="X111" i="6" l="1"/>
  <c r="X112" i="6" l="1"/>
  <c r="X113" i="6" l="1"/>
  <c r="X114" i="6" l="1"/>
  <c r="X115" i="6" l="1"/>
  <c r="X116" i="6" l="1"/>
  <c r="X117" i="6" l="1"/>
  <c r="X118" i="6" l="1"/>
  <c r="X119" i="6" l="1"/>
  <c r="X120" i="6" l="1"/>
  <c r="X121" i="6" l="1"/>
  <c r="X122" i="6" l="1"/>
  <c r="X123" i="6" l="1"/>
  <c r="X124" i="6" l="1"/>
  <c r="X125" i="6" l="1"/>
  <c r="X126" i="6" l="1"/>
  <c r="X127" i="6" l="1"/>
  <c r="X128" i="6" l="1"/>
  <c r="X129" i="6" l="1"/>
  <c r="X130" i="6" l="1"/>
  <c r="X131" i="6" l="1"/>
  <c r="X132" i="6" l="1"/>
  <c r="X133" i="6" l="1"/>
  <c r="X134" i="6" l="1"/>
  <c r="X135" i="6" l="1"/>
  <c r="X136" i="6" l="1"/>
  <c r="T136" i="6" l="1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</calcChain>
</file>

<file path=xl/sharedStrings.xml><?xml version="1.0" encoding="utf-8"?>
<sst xmlns="http://schemas.openxmlformats.org/spreadsheetml/2006/main" count="156" uniqueCount="97">
  <si>
    <t>air/oil</t>
  </si>
  <si>
    <t>Above Free Water, ft</t>
  </si>
  <si>
    <t>Bulk</t>
  </si>
  <si>
    <t>Volume,</t>
  </si>
  <si>
    <t>Gas-Oil,</t>
  </si>
  <si>
    <t>Saturation,</t>
  </si>
  <si>
    <t>Inc. (mD)</t>
  </si>
  <si>
    <t>Cumulative</t>
  </si>
  <si>
    <t>Hg Sat</t>
  </si>
  <si>
    <t>Weight,</t>
  </si>
  <si>
    <t>Laboratory TcosTheta</t>
  </si>
  <si>
    <t>MERCURY INJECTION CAPILLARY PRESSURE</t>
  </si>
  <si>
    <t>Gas:</t>
  </si>
  <si>
    <t>cumulative</t>
  </si>
  <si>
    <t>Oil:</t>
  </si>
  <si>
    <t>Sample</t>
  </si>
  <si>
    <t>incremental</t>
  </si>
  <si>
    <t>Estimated Height</t>
  </si>
  <si>
    <t>grams</t>
  </si>
  <si>
    <t>Funct.</t>
  </si>
  <si>
    <t>MC 23</t>
  </si>
  <si>
    <t>%BV</t>
  </si>
  <si>
    <t>Mercury IFT</t>
  </si>
  <si>
    <t>Grain Density, grams/cc:</t>
  </si>
  <si>
    <t>Reservoir Contact Angle</t>
  </si>
  <si>
    <t>fraction</t>
  </si>
  <si>
    <t>grams/cc</t>
  </si>
  <si>
    <t>Sb/Pc</t>
  </si>
  <si>
    <t>oil/water</t>
  </si>
  <si>
    <t>Laboratory IFT</t>
  </si>
  <si>
    <t>PSD HISTOGRAM</t>
  </si>
  <si>
    <t>Laboratory Contact Angle</t>
  </si>
  <si>
    <t>intrusion</t>
  </si>
  <si>
    <t>Saturation</t>
  </si>
  <si>
    <t>O-W</t>
  </si>
  <si>
    <t>cc</t>
  </si>
  <si>
    <t>Conformance Correction,</t>
  </si>
  <si>
    <t>Norm. Pore</t>
  </si>
  <si>
    <t xml:space="preserve"> </t>
  </si>
  <si>
    <t>Density,</t>
  </si>
  <si>
    <t>Sample Number:</t>
  </si>
  <si>
    <t>Oil-Water,</t>
  </si>
  <si>
    <t>Contribution</t>
  </si>
  <si>
    <t>Size Dist.</t>
  </si>
  <si>
    <t>Pore Throat</t>
  </si>
  <si>
    <t xml:space="preserve"> 1.0-Mercury </t>
  </si>
  <si>
    <t>Radius, µm</t>
  </si>
  <si>
    <t>Fluid Density Gradients</t>
  </si>
  <si>
    <t>psia</t>
  </si>
  <si>
    <t xml:space="preserve">Mercury </t>
  </si>
  <si>
    <t>Conversion Parameters</t>
  </si>
  <si>
    <t>air/water</t>
  </si>
  <si>
    <t>Porosity, fraction:</t>
  </si>
  <si>
    <t>Diameter,</t>
  </si>
  <si>
    <t>microns</t>
  </si>
  <si>
    <t>frequency</t>
  </si>
  <si>
    <t>Corrected</t>
  </si>
  <si>
    <t>Uncorrected</t>
  </si>
  <si>
    <t>Normalized</t>
  </si>
  <si>
    <t>%PV</t>
  </si>
  <si>
    <t>Reservoir TcosTheta</t>
  </si>
  <si>
    <t>Porosity,</t>
  </si>
  <si>
    <t>Mercury</t>
  </si>
  <si>
    <t>micron</t>
  </si>
  <si>
    <t>Injection Pressure,</t>
  </si>
  <si>
    <t>G-W</t>
  </si>
  <si>
    <t>air/Hg</t>
  </si>
  <si>
    <t>d Log</t>
  </si>
  <si>
    <t>Function</t>
  </si>
  <si>
    <t>Mercury Saturation</t>
  </si>
  <si>
    <t>ml</t>
  </si>
  <si>
    <t>Water:</t>
  </si>
  <si>
    <t>IFT * Cosine Contact Angle:</t>
  </si>
  <si>
    <t>Gas-Water,</t>
  </si>
  <si>
    <t>Permeability to Air (calc), mD:</t>
  </si>
  <si>
    <t>Pore Radius,</t>
  </si>
  <si>
    <t>Mercury Injection</t>
  </si>
  <si>
    <t>Pressure,</t>
  </si>
  <si>
    <t>Radius,</t>
  </si>
  <si>
    <t>d Sw/d Log</t>
  </si>
  <si>
    <t>Reservoir IFT</t>
  </si>
  <si>
    <t>&lt; 0.0018</t>
  </si>
  <si>
    <t>Mercury Contact Angle</t>
  </si>
  <si>
    <t>Grain</t>
  </si>
  <si>
    <t>Injection</t>
  </si>
  <si>
    <t>Other Laboratory Systems</t>
  </si>
  <si>
    <t>Permeability</t>
  </si>
  <si>
    <t>J</t>
  </si>
  <si>
    <t>Pore</t>
  </si>
  <si>
    <t>Cum. (mD)</t>
  </si>
  <si>
    <t>Incremental</t>
  </si>
  <si>
    <t>Shell Exploration &amp; Production Company</t>
  </si>
  <si>
    <t>Sample Depth, feet:</t>
  </si>
  <si>
    <t>Offshore</t>
  </si>
  <si>
    <t>HH-77445</t>
  </si>
  <si>
    <t>OCS-Y-2321 Burger J 001</t>
  </si>
  <si>
    <t>All Data Proprietary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</si>
</sst>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0.0_)"/>
    <numFmt numFmtId="165" formatCode="0.0"/>
    <numFmt numFmtId="166" formatCode="0.000"/>
    <numFmt numFmtId="167" formatCode="0.0000"/>
    <numFmt numFmtId="168" formatCode="???0.00"/>
    <numFmt numFmtId="169" formatCode="[&lt;1]0.?0;[&gt;10]0;0.0"/>
    <numFmt numFmtId="170" formatCode="[&lt;1]0.000;[&gt;10]0.0;0.00"/>
    <numFmt numFmtId="171" formatCode="[&lt;0.1]0.000;[&gt;0.1]0.00;0.0"/>
    <numFmt numFmtId="172" formatCode="[Blue]General"/>
    <numFmt numFmtId="173" formatCode="?????.0"/>
    <numFmt numFmtId="174" formatCode="[&lt;10]???0.00;[&gt;100]???0;???0.0"/>
    <numFmt numFmtId="175" formatCode="?????"/>
    <numFmt numFmtId="176" formatCode="?????.00"/>
    <numFmt numFmtId="177" formatCode="[&lt;100]????0.0;[&gt;100]?????;General"/>
    <numFmt numFmtId="178" formatCode="????0.00"/>
    <numFmt numFmtId="179" formatCode="??0."/>
    <numFmt numFmtId="180" formatCode="??????0.0000"/>
    <numFmt numFmtId="181" formatCode="????0.0?"/>
    <numFmt numFmtId="182" formatCode="????0.??"/>
    <numFmt numFmtId="183" formatCode="0.00??"/>
    <numFmt numFmtId="184" formatCode="0.00000"/>
    <numFmt numFmtId="185" formatCode="m\-dd\-yy"/>
    <numFmt numFmtId="186" formatCode="??0.000"/>
    <numFmt numFmtId="187" formatCode="???0.000"/>
    <numFmt numFmtId="188" formatCode="????0.000"/>
    <numFmt numFmtId="189" formatCode="??0.0000"/>
    <numFmt numFmtId="190" formatCode="0.0\ \ \ \ 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</cellStyleXfs>
  <cellXfs count="175">
    <xf numFmtId="0" fontId="0" fillId="0" borderId="0" xfId="0"/>
    <xf numFmtId="166" fontId="2" fillId="0" borderId="1" xfId="5" applyNumberFormat="1" applyFont="1" applyBorder="1" applyProtection="1">
      <protection locked="0"/>
    </xf>
    <xf numFmtId="2" fontId="0" fillId="0" borderId="0" xfId="0" applyNumberFormat="1" applyAlignment="1">
      <alignment horizontal="center"/>
    </xf>
    <xf numFmtId="186" fontId="0" fillId="0" borderId="0" xfId="5" applyNumberFormat="1" applyFont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5" applyFont="1" applyAlignment="1">
      <alignment horizontal="centerContinuous"/>
    </xf>
    <xf numFmtId="167" fontId="0" fillId="0" borderId="0" xfId="0" applyNumberFormat="1" applyFill="1" applyBorder="1" applyAlignment="1"/>
    <xf numFmtId="175" fontId="0" fillId="0" borderId="0" xfId="5" applyNumberFormat="1" applyFont="1" applyBorder="1" applyAlignment="1" applyProtection="1">
      <alignment horizontal="center"/>
    </xf>
    <xf numFmtId="0" fontId="0" fillId="0" borderId="0" xfId="5" applyNumberFormat="1" applyFont="1" applyProtection="1"/>
    <xf numFmtId="0" fontId="0" fillId="0" borderId="1" xfId="0" applyFont="1" applyBorder="1" applyAlignment="1">
      <alignment horizontal="center"/>
    </xf>
    <xf numFmtId="0" fontId="4" fillId="0" borderId="0" xfId="5" applyFont="1" applyProtection="1"/>
    <xf numFmtId="2" fontId="0" fillId="0" borderId="4" xfId="5" applyNumberFormat="1" applyFont="1" applyBorder="1" applyAlignment="1" applyProtection="1">
      <alignment horizontal="center"/>
    </xf>
    <xf numFmtId="185" fontId="0" fillId="0" borderId="0" xfId="0" applyNumberFormat="1" applyAlignment="1">
      <alignment horizontal="left"/>
    </xf>
    <xf numFmtId="0" fontId="0" fillId="0" borderId="7" xfId="5" applyFont="1" applyBorder="1" applyAlignment="1" applyProtection="1">
      <alignment horizontal="centerContinuous" vertical="center"/>
    </xf>
    <xf numFmtId="1" fontId="0" fillId="0" borderId="0" xfId="5" applyNumberFormat="1" applyFont="1" applyProtection="1"/>
    <xf numFmtId="187" fontId="0" fillId="0" borderId="0" xfId="5" applyNumberFormat="1" applyFont="1" applyAlignment="1" applyProtection="1">
      <alignment horizontal="center"/>
    </xf>
    <xf numFmtId="166" fontId="2" fillId="0" borderId="0" xfId="5" applyNumberFormat="1" applyFont="1" applyBorder="1" applyProtection="1">
      <protection locked="0"/>
    </xf>
    <xf numFmtId="0" fontId="0" fillId="0" borderId="0" xfId="5" applyFont="1" applyAlignment="1" applyProtection="1">
      <alignment horizontal="centerContinuous"/>
    </xf>
    <xf numFmtId="1" fontId="2" fillId="0" borderId="1" xfId="5" applyNumberFormat="1" applyFont="1" applyBorder="1" applyAlignment="1" applyProtection="1">
      <alignment horizontal="center"/>
      <protection locked="0"/>
    </xf>
    <xf numFmtId="183" fontId="0" fillId="0" borderId="0" xfId="5" applyNumberFormat="1" applyFont="1" applyAlignment="1" applyProtection="1">
      <alignment horizontal="center"/>
    </xf>
    <xf numFmtId="0" fontId="0" fillId="0" borderId="0" xfId="5" applyFont="1" applyAlignment="1"/>
    <xf numFmtId="174" fontId="0" fillId="0" borderId="0" xfId="5" applyNumberFormat="1" applyFont="1" applyBorder="1" applyAlignment="1" applyProtection="1">
      <alignment horizontal="center"/>
    </xf>
    <xf numFmtId="181" fontId="0" fillId="0" borderId="0" xfId="5" applyNumberFormat="1" applyFont="1" applyAlignment="1" applyProtection="1">
      <alignment horizontal="center"/>
    </xf>
    <xf numFmtId="187" fontId="0" fillId="0" borderId="0" xfId="5" applyNumberFormat="1" applyFont="1" applyFill="1" applyAlignment="1" applyProtection="1">
      <alignment horizontal="center"/>
    </xf>
    <xf numFmtId="166" fontId="2" fillId="0" borderId="0" xfId="5" applyNumberFormat="1" applyFont="1" applyFill="1" applyBorder="1" applyProtection="1">
      <protection locked="0"/>
    </xf>
    <xf numFmtId="168" fontId="0" fillId="0" borderId="0" xfId="5" applyNumberFormat="1" applyFont="1" applyAlignment="1" applyProtection="1">
      <alignment horizontal="center"/>
    </xf>
    <xf numFmtId="166" fontId="2" fillId="0" borderId="2" xfId="5" applyNumberFormat="1" applyFont="1" applyBorder="1" applyProtection="1">
      <protection locked="0"/>
    </xf>
    <xf numFmtId="0" fontId="0" fillId="0" borderId="0" xfId="5" applyFont="1" applyAlignment="1" applyProtection="1">
      <alignment horizontal="center"/>
    </xf>
    <xf numFmtId="0" fontId="2" fillId="0" borderId="0" xfId="5" applyNumberFormat="1" applyFont="1" applyBorder="1" applyAlignment="1" applyProtection="1">
      <alignment horizontal="center"/>
      <protection locked="0"/>
    </xf>
    <xf numFmtId="14" fontId="0" fillId="0" borderId="0" xfId="0" applyNumberFormat="1" applyFont="1"/>
    <xf numFmtId="0" fontId="0" fillId="0" borderId="10" xfId="5" applyFont="1" applyBorder="1" applyAlignment="1" applyProtection="1">
      <alignment horizontal="center" vertical="center"/>
    </xf>
    <xf numFmtId="189" fontId="0" fillId="0" borderId="0" xfId="5" applyNumberFormat="1" applyFont="1" applyAlignment="1" applyProtection="1">
      <alignment horizontal="center"/>
    </xf>
    <xf numFmtId="2" fontId="0" fillId="0" borderId="0" xfId="5" applyNumberFormat="1" applyFont="1" applyBorder="1" applyAlignment="1" applyProtection="1">
      <alignment horizontal="center"/>
    </xf>
    <xf numFmtId="166" fontId="0" fillId="0" borderId="0" xfId="0" applyNumberFormat="1" applyFont="1"/>
    <xf numFmtId="0" fontId="0" fillId="0" borderId="0" xfId="0" applyFont="1" applyBorder="1" applyAlignment="1">
      <alignment horizontal="center"/>
    </xf>
    <xf numFmtId="166" fontId="0" fillId="0" borderId="0" xfId="5" applyNumberFormat="1" applyFont="1" applyBorder="1" applyAlignment="1">
      <alignment horizontal="center"/>
    </xf>
    <xf numFmtId="2" fontId="0" fillId="0" borderId="0" xfId="0" applyNumberFormat="1" applyFont="1" applyAlignment="1"/>
    <xf numFmtId="1" fontId="2" fillId="0" borderId="0" xfId="5" applyNumberFormat="1" applyFont="1" applyBorder="1" applyAlignment="1" applyProtection="1">
      <alignment horizontal="center"/>
      <protection locked="0"/>
    </xf>
    <xf numFmtId="179" fontId="0" fillId="0" borderId="0" xfId="0" applyNumberFormat="1" applyAlignment="1">
      <alignment horizontal="center"/>
    </xf>
    <xf numFmtId="165" fontId="0" fillId="0" borderId="0" xfId="5" applyNumberFormat="1" applyFont="1" applyProtection="1"/>
    <xf numFmtId="166" fontId="2" fillId="0" borderId="0" xfId="0" applyNumberFormat="1" applyFont="1"/>
    <xf numFmtId="0" fontId="0" fillId="0" borderId="0" xfId="5" applyFont="1" applyAlignment="1">
      <alignment horizontal="right"/>
    </xf>
    <xf numFmtId="166" fontId="0" fillId="0" borderId="0" xfId="0" applyNumberFormat="1" applyBorder="1" applyAlignment="1">
      <alignment horizontal="center"/>
    </xf>
    <xf numFmtId="167" fontId="0" fillId="0" borderId="0" xfId="5" applyNumberFormat="1" applyFont="1" applyAlignment="1" applyProtection="1">
      <alignment horizontal="right"/>
    </xf>
    <xf numFmtId="0" fontId="5" fillId="0" borderId="0" xfId="5" applyFont="1" applyAlignment="1">
      <alignment horizontal="centerContinuous"/>
    </xf>
    <xf numFmtId="164" fontId="0" fillId="0" borderId="1" xfId="5" applyNumberFormat="1" applyFont="1" applyBorder="1" applyAlignment="1" applyProtection="1">
      <alignment horizontal="center"/>
    </xf>
    <xf numFmtId="1" fontId="2" fillId="0" borderId="2" xfId="5" applyNumberFormat="1" applyFont="1" applyBorder="1" applyAlignment="1" applyProtection="1">
      <alignment horizontal="center"/>
      <protection locked="0"/>
    </xf>
    <xf numFmtId="0" fontId="0" fillId="0" borderId="0" xfId="5" applyNumberFormat="1" applyFont="1" applyBorder="1" applyAlignment="1" applyProtection="1">
      <alignment horizontal="center"/>
    </xf>
    <xf numFmtId="178" fontId="0" fillId="0" borderId="9" xfId="5" applyNumberFormat="1" applyFont="1" applyBorder="1" applyAlignment="1" applyProtection="1">
      <alignment horizontal="centerContinuous"/>
    </xf>
    <xf numFmtId="178" fontId="0" fillId="0" borderId="0" xfId="5" applyNumberFormat="1" applyFont="1" applyAlignment="1" applyProtection="1">
      <alignment horizontal="center"/>
    </xf>
    <xf numFmtId="0" fontId="0" fillId="0" borderId="13" xfId="5" applyFont="1" applyBorder="1" applyAlignment="1" applyProtection="1">
      <alignment horizontal="centerContinuous" vertical="center"/>
    </xf>
    <xf numFmtId="0" fontId="0" fillId="0" borderId="0" xfId="5" applyFont="1" applyAlignment="1" applyProtection="1">
      <alignment horizontal="right"/>
    </xf>
    <xf numFmtId="180" fontId="0" fillId="0" borderId="0" xfId="0" applyNumberFormat="1" applyBorder="1" applyAlignment="1">
      <alignment horizontal="center"/>
    </xf>
    <xf numFmtId="1" fontId="0" fillId="0" borderId="0" xfId="0" quotePrefix="1" applyNumberFormat="1" applyFont="1" applyAlignment="1">
      <alignment horizontal="right"/>
    </xf>
    <xf numFmtId="2" fontId="0" fillId="0" borderId="0" xfId="0" applyNumberFormat="1" applyFont="1" applyAlignment="1">
      <alignment horizontal="right"/>
    </xf>
    <xf numFmtId="0" fontId="0" fillId="0" borderId="0" xfId="5" applyFont="1"/>
    <xf numFmtId="0" fontId="5" fillId="0" borderId="0" xfId="5" applyFont="1" applyAlignment="1" applyProtection="1">
      <alignment horizontal="centerContinuous"/>
    </xf>
    <xf numFmtId="166" fontId="2" fillId="0" borderId="7" xfId="5" applyNumberFormat="1" applyFont="1" applyBorder="1" applyProtection="1">
      <protection locked="0"/>
    </xf>
    <xf numFmtId="0" fontId="0" fillId="0" borderId="3" xfId="5" applyNumberFormat="1" applyFont="1" applyBorder="1" applyAlignment="1" applyProtection="1">
      <alignment horizontal="center"/>
    </xf>
    <xf numFmtId="2" fontId="0" fillId="0" borderId="14" xfId="5" applyNumberFormat="1" applyFont="1" applyBorder="1" applyAlignment="1" applyProtection="1">
      <alignment horizontal="centerContinuous"/>
    </xf>
    <xf numFmtId="0" fontId="0" fillId="0" borderId="0" xfId="5" applyFont="1" applyAlignment="1" applyProtection="1">
      <alignment horizontal="left"/>
    </xf>
    <xf numFmtId="0" fontId="0" fillId="2" borderId="0" xfId="0" applyFill="1" applyBorder="1" applyAlignment="1">
      <alignment vertical="center"/>
    </xf>
    <xf numFmtId="190" fontId="0" fillId="0" borderId="0" xfId="0" quotePrefix="1" applyNumberFormat="1" applyFont="1" applyBorder="1" applyAlignment="1">
      <alignment horizontal="left"/>
    </xf>
    <xf numFmtId="0" fontId="0" fillId="0" borderId="13" xfId="5" applyFont="1" applyBorder="1" applyAlignment="1" applyProtection="1">
      <alignment horizontal="left"/>
    </xf>
    <xf numFmtId="167" fontId="0" fillId="0" borderId="0" xfId="0" applyNumberFormat="1" applyAlignment="1">
      <alignment horizontal="center"/>
    </xf>
    <xf numFmtId="0" fontId="0" fillId="0" borderId="0" xfId="5" applyFont="1" applyFill="1"/>
    <xf numFmtId="164" fontId="0" fillId="0" borderId="0" xfId="5" applyNumberFormat="1" applyFont="1" applyBorder="1" applyAlignment="1" applyProtection="1">
      <alignment horizontal="center"/>
    </xf>
    <xf numFmtId="0" fontId="0" fillId="0" borderId="8" xfId="5" applyFont="1" applyBorder="1" applyAlignment="1" applyProtection="1">
      <alignment horizontal="centerContinuous" vertical="center"/>
    </xf>
    <xf numFmtId="174" fontId="0" fillId="0" borderId="0" xfId="5" applyNumberFormat="1" applyFont="1" applyBorder="1" applyProtection="1"/>
    <xf numFmtId="166" fontId="0" fillId="0" borderId="0" xfId="5" applyNumberFormat="1" applyFont="1" applyAlignment="1" applyProtection="1">
      <alignment horizontal="center"/>
    </xf>
    <xf numFmtId="0" fontId="0" fillId="0" borderId="4" xfId="5" applyFont="1" applyBorder="1" applyAlignment="1" applyProtection="1">
      <alignment horizontal="center" vertical="center"/>
    </xf>
    <xf numFmtId="0" fontId="0" fillId="0" borderId="5" xfId="0" applyFont="1" applyBorder="1"/>
    <xf numFmtId="165" fontId="0" fillId="0" borderId="0" xfId="0" applyNumberFormat="1" applyBorder="1" applyAlignment="1">
      <alignment horizontal="center"/>
    </xf>
    <xf numFmtId="0" fontId="5" fillId="0" borderId="0" xfId="5" applyFont="1" applyAlignment="1" applyProtection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5" applyFont="1" applyProtection="1"/>
    <xf numFmtId="188" fontId="0" fillId="0" borderId="0" xfId="5" applyNumberFormat="1" applyFont="1" applyAlignment="1" applyProtection="1">
      <alignment horizontal="left"/>
    </xf>
    <xf numFmtId="2" fontId="0" fillId="0" borderId="0" xfId="0" applyNumberFormat="1" applyFont="1"/>
    <xf numFmtId="186" fontId="0" fillId="0" borderId="0" xfId="5" applyNumberFormat="1" applyFont="1" applyAlignment="1" applyProtection="1">
      <alignment horizontal="center"/>
    </xf>
    <xf numFmtId="177" fontId="0" fillId="0" borderId="0" xfId="5" applyNumberFormat="1" applyFont="1" applyBorder="1" applyAlignment="1" applyProtection="1">
      <alignment horizontal="center"/>
    </xf>
    <xf numFmtId="164" fontId="0" fillId="0" borderId="2" xfId="5" applyNumberFormat="1" applyFont="1" applyBorder="1" applyAlignment="1" applyProtection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Border="1"/>
    <xf numFmtId="166" fontId="0" fillId="0" borderId="0" xfId="5" applyNumberFormat="1" applyFont="1" applyBorder="1"/>
    <xf numFmtId="0" fontId="0" fillId="0" borderId="0" xfId="5" applyFont="1" applyFill="1" applyProtection="1"/>
    <xf numFmtId="185" fontId="0" fillId="0" borderId="0" xfId="4" applyNumberFormat="1" applyFont="1" applyFill="1"/>
    <xf numFmtId="0" fontId="0" fillId="0" borderId="12" xfId="5" applyFont="1" applyBorder="1"/>
    <xf numFmtId="2" fontId="0" fillId="0" borderId="0" xfId="0" applyNumberFormat="1" applyBorder="1" applyAlignment="1">
      <alignment horizontal="center"/>
    </xf>
    <xf numFmtId="0" fontId="0" fillId="0" borderId="0" xfId="5" applyFont="1" applyBorder="1" applyAlignment="1">
      <alignment horizontal="centerContinuous"/>
    </xf>
    <xf numFmtId="0" fontId="0" fillId="0" borderId="11" xfId="5" applyFont="1" applyBorder="1" applyAlignment="1" applyProtection="1">
      <alignment horizontal="centerContinuous" vertical="center"/>
    </xf>
    <xf numFmtId="0" fontId="0" fillId="0" borderId="0" xfId="5" applyNumberFormat="1" applyFont="1" applyBorder="1" applyProtection="1"/>
    <xf numFmtId="170" fontId="0" fillId="0" borderId="0" xfId="5" applyNumberFormat="1" applyFont="1" applyBorder="1" applyAlignment="1" applyProtection="1">
      <alignment horizontal="center"/>
    </xf>
    <xf numFmtId="166" fontId="0" fillId="0" borderId="0" xfId="5" applyNumberFormat="1" applyFont="1" applyAlignment="1" applyProtection="1">
      <alignment horizontal="right"/>
    </xf>
    <xf numFmtId="0" fontId="0" fillId="0" borderId="6" xfId="5" applyFont="1" applyBorder="1" applyAlignment="1" applyProtection="1">
      <alignment horizontal="center" vertical="center"/>
    </xf>
    <xf numFmtId="0" fontId="0" fillId="0" borderId="11" xfId="5" applyFont="1" applyBorder="1"/>
    <xf numFmtId="0" fontId="0" fillId="0" borderId="12" xfId="5" applyFont="1" applyBorder="1" applyProtection="1"/>
    <xf numFmtId="0" fontId="0" fillId="0" borderId="3" xfId="5" applyFont="1" applyBorder="1" applyAlignment="1" applyProtection="1">
      <alignment horizontal="center"/>
      <protection locked="0"/>
    </xf>
    <xf numFmtId="0" fontId="0" fillId="0" borderId="0" xfId="5" applyFont="1" applyBorder="1" applyAlignment="1">
      <alignment horizontal="center"/>
    </xf>
    <xf numFmtId="1" fontId="0" fillId="0" borderId="0" xfId="5" applyNumberFormat="1" applyFont="1" applyBorder="1" applyProtection="1"/>
    <xf numFmtId="188" fontId="0" fillId="0" borderId="0" xfId="5" applyNumberFormat="1" applyFont="1" applyAlignment="1" applyProtection="1">
      <alignment horizontal="center"/>
    </xf>
    <xf numFmtId="0" fontId="0" fillId="0" borderId="0" xfId="5" applyFont="1" applyBorder="1" applyAlignment="1" applyProtection="1">
      <alignment horizontal="centerContinuous"/>
    </xf>
    <xf numFmtId="0" fontId="0" fillId="0" borderId="6" xfId="5" applyFont="1" applyFill="1" applyBorder="1" applyAlignment="1" applyProtection="1">
      <alignment horizontal="center" vertical="center"/>
    </xf>
    <xf numFmtId="172" fontId="0" fillId="0" borderId="1" xfId="5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5" applyFont="1" applyBorder="1" applyAlignment="1"/>
    <xf numFmtId="2" fontId="0" fillId="0" borderId="9" xfId="5" applyNumberFormat="1" applyFont="1" applyBorder="1" applyAlignment="1" applyProtection="1">
      <alignment horizontal="centerContinuous"/>
    </xf>
    <xf numFmtId="0" fontId="6" fillId="2" borderId="0" xfId="0" applyFont="1" applyFill="1" applyBorder="1" applyAlignment="1">
      <alignment vertical="center"/>
    </xf>
    <xf numFmtId="182" fontId="0" fillId="0" borderId="0" xfId="5" applyNumberFormat="1" applyFont="1" applyAlignment="1" applyProtection="1">
      <alignment horizontal="center"/>
    </xf>
    <xf numFmtId="0" fontId="0" fillId="0" borderId="3" xfId="5" applyFont="1" applyBorder="1" applyAlignment="1">
      <alignment horizontal="center"/>
    </xf>
    <xf numFmtId="184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11" xfId="5" applyFont="1" applyBorder="1" applyProtection="1"/>
    <xf numFmtId="166" fontId="0" fillId="0" borderId="0" xfId="5" applyNumberFormat="1" applyFont="1" applyAlignment="1">
      <alignment horizontal="center"/>
    </xf>
    <xf numFmtId="0" fontId="0" fillId="0" borderId="0" xfId="5" applyFont="1" applyBorder="1" applyAlignment="1" applyProtection="1">
      <alignment horizontal="center"/>
    </xf>
    <xf numFmtId="169" fontId="0" fillId="0" borderId="0" xfId="5" applyNumberFormat="1" applyFont="1" applyAlignment="1" applyProtection="1">
      <alignment horizontal="center"/>
    </xf>
    <xf numFmtId="0" fontId="0" fillId="0" borderId="1" xfId="5" applyFont="1" applyBorder="1" applyAlignment="1" applyProtection="1">
      <alignment horizontal="centerContinuous" vertical="center"/>
    </xf>
    <xf numFmtId="0" fontId="0" fillId="0" borderId="15" xfId="5" applyFont="1" applyBorder="1" applyAlignment="1">
      <alignment horizontal="center"/>
    </xf>
    <xf numFmtId="0" fontId="0" fillId="0" borderId="0" xfId="0" applyFill="1" applyBorder="1" applyAlignment="1"/>
    <xf numFmtId="166" fontId="0" fillId="0" borderId="0" xfId="0" applyNumberFormat="1" applyFont="1" applyBorder="1"/>
    <xf numFmtId="166" fontId="0" fillId="0" borderId="0" xfId="0" applyNumberFormat="1" applyAlignment="1">
      <alignment horizontal="center"/>
    </xf>
    <xf numFmtId="0" fontId="0" fillId="0" borderId="13" xfId="5" applyFont="1" applyBorder="1"/>
    <xf numFmtId="172" fontId="0" fillId="0" borderId="0" xfId="5" applyNumberFormat="1" applyFont="1" applyBorder="1" applyAlignment="1" applyProtection="1">
      <alignment horizontal="center"/>
      <protection locked="0"/>
    </xf>
    <xf numFmtId="179" fontId="0" fillId="0" borderId="0" xfId="0" applyNumberFormat="1" applyBorder="1" applyAlignment="1">
      <alignment horizontal="center"/>
    </xf>
    <xf numFmtId="165" fontId="0" fillId="0" borderId="0" xfId="5" applyNumberFormat="1" applyFont="1" applyBorder="1" applyProtection="1"/>
    <xf numFmtId="178" fontId="0" fillId="0" borderId="0" xfId="5" applyNumberFormat="1" applyFont="1" applyBorder="1" applyAlignment="1" applyProtection="1">
      <alignment horizontal="centerContinuous"/>
    </xf>
    <xf numFmtId="167" fontId="0" fillId="0" borderId="14" xfId="5" applyNumberFormat="1" applyFont="1" applyBorder="1" applyAlignment="1" applyProtection="1">
      <alignment horizontal="centerContinuous"/>
    </xf>
    <xf numFmtId="186" fontId="0" fillId="0" borderId="14" xfId="5" applyNumberFormat="1" applyFont="1" applyBorder="1" applyAlignment="1" applyProtection="1">
      <alignment horizontal="centerContinuous"/>
    </xf>
    <xf numFmtId="0" fontId="5" fillId="0" borderId="0" xfId="5" applyFont="1" applyBorder="1" applyAlignment="1">
      <alignment horizontal="centerContinuous"/>
    </xf>
    <xf numFmtId="0" fontId="0" fillId="0" borderId="15" xfId="5" applyFont="1" applyBorder="1" applyAlignment="1" applyProtection="1">
      <alignment horizontal="center"/>
    </xf>
    <xf numFmtId="171" fontId="0" fillId="0" borderId="0" xfId="5" applyNumberFormat="1" applyFont="1" applyBorder="1" applyAlignment="1" applyProtection="1">
      <alignment horizontal="center"/>
    </xf>
    <xf numFmtId="180" fontId="0" fillId="0" borderId="0" xfId="0" applyNumberFormat="1" applyAlignment="1">
      <alignment horizontal="center"/>
    </xf>
    <xf numFmtId="173" fontId="0" fillId="0" borderId="0" xfId="5" applyNumberFormat="1" applyFont="1" applyBorder="1" applyAlignment="1" applyProtection="1">
      <alignment horizontal="center"/>
    </xf>
    <xf numFmtId="0" fontId="0" fillId="0" borderId="0" xfId="5" applyFont="1" applyBorder="1" applyAlignment="1" applyProtection="1">
      <alignment horizontal="centerContinuous" vertical="center"/>
    </xf>
    <xf numFmtId="166" fontId="0" fillId="0" borderId="4" xfId="5" applyNumberFormat="1" applyFont="1" applyBorder="1" applyAlignment="1" applyProtection="1">
      <alignment horizontal="center"/>
    </xf>
    <xf numFmtId="0" fontId="0" fillId="0" borderId="8" xfId="5" applyFont="1" applyBorder="1"/>
    <xf numFmtId="178" fontId="0" fillId="0" borderId="0" xfId="5" applyNumberFormat="1" applyFont="1" applyBorder="1" applyAlignment="1" applyProtection="1">
      <alignment horizontal="center"/>
    </xf>
    <xf numFmtId="0" fontId="0" fillId="0" borderId="13" xfId="5" applyFont="1" applyBorder="1" applyProtection="1"/>
    <xf numFmtId="2" fontId="0" fillId="0" borderId="0" xfId="5" applyNumberFormat="1" applyFont="1" applyAlignment="1" applyProtection="1">
      <alignment horizontal="right"/>
    </xf>
    <xf numFmtId="0" fontId="0" fillId="0" borderId="5" xfId="5" applyFont="1" applyBorder="1" applyAlignment="1" applyProtection="1">
      <alignment horizontal="center" vertical="center"/>
    </xf>
    <xf numFmtId="0" fontId="0" fillId="0" borderId="9" xfId="5" applyFont="1" applyBorder="1" applyAlignment="1" applyProtection="1">
      <alignment horizontal="center"/>
    </xf>
    <xf numFmtId="0" fontId="0" fillId="0" borderId="10" xfId="5" applyFont="1" applyFill="1" applyBorder="1" applyAlignment="1" applyProtection="1">
      <alignment horizontal="center" vertical="center"/>
    </xf>
    <xf numFmtId="178" fontId="0" fillId="0" borderId="15" xfId="5" applyNumberFormat="1" applyFont="1" applyBorder="1" applyAlignment="1" applyProtection="1">
      <alignment horizontal="centerContinuous"/>
    </xf>
    <xf numFmtId="0" fontId="0" fillId="0" borderId="0" xfId="5" applyFont="1" applyBorder="1"/>
    <xf numFmtId="0" fontId="2" fillId="0" borderId="3" xfId="5" applyNumberFormat="1" applyFont="1" applyBorder="1" applyAlignment="1" applyProtection="1">
      <alignment horizontal="center"/>
      <protection locked="0"/>
    </xf>
    <xf numFmtId="0" fontId="0" fillId="0" borderId="5" xfId="5" applyFont="1" applyFill="1" applyBorder="1" applyAlignment="1" applyProtection="1">
      <alignment horizontal="center" vertical="center"/>
    </xf>
    <xf numFmtId="0" fontId="0" fillId="0" borderId="0" xfId="5" applyFont="1" applyBorder="1" applyAlignment="1" applyProtection="1">
      <alignment horizontal="center"/>
      <protection locked="0"/>
    </xf>
    <xf numFmtId="0" fontId="0" fillId="0" borderId="0" xfId="5" applyFont="1" applyBorder="1" applyAlignment="1" applyProtection="1">
      <alignment horizontal="center" vertical="center"/>
    </xf>
    <xf numFmtId="0" fontId="0" fillId="0" borderId="0" xfId="5" applyFont="1" applyBorder="1" applyAlignment="1" applyProtection="1">
      <alignment horizontal="left"/>
    </xf>
    <xf numFmtId="165" fontId="0" fillId="0" borderId="0" xfId="0" applyNumberFormat="1" applyAlignment="1">
      <alignment horizontal="center"/>
    </xf>
    <xf numFmtId="186" fontId="0" fillId="0" borderId="0" xfId="5" applyNumberFormat="1" applyFont="1" applyBorder="1" applyAlignment="1" applyProtection="1">
      <alignment horizontal="centerContinuous"/>
    </xf>
    <xf numFmtId="166" fontId="0" fillId="0" borderId="0" xfId="0" applyNumberFormat="1" applyFont="1" applyAlignment="1">
      <alignment horizontal="center"/>
    </xf>
    <xf numFmtId="0" fontId="0" fillId="0" borderId="0" xfId="0" applyFill="1" applyBorder="1" applyAlignment="1">
      <alignment vertical="center"/>
    </xf>
    <xf numFmtId="167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0" xfId="5" applyNumberFormat="1" applyFont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0" xfId="0" applyFont="1"/>
    <xf numFmtId="0" fontId="0" fillId="0" borderId="3" xfId="5" applyFont="1" applyBorder="1"/>
    <xf numFmtId="176" fontId="0" fillId="0" borderId="0" xfId="5" applyNumberFormat="1" applyFont="1" applyBorder="1" applyAlignment="1" applyProtection="1">
      <alignment horizontal="center"/>
    </xf>
    <xf numFmtId="0" fontId="7" fillId="0" borderId="0" xfId="5" applyFont="1" applyAlignment="1" applyProtection="1"/>
    <xf numFmtId="166" fontId="0" fillId="0" borderId="0" xfId="5" applyNumberFormat="1" applyFont="1"/>
    <xf numFmtId="0" fontId="0" fillId="0" borderId="0" xfId="5" applyFont="1" applyBorder="1" applyProtection="1"/>
    <xf numFmtId="0" fontId="0" fillId="0" borderId="0" xfId="5" applyNumberFormat="1" applyFont="1" applyAlignment="1" applyProtection="1">
      <alignment horizontal="left"/>
    </xf>
    <xf numFmtId="165" fontId="0" fillId="0" borderId="0" xfId="5" applyNumberFormat="1" applyFont="1" applyAlignment="1" applyProtection="1">
      <alignment horizontal="right"/>
    </xf>
    <xf numFmtId="165" fontId="0" fillId="0" borderId="0" xfId="0" applyNumberFormat="1" applyFont="1" applyAlignment="1">
      <alignment horizontal="right"/>
    </xf>
    <xf numFmtId="0" fontId="7" fillId="0" borderId="0" xfId="5" applyFont="1" applyAlignment="1" applyProtection="1">
      <alignment horizontal="center"/>
    </xf>
    <xf numFmtId="186" fontId="0" fillId="0" borderId="11" xfId="5" applyNumberFormat="1" applyFont="1" applyBorder="1" applyAlignment="1" applyProtection="1">
      <alignment horizontal="center"/>
    </xf>
    <xf numFmtId="186" fontId="0" fillId="0" borderId="7" xfId="5" applyNumberFormat="1" applyFont="1" applyBorder="1" applyAlignment="1" applyProtection="1">
      <alignment horizontal="center"/>
    </xf>
    <xf numFmtId="0" fontId="0" fillId="0" borderId="1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185" fontId="3" fillId="0" borderId="0" xfId="0" applyNumberFormat="1" applyFont="1" applyAlignment="1">
      <alignment horizontal="left"/>
    </xf>
  </cellXfs>
  <cellStyles count="6">
    <cellStyle name="Normal" xfId="0" builtinId="0"/>
    <cellStyle name="Normal 2" xfId="1"/>
    <cellStyle name="Normal 2 2" xfId="2"/>
    <cellStyle name="Normal 3" xfId="3"/>
    <cellStyle name="Normal_Core Data H-3258" xfId="4"/>
    <cellStyle name="Normal_HG-DATA_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5492957746478872"/>
          <c:y val="7.0234113712374549E-2"/>
          <c:w val="0.76760563380283331"/>
          <c:h val="0.8160535117056855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Table!$B$18:$B$136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1.2134968752424142E-3</c:v>
                </c:pt>
                <c:pt idx="26">
                  <c:v>3.4160318929525001E-3</c:v>
                </c:pt>
                <c:pt idx="27">
                  <c:v>7.0571265884230867E-3</c:v>
                </c:pt>
                <c:pt idx="28">
                  <c:v>1.5869059315980465E-2</c:v>
                </c:pt>
                <c:pt idx="29">
                  <c:v>2.7017745801188511E-2</c:v>
                </c:pt>
                <c:pt idx="30">
                  <c:v>3.9650760280741611E-2</c:v>
                </c:pt>
                <c:pt idx="31">
                  <c:v>6.1679214162009284E-2</c:v>
                </c:pt>
                <c:pt idx="32">
                  <c:v>0.10897439677653216</c:v>
                </c:pt>
                <c:pt idx="33">
                  <c:v>0.15366457544601606</c:v>
                </c:pt>
                <c:pt idx="34">
                  <c:v>0.19631529574318185</c:v>
                </c:pt>
                <c:pt idx="35">
                  <c:v>0.23510019791800249</c:v>
                </c:pt>
                <c:pt idx="36">
                  <c:v>0.27023866812244357</c:v>
                </c:pt>
                <c:pt idx="37">
                  <c:v>0.30239589178304666</c:v>
                </c:pt>
                <c:pt idx="38">
                  <c:v>0.32947779349566475</c:v>
                </c:pt>
                <c:pt idx="39">
                  <c:v>0.35121304200849462</c:v>
                </c:pt>
                <c:pt idx="40">
                  <c:v>0.36904012599280223</c:v>
                </c:pt>
                <c:pt idx="41">
                  <c:v>0.38556628867090342</c:v>
                </c:pt>
                <c:pt idx="42">
                  <c:v>0.39998427058449298</c:v>
                </c:pt>
                <c:pt idx="43">
                  <c:v>0.41293654672873847</c:v>
                </c:pt>
                <c:pt idx="44">
                  <c:v>0.42447462048100731</c:v>
                </c:pt>
                <c:pt idx="45">
                  <c:v>0.43635115440756278</c:v>
                </c:pt>
                <c:pt idx="46">
                  <c:v>0.44677884300544668</c:v>
                </c:pt>
                <c:pt idx="47">
                  <c:v>0.45645449667433852</c:v>
                </c:pt>
                <c:pt idx="48">
                  <c:v>0.46687793723150617</c:v>
                </c:pt>
                <c:pt idx="49">
                  <c:v>0.47568909814934029</c:v>
                </c:pt>
                <c:pt idx="50">
                  <c:v>0.48343370447242923</c:v>
                </c:pt>
                <c:pt idx="51">
                  <c:v>0.49208604135634793</c:v>
                </c:pt>
                <c:pt idx="52">
                  <c:v>0.50115501553595376</c:v>
                </c:pt>
                <c:pt idx="53">
                  <c:v>0.51022632778448107</c:v>
                </c:pt>
                <c:pt idx="54">
                  <c:v>0.51881270478037711</c:v>
                </c:pt>
                <c:pt idx="55">
                  <c:v>0.52783073540193459</c:v>
                </c:pt>
                <c:pt idx="56">
                  <c:v>0.53726257129203514</c:v>
                </c:pt>
                <c:pt idx="57">
                  <c:v>0.54670543891577894</c:v>
                </c:pt>
                <c:pt idx="58">
                  <c:v>0.55540921331596871</c:v>
                </c:pt>
                <c:pt idx="59">
                  <c:v>0.56510742441036999</c:v>
                </c:pt>
                <c:pt idx="60">
                  <c:v>0.57487584343351017</c:v>
                </c:pt>
                <c:pt idx="61">
                  <c:v>0.585060241141374</c:v>
                </c:pt>
                <c:pt idx="62">
                  <c:v>0.59574943122242674</c:v>
                </c:pt>
                <c:pt idx="63">
                  <c:v>0.60712986644051492</c:v>
                </c:pt>
                <c:pt idx="64">
                  <c:v>0.6185398403603285</c:v>
                </c:pt>
                <c:pt idx="65">
                  <c:v>0.63067850145046844</c:v>
                </c:pt>
                <c:pt idx="66">
                  <c:v>0.64369910848220602</c:v>
                </c:pt>
                <c:pt idx="67">
                  <c:v>0.65704513519114727</c:v>
                </c:pt>
                <c:pt idx="68">
                  <c:v>0.67122647818545089</c:v>
                </c:pt>
                <c:pt idx="69">
                  <c:v>0.68621501477696301</c:v>
                </c:pt>
                <c:pt idx="70">
                  <c:v>0.70128620704442968</c:v>
                </c:pt>
                <c:pt idx="71">
                  <c:v>0.71638552200004968</c:v>
                </c:pt>
                <c:pt idx="72">
                  <c:v>0.7318188844364989</c:v>
                </c:pt>
                <c:pt idx="73">
                  <c:v>0.74643655719430668</c:v>
                </c:pt>
                <c:pt idx="74">
                  <c:v>0.76201804123650996</c:v>
                </c:pt>
                <c:pt idx="75">
                  <c:v>0.7771372462432361</c:v>
                </c:pt>
                <c:pt idx="76">
                  <c:v>0.79179746526930406</c:v>
                </c:pt>
                <c:pt idx="77">
                  <c:v>0.80569356385519442</c:v>
                </c:pt>
                <c:pt idx="78">
                  <c:v>0.81846534766481593</c:v>
                </c:pt>
                <c:pt idx="79">
                  <c:v>0.83144940178806381</c:v>
                </c:pt>
                <c:pt idx="80">
                  <c:v>0.84304549916624172</c:v>
                </c:pt>
                <c:pt idx="81">
                  <c:v>0.85366810367885637</c:v>
                </c:pt>
                <c:pt idx="82">
                  <c:v>0.86427233294558159</c:v>
                </c:pt>
                <c:pt idx="83">
                  <c:v>0.87395700958467715</c:v>
                </c:pt>
                <c:pt idx="84">
                  <c:v>0.88320331476628078</c:v>
                </c:pt>
                <c:pt idx="85">
                  <c:v>0.89218512178483045</c:v>
                </c:pt>
                <c:pt idx="86">
                  <c:v>0.90034623368141375</c:v>
                </c:pt>
                <c:pt idx="87">
                  <c:v>0.90827215560283125</c:v>
                </c:pt>
                <c:pt idx="88">
                  <c:v>0.91543995044384174</c:v>
                </c:pt>
                <c:pt idx="89">
                  <c:v>0.92208454473522528</c:v>
                </c:pt>
                <c:pt idx="90">
                  <c:v>0.92844573872889435</c:v>
                </c:pt>
                <c:pt idx="91">
                  <c:v>0.93486897387535139</c:v>
                </c:pt>
                <c:pt idx="92">
                  <c:v>0.94052071213883659</c:v>
                </c:pt>
                <c:pt idx="93">
                  <c:v>0.94632011098040136</c:v>
                </c:pt>
                <c:pt idx="94">
                  <c:v>0.95136131688046244</c:v>
                </c:pt>
                <c:pt idx="95">
                  <c:v>0.95655545224631333</c:v>
                </c:pt>
                <c:pt idx="96">
                  <c:v>0.96123857136536717</c:v>
                </c:pt>
                <c:pt idx="97">
                  <c:v>0.9657325374156237</c:v>
                </c:pt>
                <c:pt idx="98">
                  <c:v>0.97008095044288456</c:v>
                </c:pt>
                <c:pt idx="99">
                  <c:v>0.97403465791955235</c:v>
                </c:pt>
                <c:pt idx="100">
                  <c:v>0.97767743516021932</c:v>
                </c:pt>
                <c:pt idx="101">
                  <c:v>0.98099281689079154</c:v>
                </c:pt>
                <c:pt idx="102">
                  <c:v>0.98427770493374067</c:v>
                </c:pt>
                <c:pt idx="103">
                  <c:v>0.98716182820522946</c:v>
                </c:pt>
                <c:pt idx="104">
                  <c:v>0.98970538374734773</c:v>
                </c:pt>
                <c:pt idx="105">
                  <c:v>0.99187860234453273</c:v>
                </c:pt>
                <c:pt idx="106">
                  <c:v>0.9936682459164119</c:v>
                </c:pt>
                <c:pt idx="107">
                  <c:v>0.9936682459164119</c:v>
                </c:pt>
                <c:pt idx="108">
                  <c:v>0.99478867488799461</c:v>
                </c:pt>
                <c:pt idx="109">
                  <c:v>0.99549714270173273</c:v>
                </c:pt>
                <c:pt idx="110">
                  <c:v>0.99633700340274489</c:v>
                </c:pt>
                <c:pt idx="111">
                  <c:v>0.99667546357703141</c:v>
                </c:pt>
                <c:pt idx="112">
                  <c:v>0.99730509565840508</c:v>
                </c:pt>
                <c:pt idx="113">
                  <c:v>0.99755912190713514</c:v>
                </c:pt>
                <c:pt idx="114">
                  <c:v>0.99771080001209367</c:v>
                </c:pt>
                <c:pt idx="115">
                  <c:v>0.99896301703752854</c:v>
                </c:pt>
                <c:pt idx="116">
                  <c:v>0.99896301703752854</c:v>
                </c:pt>
                <c:pt idx="117">
                  <c:v>0.99896301703752854</c:v>
                </c:pt>
                <c:pt idx="118">
                  <c:v>1</c:v>
                </c:pt>
              </c:numCache>
            </c:numRef>
          </c:xVal>
          <c:yVal>
            <c:numRef>
              <c:f>Table!$A$18:$A$136</c:f>
              <c:numCache>
                <c:formatCode>????0.00</c:formatCode>
                <c:ptCount val="119"/>
                <c:pt idx="0">
                  <c:v>1.5111188888549805</c:v>
                </c:pt>
                <c:pt idx="1">
                  <c:v>1.5927377939224243</c:v>
                </c:pt>
                <c:pt idx="2">
                  <c:v>1.8091528415679932</c:v>
                </c:pt>
                <c:pt idx="3">
                  <c:v>2.0080840587615967</c:v>
                </c:pt>
                <c:pt idx="4">
                  <c:v>2.1665682792663574</c:v>
                </c:pt>
                <c:pt idx="5">
                  <c:v>2.3601815700531006</c:v>
                </c:pt>
                <c:pt idx="6">
                  <c:v>2.5801417827606201</c:v>
                </c:pt>
                <c:pt idx="7">
                  <c:v>2.8124294281005859</c:v>
                </c:pt>
                <c:pt idx="8">
                  <c:v>3.0823440551757812</c:v>
                </c:pt>
                <c:pt idx="9">
                  <c:v>3.380378246307373</c:v>
                </c:pt>
                <c:pt idx="10">
                  <c:v>3.6872751712799072</c:v>
                </c:pt>
                <c:pt idx="11">
                  <c:v>4.0374388694763184</c:v>
                </c:pt>
                <c:pt idx="12">
                  <c:v>4.4162859916687012</c:v>
                </c:pt>
                <c:pt idx="13">
                  <c:v>4.8212385177612305</c:v>
                </c:pt>
                <c:pt idx="14">
                  <c:v>5.2617230415344238</c:v>
                </c:pt>
                <c:pt idx="15">
                  <c:v>5.769646167755127</c:v>
                </c:pt>
                <c:pt idx="16">
                  <c:v>6.3070578575134277</c:v>
                </c:pt>
                <c:pt idx="17">
                  <c:v>6.8961162567138672</c:v>
                </c:pt>
                <c:pt idx="18">
                  <c:v>7.5426220893859863</c:v>
                </c:pt>
                <c:pt idx="19">
                  <c:v>8.2507648468017578</c:v>
                </c:pt>
                <c:pt idx="20">
                  <c:v>9.032470703125</c:v>
                </c:pt>
                <c:pt idx="21">
                  <c:v>9.8776664733886719</c:v>
                </c:pt>
                <c:pt idx="22">
                  <c:v>10.784820556640625</c:v>
                </c:pt>
                <c:pt idx="23">
                  <c:v>11.881881713867188</c:v>
                </c:pt>
                <c:pt idx="24">
                  <c:v>12.879276275634766</c:v>
                </c:pt>
                <c:pt idx="25">
                  <c:v>14.174222946166992</c:v>
                </c:pt>
                <c:pt idx="26">
                  <c:v>15.475774765014648</c:v>
                </c:pt>
                <c:pt idx="27">
                  <c:v>16.869663238525391</c:v>
                </c:pt>
                <c:pt idx="28">
                  <c:v>18.461271286010742</c:v>
                </c:pt>
                <c:pt idx="29">
                  <c:v>20.261240005493164</c:v>
                </c:pt>
                <c:pt idx="30">
                  <c:v>22.154106140136719</c:v>
                </c:pt>
                <c:pt idx="31">
                  <c:v>24.297954559326172</c:v>
                </c:pt>
                <c:pt idx="32">
                  <c:v>26.598430633544922</c:v>
                </c:pt>
                <c:pt idx="33">
                  <c:v>28.984798431396484</c:v>
                </c:pt>
                <c:pt idx="34">
                  <c:v>30.067842483520508</c:v>
                </c:pt>
                <c:pt idx="35">
                  <c:v>33.794597625732422</c:v>
                </c:pt>
                <c:pt idx="36">
                  <c:v>37.1572265625</c:v>
                </c:pt>
                <c:pt idx="37">
                  <c:v>41.041534423828125</c:v>
                </c:pt>
                <c:pt idx="38">
                  <c:v>44.37725830078125</c:v>
                </c:pt>
                <c:pt idx="39">
                  <c:v>48.903038024902344</c:v>
                </c:pt>
                <c:pt idx="40">
                  <c:v>53.485099792480469</c:v>
                </c:pt>
                <c:pt idx="41">
                  <c:v>59.041698455810547</c:v>
                </c:pt>
                <c:pt idx="42">
                  <c:v>64.144638061523438</c:v>
                </c:pt>
                <c:pt idx="43">
                  <c:v>70.58990478515625</c:v>
                </c:pt>
                <c:pt idx="44">
                  <c:v>77.080558776855469</c:v>
                </c:pt>
                <c:pt idx="45">
                  <c:v>84.577743530273438</c:v>
                </c:pt>
                <c:pt idx="46">
                  <c:v>92.85308837890625</c:v>
                </c:pt>
                <c:pt idx="47">
                  <c:v>101.34757995605469</c:v>
                </c:pt>
                <c:pt idx="48">
                  <c:v>111.17726135253906</c:v>
                </c:pt>
                <c:pt idx="49">
                  <c:v>121.20176696777344</c:v>
                </c:pt>
                <c:pt idx="50">
                  <c:v>133.02616882324219</c:v>
                </c:pt>
                <c:pt idx="51">
                  <c:v>145.13165283203125</c:v>
                </c:pt>
                <c:pt idx="52">
                  <c:v>158.62014770507812</c:v>
                </c:pt>
                <c:pt idx="53">
                  <c:v>174.36824035644531</c:v>
                </c:pt>
                <c:pt idx="54">
                  <c:v>190.11256408691406</c:v>
                </c:pt>
                <c:pt idx="55">
                  <c:v>208.03059387207031</c:v>
                </c:pt>
                <c:pt idx="56">
                  <c:v>228.60191345214844</c:v>
                </c:pt>
                <c:pt idx="57">
                  <c:v>250.67134094238281</c:v>
                </c:pt>
                <c:pt idx="58">
                  <c:v>272.77731323242187</c:v>
                </c:pt>
                <c:pt idx="59">
                  <c:v>299.3406982421875</c:v>
                </c:pt>
                <c:pt idx="60">
                  <c:v>326.94403076171875</c:v>
                </c:pt>
                <c:pt idx="61">
                  <c:v>358.00738525390625</c:v>
                </c:pt>
                <c:pt idx="62">
                  <c:v>392.74526977539062</c:v>
                </c:pt>
                <c:pt idx="63">
                  <c:v>429.1458740234375</c:v>
                </c:pt>
                <c:pt idx="64">
                  <c:v>469.15017700195312</c:v>
                </c:pt>
                <c:pt idx="65">
                  <c:v>513.83038330078125</c:v>
                </c:pt>
                <c:pt idx="66">
                  <c:v>562.29156494140625</c:v>
                </c:pt>
                <c:pt idx="67">
                  <c:v>613.73175048828125</c:v>
                </c:pt>
                <c:pt idx="68">
                  <c:v>671.674560546875</c:v>
                </c:pt>
                <c:pt idx="69">
                  <c:v>735.85565185546875</c:v>
                </c:pt>
                <c:pt idx="70">
                  <c:v>804.97662353515625</c:v>
                </c:pt>
                <c:pt idx="71">
                  <c:v>879.329345703125</c:v>
                </c:pt>
                <c:pt idx="72">
                  <c:v>961.685791015625</c:v>
                </c:pt>
                <c:pt idx="73">
                  <c:v>1048.0577392578125</c:v>
                </c:pt>
                <c:pt idx="74">
                  <c:v>1148.8321533203125</c:v>
                </c:pt>
                <c:pt idx="75">
                  <c:v>1258.2447509765625</c:v>
                </c:pt>
                <c:pt idx="76">
                  <c:v>1377.0615234375</c:v>
                </c:pt>
                <c:pt idx="77">
                  <c:v>1508.364013671875</c:v>
                </c:pt>
                <c:pt idx="78">
                  <c:v>1647.9024658203125</c:v>
                </c:pt>
                <c:pt idx="79">
                  <c:v>1808.3631591796875</c:v>
                </c:pt>
                <c:pt idx="80">
                  <c:v>1977.573974609375</c:v>
                </c:pt>
                <c:pt idx="81">
                  <c:v>2158.742919921875</c:v>
                </c:pt>
                <c:pt idx="82">
                  <c:v>2368.0859375</c:v>
                </c:pt>
                <c:pt idx="83">
                  <c:v>2587.8798828125</c:v>
                </c:pt>
                <c:pt idx="84">
                  <c:v>2827.276611328125</c:v>
                </c:pt>
                <c:pt idx="85">
                  <c:v>3099.2099609375</c:v>
                </c:pt>
                <c:pt idx="86">
                  <c:v>3388.435791015625</c:v>
                </c:pt>
                <c:pt idx="87">
                  <c:v>3708.822265625</c:v>
                </c:pt>
                <c:pt idx="88">
                  <c:v>4054.741455078125</c:v>
                </c:pt>
                <c:pt idx="89">
                  <c:v>4434.595703125</c:v>
                </c:pt>
                <c:pt idx="90">
                  <c:v>4844.31884765625</c:v>
                </c:pt>
                <c:pt idx="91">
                  <c:v>5305.80908203125</c:v>
                </c:pt>
                <c:pt idx="92">
                  <c:v>5804.2744140625</c:v>
                </c:pt>
                <c:pt idx="93">
                  <c:v>6355.3916015625</c:v>
                </c:pt>
                <c:pt idx="94">
                  <c:v>6946.6513671875</c:v>
                </c:pt>
                <c:pt idx="95">
                  <c:v>7604.61376953125</c:v>
                </c:pt>
                <c:pt idx="96">
                  <c:v>8315.400390625</c:v>
                </c:pt>
                <c:pt idx="97">
                  <c:v>9094.6044921875</c:v>
                </c:pt>
                <c:pt idx="98">
                  <c:v>9955.0146484375</c:v>
                </c:pt>
                <c:pt idx="99">
                  <c:v>10894.6474609375</c:v>
                </c:pt>
                <c:pt idx="100">
                  <c:v>11895.57421875</c:v>
                </c:pt>
                <c:pt idx="101">
                  <c:v>12994.7421875</c:v>
                </c:pt>
                <c:pt idx="102">
                  <c:v>14293.283203125</c:v>
                </c:pt>
                <c:pt idx="103">
                  <c:v>15591.076171875</c:v>
                </c:pt>
                <c:pt idx="104">
                  <c:v>17095.8125</c:v>
                </c:pt>
                <c:pt idx="105">
                  <c:v>18694.93359375</c:v>
                </c:pt>
                <c:pt idx="106">
                  <c:v>20392.146484375</c:v>
                </c:pt>
                <c:pt idx="107">
                  <c:v>22292.744140625</c:v>
                </c:pt>
                <c:pt idx="108">
                  <c:v>24395.33203125</c:v>
                </c:pt>
                <c:pt idx="109">
                  <c:v>26697.021484375</c:v>
                </c:pt>
                <c:pt idx="110">
                  <c:v>29293.7578125</c:v>
                </c:pt>
                <c:pt idx="111">
                  <c:v>31997.32421875</c:v>
                </c:pt>
                <c:pt idx="112">
                  <c:v>34994.87890625</c:v>
                </c:pt>
                <c:pt idx="113">
                  <c:v>38277.015625</c:v>
                </c:pt>
                <c:pt idx="114">
                  <c:v>41875.64453125</c:v>
                </c:pt>
                <c:pt idx="115">
                  <c:v>45778.609375</c:v>
                </c:pt>
                <c:pt idx="116">
                  <c:v>50077.66796875</c:v>
                </c:pt>
                <c:pt idx="117">
                  <c:v>54775.796875</c:v>
                </c:pt>
                <c:pt idx="118">
                  <c:v>59475.0546875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554048"/>
        <c:axId val="103585280"/>
      </c:scatterChart>
      <c:valAx>
        <c:axId val="103554048"/>
        <c:scaling>
          <c:orientation val="maxMin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 sz="700" b="0"/>
                  <a:t>Mercury Saturation</a:t>
                </a:r>
              </a:p>
            </c:rich>
          </c:tx>
          <c:layout>
            <c:manualLayout>
              <c:xMode val="edge"/>
              <c:yMode val="edge"/>
              <c:x val="0.39370372327620123"/>
              <c:y val="0.936454877102626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/>
            </a:pPr>
            <a:endParaRPr lang="en-US"/>
          </a:p>
        </c:txPr>
        <c:crossAx val="103585280"/>
        <c:crossesAt val="1.0000000000000041E-3"/>
        <c:crossBetween val="midCat"/>
        <c:majorUnit val="0.2"/>
        <c:minorUnit val="0.1"/>
      </c:valAx>
      <c:valAx>
        <c:axId val="103585280"/>
        <c:scaling>
          <c:logBase val="10"/>
          <c:orientation val="minMax"/>
          <c:max val="100000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Injection Pressure, psia</a:t>
                </a:r>
              </a:p>
            </c:rich>
          </c:tx>
          <c:layout>
            <c:manualLayout>
              <c:xMode val="edge"/>
              <c:yMode val="edge"/>
              <c:x val="1.7605633802816906E-2"/>
              <c:y val="0.33779264214047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/>
            </a:pPr>
            <a:endParaRPr lang="en-US"/>
          </a:p>
        </c:txPr>
        <c:crossAx val="103554048"/>
        <c:crosses val="max"/>
        <c:crossBetween val="midCat"/>
        <c:majorUnit val="10"/>
        <c:minorUnit val="10"/>
      </c:val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3175">
      <a:solidFill>
        <a:schemeClr val="dk1"/>
      </a:solidFill>
    </a:ln>
  </c:spPr>
  <c:txPr>
    <a:bodyPr/>
    <a:lstStyle/>
    <a:p>
      <a:pPr>
        <a:defRPr sz="575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4041119369915644"/>
          <c:y val="5.3511705685618735E-2"/>
          <c:w val="0.71747821581027194"/>
          <c:h val="0.8104070436011552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660066"/>
              </a:solidFill>
            </a:ln>
          </c:spPr>
          <c:marker>
            <c:symbol val="circle"/>
            <c:size val="5"/>
            <c:spPr>
              <a:solidFill>
                <a:srgbClr val="660066"/>
              </a:solidFill>
              <a:ln>
                <a:solidFill>
                  <a:srgbClr val="660066"/>
                </a:solidFill>
              </a:ln>
            </c:spPr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0.99878650312475759</c:v>
                </c:pt>
                <c:pt idx="26">
                  <c:v>0.99658396810704752</c:v>
                </c:pt>
                <c:pt idx="27">
                  <c:v>0.99294287341157694</c:v>
                </c:pt>
                <c:pt idx="28">
                  <c:v>0.98413094068401952</c:v>
                </c:pt>
                <c:pt idx="29">
                  <c:v>0.97298225419881146</c:v>
                </c:pt>
                <c:pt idx="30">
                  <c:v>0.96034923971925834</c:v>
                </c:pt>
                <c:pt idx="31">
                  <c:v>0.93832078583799072</c:v>
                </c:pt>
                <c:pt idx="32">
                  <c:v>0.8910256032234678</c:v>
                </c:pt>
                <c:pt idx="33">
                  <c:v>0.84633542455398392</c:v>
                </c:pt>
                <c:pt idx="34">
                  <c:v>0.80368470425681815</c:v>
                </c:pt>
                <c:pt idx="35">
                  <c:v>0.76489980208199748</c:v>
                </c:pt>
                <c:pt idx="36">
                  <c:v>0.72976133187755643</c:v>
                </c:pt>
                <c:pt idx="37">
                  <c:v>0.69760410821695329</c:v>
                </c:pt>
                <c:pt idx="38">
                  <c:v>0.67052220650433525</c:v>
                </c:pt>
                <c:pt idx="39">
                  <c:v>0.64878695799150532</c:v>
                </c:pt>
                <c:pt idx="40">
                  <c:v>0.63095987400719777</c:v>
                </c:pt>
                <c:pt idx="41">
                  <c:v>0.61443371132909652</c:v>
                </c:pt>
                <c:pt idx="42">
                  <c:v>0.60001572941550707</c:v>
                </c:pt>
                <c:pt idx="43">
                  <c:v>0.58706345327126153</c:v>
                </c:pt>
                <c:pt idx="44">
                  <c:v>0.57552537951899274</c:v>
                </c:pt>
                <c:pt idx="45">
                  <c:v>0.56364884559243722</c:v>
                </c:pt>
                <c:pt idx="46">
                  <c:v>0.55322115699455332</c:v>
                </c:pt>
                <c:pt idx="47">
                  <c:v>0.54354550332566154</c:v>
                </c:pt>
                <c:pt idx="48">
                  <c:v>0.53312206276849383</c:v>
                </c:pt>
                <c:pt idx="49">
                  <c:v>0.52431090185065976</c:v>
                </c:pt>
                <c:pt idx="50">
                  <c:v>0.51656629552757072</c:v>
                </c:pt>
                <c:pt idx="51">
                  <c:v>0.50791395864365207</c:v>
                </c:pt>
                <c:pt idx="52">
                  <c:v>0.49884498446404624</c:v>
                </c:pt>
                <c:pt idx="53">
                  <c:v>0.48977367221551893</c:v>
                </c:pt>
                <c:pt idx="54">
                  <c:v>0.48118729521962289</c:v>
                </c:pt>
                <c:pt idx="55">
                  <c:v>0.47216926459806541</c:v>
                </c:pt>
                <c:pt idx="56">
                  <c:v>0.46273742870796486</c:v>
                </c:pt>
                <c:pt idx="57">
                  <c:v>0.45329456108422106</c:v>
                </c:pt>
                <c:pt idx="58">
                  <c:v>0.44459078668403129</c:v>
                </c:pt>
                <c:pt idx="59">
                  <c:v>0.43489257558963001</c:v>
                </c:pt>
                <c:pt idx="60">
                  <c:v>0.42512415656648983</c:v>
                </c:pt>
                <c:pt idx="61">
                  <c:v>0.414939758858626</c:v>
                </c:pt>
                <c:pt idx="62">
                  <c:v>0.40425056877757326</c:v>
                </c:pt>
                <c:pt idx="63">
                  <c:v>0.39287013355948508</c:v>
                </c:pt>
                <c:pt idx="64">
                  <c:v>0.3814601596396715</c:v>
                </c:pt>
                <c:pt idx="65">
                  <c:v>0.36932149854953156</c:v>
                </c:pt>
                <c:pt idx="66">
                  <c:v>0.35630089151779398</c:v>
                </c:pt>
                <c:pt idx="67">
                  <c:v>0.34295486480885273</c:v>
                </c:pt>
                <c:pt idx="68">
                  <c:v>0.32877352181454911</c:v>
                </c:pt>
                <c:pt idx="69">
                  <c:v>0.31378498522303699</c:v>
                </c:pt>
                <c:pt idx="70">
                  <c:v>0.29871379295557032</c:v>
                </c:pt>
                <c:pt idx="71">
                  <c:v>0.28361447799995032</c:v>
                </c:pt>
                <c:pt idx="72">
                  <c:v>0.2681811155635011</c:v>
                </c:pt>
                <c:pt idx="73">
                  <c:v>0.25356344280569332</c:v>
                </c:pt>
                <c:pt idx="74">
                  <c:v>0.23798195876349004</c:v>
                </c:pt>
                <c:pt idx="75">
                  <c:v>0.2228627537567639</c:v>
                </c:pt>
                <c:pt idx="76">
                  <c:v>0.20820253473069594</c:v>
                </c:pt>
                <c:pt idx="77">
                  <c:v>0.19430643614480558</c:v>
                </c:pt>
                <c:pt idx="78">
                  <c:v>0.18153465233518407</c:v>
                </c:pt>
                <c:pt idx="79">
                  <c:v>0.16855059821193619</c:v>
                </c:pt>
                <c:pt idx="80">
                  <c:v>0.15695450083375828</c:v>
                </c:pt>
                <c:pt idx="81">
                  <c:v>0.14633189632114363</c:v>
                </c:pt>
                <c:pt idx="82">
                  <c:v>0.13572766705441841</c:v>
                </c:pt>
                <c:pt idx="83">
                  <c:v>0.12604299041532285</c:v>
                </c:pt>
                <c:pt idx="84">
                  <c:v>0.11679668523371922</c:v>
                </c:pt>
                <c:pt idx="85">
                  <c:v>0.10781487821516955</c:v>
                </c:pt>
                <c:pt idx="86">
                  <c:v>9.9653766318586245E-2</c:v>
                </c:pt>
                <c:pt idx="87">
                  <c:v>9.1727844397168745E-2</c:v>
                </c:pt>
                <c:pt idx="88">
                  <c:v>8.4560049556158257E-2</c:v>
                </c:pt>
                <c:pt idx="89">
                  <c:v>7.7915455264774724E-2</c:v>
                </c:pt>
                <c:pt idx="90">
                  <c:v>7.1554261271105646E-2</c:v>
                </c:pt>
                <c:pt idx="91">
                  <c:v>6.5131026124648606E-2</c:v>
                </c:pt>
                <c:pt idx="92">
                  <c:v>5.947928786116341E-2</c:v>
                </c:pt>
                <c:pt idx="93">
                  <c:v>5.3679889019598637E-2</c:v>
                </c:pt>
                <c:pt idx="94">
                  <c:v>4.8638683119537562E-2</c:v>
                </c:pt>
                <c:pt idx="95">
                  <c:v>4.3444547753686669E-2</c:v>
                </c:pt>
                <c:pt idx="96">
                  <c:v>3.8761428634632833E-2</c:v>
                </c:pt>
                <c:pt idx="97">
                  <c:v>3.4267462584376296E-2</c:v>
                </c:pt>
                <c:pt idx="98">
                  <c:v>2.991904955711544E-2</c:v>
                </c:pt>
                <c:pt idx="99">
                  <c:v>2.5965342080447651E-2</c:v>
                </c:pt>
                <c:pt idx="100">
                  <c:v>2.2322564839780679E-2</c:v>
                </c:pt>
                <c:pt idx="101">
                  <c:v>1.9007183109208459E-2</c:v>
                </c:pt>
                <c:pt idx="102">
                  <c:v>1.5722295066259329E-2</c:v>
                </c:pt>
                <c:pt idx="103">
                  <c:v>1.2838171794770536E-2</c:v>
                </c:pt>
                <c:pt idx="104">
                  <c:v>1.0294616252652267E-2</c:v>
                </c:pt>
                <c:pt idx="105">
                  <c:v>8.1213976554672662E-3</c:v>
                </c:pt>
                <c:pt idx="106">
                  <c:v>6.3317540835881037E-3</c:v>
                </c:pt>
                <c:pt idx="107">
                  <c:v>6.3317540835881037E-3</c:v>
                </c:pt>
                <c:pt idx="108">
                  <c:v>5.2113251120053938E-3</c:v>
                </c:pt>
                <c:pt idx="109">
                  <c:v>4.502857298267271E-3</c:v>
                </c:pt>
                <c:pt idx="110">
                  <c:v>3.6629965972551082E-3</c:v>
                </c:pt>
                <c:pt idx="111">
                  <c:v>3.3245364229685936E-3</c:v>
                </c:pt>
                <c:pt idx="112">
                  <c:v>2.694904341594917E-3</c:v>
                </c:pt>
                <c:pt idx="113">
                  <c:v>2.4408780928648621E-3</c:v>
                </c:pt>
                <c:pt idx="114">
                  <c:v>2.2891999879063318E-3</c:v>
                </c:pt>
                <c:pt idx="115">
                  <c:v>1.0369829624714555E-3</c:v>
                </c:pt>
                <c:pt idx="116">
                  <c:v>1.0369829624714555E-3</c:v>
                </c:pt>
                <c:pt idx="117">
                  <c:v>1.0369829624714555E-3</c:v>
                </c:pt>
                <c:pt idx="118">
                  <c:v>0</c:v>
                </c:pt>
              </c:numCache>
            </c:numRef>
          </c:xVal>
          <c:yVal>
            <c:numRef>
              <c:f>Table!$L$18:$L$136</c:f>
              <c:numCache>
                <c:formatCode>????0.00</c:formatCode>
                <c:ptCount val="119"/>
                <c:pt idx="0">
                  <c:v>0.2847088512971731</c:v>
                </c:pt>
                <c:pt idx="1">
                  <c:v>0.30008661202617359</c:v>
                </c:pt>
                <c:pt idx="2">
                  <c:v>0.3408612195524422</c:v>
                </c:pt>
                <c:pt idx="3">
                  <c:v>0.37834171083083207</c:v>
                </c:pt>
                <c:pt idx="4">
                  <c:v>0.4082016117965519</c:v>
                </c:pt>
                <c:pt idx="5">
                  <c:v>0.4446801562858792</c:v>
                </c:pt>
                <c:pt idx="6">
                  <c:v>0.48612270587805079</c:v>
                </c:pt>
                <c:pt idx="7">
                  <c:v>0.52988785841702724</c:v>
                </c:pt>
                <c:pt idx="8">
                  <c:v>0.58074228422670859</c:v>
                </c:pt>
                <c:pt idx="9">
                  <c:v>0.63689469740225513</c:v>
                </c:pt>
                <c:pt idx="10">
                  <c:v>0.69471693205235108</c:v>
                </c:pt>
                <c:pt idx="11">
                  <c:v>0.76069102913680464</c:v>
                </c:pt>
                <c:pt idx="12">
                  <c:v>0.83206935004335003</c:v>
                </c:pt>
                <c:pt idx="13">
                  <c:v>0.90836617181165835</c:v>
                </c:pt>
                <c:pt idx="14">
                  <c:v>0.99135755237250556</c:v>
                </c:pt>
                <c:pt idx="15">
                  <c:v>1.0870549927791575</c:v>
                </c:pt>
                <c:pt idx="16">
                  <c:v>1.1883083527849314</c:v>
                </c:pt>
                <c:pt idx="17">
                  <c:v>1.2992924331377274</c:v>
                </c:pt>
                <c:pt idx="18">
                  <c:v>1.421100144188493</c:v>
                </c:pt>
                <c:pt idx="19">
                  <c:v>1.5545208250530054</c:v>
                </c:pt>
                <c:pt idx="20">
                  <c:v>1.7018014778510804</c:v>
                </c:pt>
                <c:pt idx="21">
                  <c:v>1.861044220859432</c:v>
                </c:pt>
                <c:pt idx="22">
                  <c:v>2.0319604862155658</c:v>
                </c:pt>
                <c:pt idx="23">
                  <c:v>2.2386570103476897</c:v>
                </c:pt>
                <c:pt idx="24">
                  <c:v>2.4265754210467083</c:v>
                </c:pt>
                <c:pt idx="25">
                  <c:v>2.6705554161202203</c:v>
                </c:pt>
                <c:pt idx="26">
                  <c:v>2.9157798825608783</c:v>
                </c:pt>
                <c:pt idx="27">
                  <c:v>3.1784014334239745</c:v>
                </c:pt>
                <c:pt idx="28">
                  <c:v>3.4782751907153364</c:v>
                </c:pt>
                <c:pt idx="29">
                  <c:v>3.8174060362591939</c:v>
                </c:pt>
                <c:pt idx="30">
                  <c:v>4.1740396187181092</c:v>
                </c:pt>
                <c:pt idx="31">
                  <c:v>4.577960597593032</c:v>
                </c:pt>
                <c:pt idx="32">
                  <c:v>5.0113916832329828</c:v>
                </c:pt>
                <c:pt idx="33">
                  <c:v>5.4610055683546888</c:v>
                </c:pt>
                <c:pt idx="34">
                  <c:v>5.665061139533548</c:v>
                </c:pt>
                <c:pt idx="35">
                  <c:v>6.3672164652531338</c:v>
                </c:pt>
                <c:pt idx="36">
                  <c:v>7.0007670276785428</c:v>
                </c:pt>
                <c:pt idx="37">
                  <c:v>7.7326067508397562</c:v>
                </c:pt>
                <c:pt idx="38">
                  <c:v>8.3610881497927529</c:v>
                </c:pt>
                <c:pt idx="39">
                  <c:v>9.2137871372661415</c:v>
                </c:pt>
                <c:pt idx="40">
                  <c:v>10.077090185121206</c:v>
                </c:pt>
                <c:pt idx="41">
                  <c:v>11.124005046833281</c:v>
                </c:pt>
                <c:pt idx="42">
                  <c:v>12.085446323291835</c:v>
                </c:pt>
                <c:pt idx="43">
                  <c:v>13.299794511725802</c:v>
                </c:pt>
                <c:pt idx="44">
                  <c:v>14.52269408354198</c:v>
                </c:pt>
                <c:pt idx="45">
                  <c:v>15.935233411089991</c:v>
                </c:pt>
                <c:pt idx="46">
                  <c:v>17.494385337069478</c:v>
                </c:pt>
                <c:pt idx="47">
                  <c:v>19.094826544654396</c:v>
                </c:pt>
                <c:pt idx="48">
                  <c:v>20.946829930788255</c:v>
                </c:pt>
                <c:pt idx="49">
                  <c:v>22.835540011500733</c:v>
                </c:pt>
                <c:pt idx="50">
                  <c:v>25.063367281992718</c:v>
                </c:pt>
                <c:pt idx="51">
                  <c:v>27.344153044091275</c:v>
                </c:pt>
                <c:pt idx="52">
                  <c:v>29.885510914313446</c:v>
                </c:pt>
                <c:pt idx="53">
                  <c:v>32.852598019080943</c:v>
                </c:pt>
                <c:pt idx="54">
                  <c:v>35.81897502410213</c:v>
                </c:pt>
                <c:pt idx="55">
                  <c:v>39.194898464186892</c:v>
                </c:pt>
                <c:pt idx="56">
                  <c:v>43.070726375880184</c:v>
                </c:pt>
                <c:pt idx="57">
                  <c:v>47.228811749488329</c:v>
                </c:pt>
                <c:pt idx="58">
                  <c:v>51.393782503227726</c:v>
                </c:pt>
                <c:pt idx="59">
                  <c:v>56.398571265034214</c:v>
                </c:pt>
                <c:pt idx="60">
                  <c:v>61.599295808663321</c:v>
                </c:pt>
                <c:pt idx="61">
                  <c:v>67.451920668384957</c:v>
                </c:pt>
                <c:pt idx="62">
                  <c:v>73.996861156885998</c:v>
                </c:pt>
                <c:pt idx="63">
                  <c:v>80.855073504318966</c:v>
                </c:pt>
                <c:pt idx="64">
                  <c:v>88.392256205137102</c:v>
                </c:pt>
                <c:pt idx="65">
                  <c:v>96.810422575024134</c:v>
                </c:pt>
                <c:pt idx="66">
                  <c:v>105.94095986045285</c:v>
                </c:pt>
                <c:pt idx="67">
                  <c:v>115.63276918503983</c:v>
                </c:pt>
                <c:pt idx="68">
                  <c:v>126.54973343873444</c:v>
                </c:pt>
                <c:pt idx="69">
                  <c:v>138.64204789277096</c:v>
                </c:pt>
                <c:pt idx="70">
                  <c:v>151.66508174709588</c:v>
                </c:pt>
                <c:pt idx="71">
                  <c:v>165.67382604603091</c:v>
                </c:pt>
                <c:pt idx="72">
                  <c:v>181.19054621594904</c:v>
                </c:pt>
                <c:pt idx="73">
                  <c:v>197.46382447995467</c:v>
                </c:pt>
                <c:pt idx="74">
                  <c:v>216.45066124011214</c:v>
                </c:pt>
                <c:pt idx="75">
                  <c:v>237.06501212004491</c:v>
                </c:pt>
                <c:pt idx="76">
                  <c:v>259.4511969872222</c:v>
                </c:pt>
                <c:pt idx="77">
                  <c:v>284.18980719373837</c:v>
                </c:pt>
                <c:pt idx="78">
                  <c:v>310.48014921511975</c:v>
                </c:pt>
                <c:pt idx="79">
                  <c:v>340.71243604684093</c:v>
                </c:pt>
                <c:pt idx="80">
                  <c:v>372.59332724829267</c:v>
                </c:pt>
                <c:pt idx="81">
                  <c:v>406.72724132419063</c:v>
                </c:pt>
                <c:pt idx="82">
                  <c:v>446.16941261947102</c:v>
                </c:pt>
                <c:pt idx="83">
                  <c:v>487.58063588821869</c:v>
                </c:pt>
                <c:pt idx="84">
                  <c:v>532.68520580834615</c:v>
                </c:pt>
                <c:pt idx="85">
                  <c:v>583.91997771655952</c:v>
                </c:pt>
                <c:pt idx="86">
                  <c:v>638.41281375635629</c:v>
                </c:pt>
                <c:pt idx="87">
                  <c:v>698.77660500398201</c:v>
                </c:pt>
                <c:pt idx="88">
                  <c:v>763.95099716942855</c:v>
                </c:pt>
                <c:pt idx="89">
                  <c:v>835.51906995271838</c:v>
                </c:pt>
                <c:pt idx="90">
                  <c:v>912.71472059920609</c:v>
                </c:pt>
                <c:pt idx="91">
                  <c:v>999.6637723798558</c:v>
                </c:pt>
                <c:pt idx="92">
                  <c:v>1093.5792764085402</c:v>
                </c:pt>
                <c:pt idx="93">
                  <c:v>1197.414879643007</c:v>
                </c:pt>
                <c:pt idx="94">
                  <c:v>1308.8137179017779</c:v>
                </c:pt>
                <c:pt idx="95">
                  <c:v>1432.7799532189481</c:v>
                </c:pt>
                <c:pt idx="96">
                  <c:v>1566.698762586979</c:v>
                </c:pt>
                <c:pt idx="97">
                  <c:v>1713.5080615230836</c:v>
                </c:pt>
                <c:pt idx="98">
                  <c:v>1875.6173363373089</c:v>
                </c:pt>
                <c:pt idx="99">
                  <c:v>2052.6528963194332</c:v>
                </c:pt>
                <c:pt idx="100">
                  <c:v>2241.2368056009414</c:v>
                </c:pt>
                <c:pt idx="101">
                  <c:v>2448.3302726163561</c:v>
                </c:pt>
                <c:pt idx="102">
                  <c:v>2692.9874757309276</c:v>
                </c:pt>
                <c:pt idx="103">
                  <c:v>2937.5037398577933</c:v>
                </c:pt>
                <c:pt idx="104">
                  <c:v>3221.0100573588707</c:v>
                </c:pt>
                <c:pt idx="105">
                  <c:v>3522.2993424340002</c:v>
                </c:pt>
                <c:pt idx="106">
                  <c:v>3842.0700342441878</c:v>
                </c:pt>
                <c:pt idx="107">
                  <c:v>4200.1603072729749</c:v>
                </c:pt>
                <c:pt idx="108">
                  <c:v>4596.3074188644296</c:v>
                </c:pt>
                <c:pt idx="109">
                  <c:v>5029.967116374125</c:v>
                </c:pt>
                <c:pt idx="110">
                  <c:v>5519.2163889196545</c:v>
                </c:pt>
                <c:pt idx="111">
                  <c:v>6028.593441649311</c:v>
                </c:pt>
                <c:pt idx="112">
                  <c:v>6593.3606205079195</c:v>
                </c:pt>
                <c:pt idx="113">
                  <c:v>7211.7457005221386</c:v>
                </c:pt>
                <c:pt idx="114">
                  <c:v>7889.7608518776888</c:v>
                </c:pt>
                <c:pt idx="115">
                  <c:v>8625.1157240276279</c:v>
                </c:pt>
                <c:pt idx="116">
                  <c:v>9435.0983421479341</c:v>
                </c:pt>
                <c:pt idx="117">
                  <c:v>10320.269518294121</c:v>
                </c:pt>
                <c:pt idx="118">
                  <c:v>11205.653390876061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17600"/>
        <c:axId val="104227968"/>
      </c:scatterChart>
      <c:scatterChart>
        <c:scatterStyle val="lineMarker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0.99878650312475759</c:v>
                </c:pt>
                <c:pt idx="26">
                  <c:v>0.99658396810704752</c:v>
                </c:pt>
                <c:pt idx="27">
                  <c:v>0.99294287341157694</c:v>
                </c:pt>
                <c:pt idx="28">
                  <c:v>0.98413094068401952</c:v>
                </c:pt>
                <c:pt idx="29">
                  <c:v>0.97298225419881146</c:v>
                </c:pt>
                <c:pt idx="30">
                  <c:v>0.96034923971925834</c:v>
                </c:pt>
                <c:pt idx="31">
                  <c:v>0.93832078583799072</c:v>
                </c:pt>
                <c:pt idx="32">
                  <c:v>0.8910256032234678</c:v>
                </c:pt>
                <c:pt idx="33">
                  <c:v>0.84633542455398392</c:v>
                </c:pt>
                <c:pt idx="34">
                  <c:v>0.80368470425681815</c:v>
                </c:pt>
                <c:pt idx="35">
                  <c:v>0.76489980208199748</c:v>
                </c:pt>
                <c:pt idx="36">
                  <c:v>0.72976133187755643</c:v>
                </c:pt>
                <c:pt idx="37">
                  <c:v>0.69760410821695329</c:v>
                </c:pt>
                <c:pt idx="38">
                  <c:v>0.67052220650433525</c:v>
                </c:pt>
                <c:pt idx="39">
                  <c:v>0.64878695799150532</c:v>
                </c:pt>
                <c:pt idx="40">
                  <c:v>0.63095987400719777</c:v>
                </c:pt>
                <c:pt idx="41">
                  <c:v>0.61443371132909652</c:v>
                </c:pt>
                <c:pt idx="42">
                  <c:v>0.60001572941550707</c:v>
                </c:pt>
                <c:pt idx="43">
                  <c:v>0.58706345327126153</c:v>
                </c:pt>
                <c:pt idx="44">
                  <c:v>0.57552537951899274</c:v>
                </c:pt>
                <c:pt idx="45">
                  <c:v>0.56364884559243722</c:v>
                </c:pt>
                <c:pt idx="46">
                  <c:v>0.55322115699455332</c:v>
                </c:pt>
                <c:pt idx="47">
                  <c:v>0.54354550332566154</c:v>
                </c:pt>
                <c:pt idx="48">
                  <c:v>0.53312206276849383</c:v>
                </c:pt>
                <c:pt idx="49">
                  <c:v>0.52431090185065976</c:v>
                </c:pt>
                <c:pt idx="50">
                  <c:v>0.51656629552757072</c:v>
                </c:pt>
                <c:pt idx="51">
                  <c:v>0.50791395864365207</c:v>
                </c:pt>
                <c:pt idx="52">
                  <c:v>0.49884498446404624</c:v>
                </c:pt>
                <c:pt idx="53">
                  <c:v>0.48977367221551893</c:v>
                </c:pt>
                <c:pt idx="54">
                  <c:v>0.48118729521962289</c:v>
                </c:pt>
                <c:pt idx="55">
                  <c:v>0.47216926459806541</c:v>
                </c:pt>
                <c:pt idx="56">
                  <c:v>0.46273742870796486</c:v>
                </c:pt>
                <c:pt idx="57">
                  <c:v>0.45329456108422106</c:v>
                </c:pt>
                <c:pt idx="58">
                  <c:v>0.44459078668403129</c:v>
                </c:pt>
                <c:pt idx="59">
                  <c:v>0.43489257558963001</c:v>
                </c:pt>
                <c:pt idx="60">
                  <c:v>0.42512415656648983</c:v>
                </c:pt>
                <c:pt idx="61">
                  <c:v>0.414939758858626</c:v>
                </c:pt>
                <c:pt idx="62">
                  <c:v>0.40425056877757326</c:v>
                </c:pt>
                <c:pt idx="63">
                  <c:v>0.39287013355948508</c:v>
                </c:pt>
                <c:pt idx="64">
                  <c:v>0.3814601596396715</c:v>
                </c:pt>
                <c:pt idx="65">
                  <c:v>0.36932149854953156</c:v>
                </c:pt>
                <c:pt idx="66">
                  <c:v>0.35630089151779398</c:v>
                </c:pt>
                <c:pt idx="67">
                  <c:v>0.34295486480885273</c:v>
                </c:pt>
                <c:pt idx="68">
                  <c:v>0.32877352181454911</c:v>
                </c:pt>
                <c:pt idx="69">
                  <c:v>0.31378498522303699</c:v>
                </c:pt>
                <c:pt idx="70">
                  <c:v>0.29871379295557032</c:v>
                </c:pt>
                <c:pt idx="71">
                  <c:v>0.28361447799995032</c:v>
                </c:pt>
                <c:pt idx="72">
                  <c:v>0.2681811155635011</c:v>
                </c:pt>
                <c:pt idx="73">
                  <c:v>0.25356344280569332</c:v>
                </c:pt>
                <c:pt idx="74">
                  <c:v>0.23798195876349004</c:v>
                </c:pt>
                <c:pt idx="75">
                  <c:v>0.2228627537567639</c:v>
                </c:pt>
                <c:pt idx="76">
                  <c:v>0.20820253473069594</c:v>
                </c:pt>
                <c:pt idx="77">
                  <c:v>0.19430643614480558</c:v>
                </c:pt>
                <c:pt idx="78">
                  <c:v>0.18153465233518407</c:v>
                </c:pt>
                <c:pt idx="79">
                  <c:v>0.16855059821193619</c:v>
                </c:pt>
                <c:pt idx="80">
                  <c:v>0.15695450083375828</c:v>
                </c:pt>
                <c:pt idx="81">
                  <c:v>0.14633189632114363</c:v>
                </c:pt>
                <c:pt idx="82">
                  <c:v>0.13572766705441841</c:v>
                </c:pt>
                <c:pt idx="83">
                  <c:v>0.12604299041532285</c:v>
                </c:pt>
                <c:pt idx="84">
                  <c:v>0.11679668523371922</c:v>
                </c:pt>
                <c:pt idx="85">
                  <c:v>0.10781487821516955</c:v>
                </c:pt>
                <c:pt idx="86">
                  <c:v>9.9653766318586245E-2</c:v>
                </c:pt>
                <c:pt idx="87">
                  <c:v>9.1727844397168745E-2</c:v>
                </c:pt>
                <c:pt idx="88">
                  <c:v>8.4560049556158257E-2</c:v>
                </c:pt>
                <c:pt idx="89">
                  <c:v>7.7915455264774724E-2</c:v>
                </c:pt>
                <c:pt idx="90">
                  <c:v>7.1554261271105646E-2</c:v>
                </c:pt>
                <c:pt idx="91">
                  <c:v>6.5131026124648606E-2</c:v>
                </c:pt>
                <c:pt idx="92">
                  <c:v>5.947928786116341E-2</c:v>
                </c:pt>
                <c:pt idx="93">
                  <c:v>5.3679889019598637E-2</c:v>
                </c:pt>
                <c:pt idx="94">
                  <c:v>4.8638683119537562E-2</c:v>
                </c:pt>
                <c:pt idx="95">
                  <c:v>4.3444547753686669E-2</c:v>
                </c:pt>
                <c:pt idx="96">
                  <c:v>3.8761428634632833E-2</c:v>
                </c:pt>
                <c:pt idx="97">
                  <c:v>3.4267462584376296E-2</c:v>
                </c:pt>
                <c:pt idx="98">
                  <c:v>2.991904955711544E-2</c:v>
                </c:pt>
                <c:pt idx="99">
                  <c:v>2.5965342080447651E-2</c:v>
                </c:pt>
                <c:pt idx="100">
                  <c:v>2.2322564839780679E-2</c:v>
                </c:pt>
                <c:pt idx="101">
                  <c:v>1.9007183109208459E-2</c:v>
                </c:pt>
                <c:pt idx="102">
                  <c:v>1.5722295066259329E-2</c:v>
                </c:pt>
                <c:pt idx="103">
                  <c:v>1.2838171794770536E-2</c:v>
                </c:pt>
                <c:pt idx="104">
                  <c:v>1.0294616252652267E-2</c:v>
                </c:pt>
                <c:pt idx="105">
                  <c:v>8.1213976554672662E-3</c:v>
                </c:pt>
                <c:pt idx="106">
                  <c:v>6.3317540835881037E-3</c:v>
                </c:pt>
                <c:pt idx="107">
                  <c:v>6.3317540835881037E-3</c:v>
                </c:pt>
                <c:pt idx="108">
                  <c:v>5.2113251120053938E-3</c:v>
                </c:pt>
                <c:pt idx="109">
                  <c:v>4.502857298267271E-3</c:v>
                </c:pt>
                <c:pt idx="110">
                  <c:v>3.6629965972551082E-3</c:v>
                </c:pt>
                <c:pt idx="111">
                  <c:v>3.3245364229685936E-3</c:v>
                </c:pt>
                <c:pt idx="112">
                  <c:v>2.694904341594917E-3</c:v>
                </c:pt>
                <c:pt idx="113">
                  <c:v>2.4408780928648621E-3</c:v>
                </c:pt>
                <c:pt idx="114">
                  <c:v>2.2891999879063318E-3</c:v>
                </c:pt>
                <c:pt idx="115">
                  <c:v>1.0369829624714555E-3</c:v>
                </c:pt>
                <c:pt idx="116">
                  <c:v>1.0369829624714555E-3</c:v>
                </c:pt>
                <c:pt idx="117">
                  <c:v>1.0369829624714555E-3</c:v>
                </c:pt>
                <c:pt idx="118">
                  <c:v>0</c:v>
                </c:pt>
              </c:numCache>
            </c:numRef>
          </c:xVal>
          <c:yVal>
            <c:numRef>
              <c:f>Table!$O$18:$O$136</c:f>
              <c:numCache>
                <c:formatCode>????0.00</c:formatCode>
                <c:ptCount val="119"/>
                <c:pt idx="0">
                  <c:v>0.61070109673353312</c:v>
                </c:pt>
                <c:pt idx="1">
                  <c:v>0.64368642648256891</c:v>
                </c:pt>
                <c:pt idx="2">
                  <c:v>0.73114804708803571</c:v>
                </c:pt>
                <c:pt idx="3">
                  <c:v>0.8115437812759162</c:v>
                </c:pt>
                <c:pt idx="4">
                  <c:v>0.87559333289693686</c:v>
                </c:pt>
                <c:pt idx="5">
                  <c:v>0.95383988907310002</c:v>
                </c:pt>
                <c:pt idx="6">
                  <c:v>1.0427342468426659</c:v>
                </c:pt>
                <c:pt idx="7">
                  <c:v>1.1366105929151165</c:v>
                </c:pt>
                <c:pt idx="8">
                  <c:v>1.2456934453597355</c:v>
                </c:pt>
                <c:pt idx="9">
                  <c:v>1.3661404920683295</c:v>
                </c:pt>
                <c:pt idx="10">
                  <c:v>1.4901693094216026</c:v>
                </c:pt>
                <c:pt idx="11">
                  <c:v>1.6316838891823353</c:v>
                </c:pt>
                <c:pt idx="12">
                  <c:v>1.7847905406335267</c:v>
                </c:pt>
                <c:pt idx="13">
                  <c:v>1.9484473869833945</c:v>
                </c:pt>
                <c:pt idx="14">
                  <c:v>2.1264640763031011</c:v>
                </c:pt>
                <c:pt idx="15">
                  <c:v>2.3317352912465843</c:v>
                </c:pt>
                <c:pt idx="16">
                  <c:v>2.5489239656476439</c:v>
                </c:pt>
                <c:pt idx="17">
                  <c:v>2.7869850560654816</c:v>
                </c:pt>
                <c:pt idx="18">
                  <c:v>3.0482628575471753</c:v>
                </c:pt>
                <c:pt idx="19">
                  <c:v>3.334450504189201</c:v>
                </c:pt>
                <c:pt idx="20">
                  <c:v>3.6503678203583885</c:v>
                </c:pt>
                <c:pt idx="21">
                  <c:v>3.9919438456873282</c:v>
                </c:pt>
                <c:pt idx="22">
                  <c:v>4.3585596014919901</c:v>
                </c:pt>
                <c:pt idx="23">
                  <c:v>4.8019240891198844</c:v>
                </c:pt>
                <c:pt idx="24">
                  <c:v>5.2050094831546732</c:v>
                </c:pt>
                <c:pt idx="25">
                  <c:v>5.7283470959249696</c:v>
                </c:pt>
                <c:pt idx="26">
                  <c:v>6.2543541024471869</c:v>
                </c:pt>
                <c:pt idx="27">
                  <c:v>6.8176778923723189</c:v>
                </c:pt>
                <c:pt idx="28">
                  <c:v>7.4609077449921433</c:v>
                </c:pt>
                <c:pt idx="29">
                  <c:v>8.1883441361201097</c:v>
                </c:pt>
                <c:pt idx="30">
                  <c:v>8.9533239354742804</c:v>
                </c:pt>
                <c:pt idx="31">
                  <c:v>9.8197353015723561</c:v>
                </c:pt>
                <c:pt idx="32">
                  <c:v>10.749445909980659</c:v>
                </c:pt>
                <c:pt idx="33">
                  <c:v>11.713868657989467</c:v>
                </c:pt>
                <c:pt idx="34">
                  <c:v>12.151568295867758</c:v>
                </c:pt>
                <c:pt idx="35">
                  <c:v>13.65769297566095</c:v>
                </c:pt>
                <c:pt idx="36">
                  <c:v>15.016660291030767</c:v>
                </c:pt>
                <c:pt idx="37">
                  <c:v>16.586458067009346</c:v>
                </c:pt>
                <c:pt idx="38">
                  <c:v>17.934552015857474</c:v>
                </c:pt>
                <c:pt idx="39">
                  <c:v>19.763593173029051</c:v>
                </c:pt>
                <c:pt idx="40">
                  <c:v>21.61538006246505</c:v>
                </c:pt>
                <c:pt idx="41">
                  <c:v>23.861014686472075</c:v>
                </c:pt>
                <c:pt idx="42">
                  <c:v>25.923308286769277</c:v>
                </c:pt>
                <c:pt idx="43">
                  <c:v>28.528087755739602</c:v>
                </c:pt>
                <c:pt idx="44">
                  <c:v>31.15120996040751</c:v>
                </c:pt>
                <c:pt idx="45">
                  <c:v>34.181109847897879</c:v>
                </c:pt>
                <c:pt idx="46">
                  <c:v>37.525494073508106</c:v>
                </c:pt>
                <c:pt idx="47">
                  <c:v>40.95844389672758</c:v>
                </c:pt>
                <c:pt idx="48">
                  <c:v>44.930995132535948</c:v>
                </c:pt>
                <c:pt idx="49">
                  <c:v>48.982282306951383</c:v>
                </c:pt>
                <c:pt idx="50">
                  <c:v>53.760976580850965</c:v>
                </c:pt>
                <c:pt idx="51">
                  <c:v>58.653266932842719</c:v>
                </c:pt>
                <c:pt idx="52">
                  <c:v>64.104485015687359</c:v>
                </c:pt>
                <c:pt idx="53">
                  <c:v>70.468893219821851</c:v>
                </c:pt>
                <c:pt idx="54">
                  <c:v>76.831778258477343</c:v>
                </c:pt>
                <c:pt idx="55">
                  <c:v>84.073141278822163</c:v>
                </c:pt>
                <c:pt idx="56">
                  <c:v>92.386800463063466</c:v>
                </c:pt>
                <c:pt idx="57">
                  <c:v>101.30590250855499</c:v>
                </c:pt>
                <c:pt idx="58">
                  <c:v>110.23977370919719</c:v>
                </c:pt>
                <c:pt idx="59">
                  <c:v>120.97505633855475</c:v>
                </c:pt>
                <c:pt idx="60">
                  <c:v>132.13062164020448</c:v>
                </c:pt>
                <c:pt idx="61">
                  <c:v>144.68451451820027</c:v>
                </c:pt>
                <c:pt idx="62">
                  <c:v>158.7234259049464</c:v>
                </c:pt>
                <c:pt idx="63">
                  <c:v>173.43430610107032</c:v>
                </c:pt>
                <c:pt idx="64">
                  <c:v>189.60157916159827</c:v>
                </c:pt>
                <c:pt idx="65">
                  <c:v>207.65856408199087</c:v>
                </c:pt>
                <c:pt idx="66">
                  <c:v>227.24358614425751</c:v>
                </c:pt>
                <c:pt idx="67">
                  <c:v>248.03253793444841</c:v>
                </c:pt>
                <c:pt idx="68">
                  <c:v>271.44944967553505</c:v>
                </c:pt>
                <c:pt idx="69">
                  <c:v>297.38749011748388</c:v>
                </c:pt>
                <c:pt idx="70">
                  <c:v>325.32192566944639</c:v>
                </c:pt>
                <c:pt idx="71">
                  <c:v>355.37071223944855</c:v>
                </c:pt>
                <c:pt idx="72">
                  <c:v>388.65411028732103</c:v>
                </c:pt>
                <c:pt idx="73">
                  <c:v>423.56032706982984</c:v>
                </c:pt>
                <c:pt idx="74">
                  <c:v>464.28713264717328</c:v>
                </c:pt>
                <c:pt idx="75">
                  <c:v>508.50495950245585</c:v>
                </c:pt>
                <c:pt idx="76">
                  <c:v>556.52337406096581</c:v>
                </c:pt>
                <c:pt idx="77">
                  <c:v>609.58774601831499</c:v>
                </c:pt>
                <c:pt idx="78">
                  <c:v>665.98058604701805</c:v>
                </c:pt>
                <c:pt idx="79">
                  <c:v>730.82890614938003</c:v>
                </c:pt>
                <c:pt idx="80">
                  <c:v>799.213486161074</c:v>
                </c:pt>
                <c:pt idx="81">
                  <c:v>872.43080507119407</c:v>
                </c:pt>
                <c:pt idx="82">
                  <c:v>957.03434710311262</c:v>
                </c:pt>
                <c:pt idx="83">
                  <c:v>1045.861509841739</c:v>
                </c:pt>
                <c:pt idx="84">
                  <c:v>1142.6109090698117</c:v>
                </c:pt>
                <c:pt idx="85">
                  <c:v>1252.5096047116249</c:v>
                </c:pt>
                <c:pt idx="86">
                  <c:v>1369.3968549042395</c:v>
                </c:pt>
                <c:pt idx="87">
                  <c:v>1498.8773166108583</c:v>
                </c:pt>
                <c:pt idx="88">
                  <c:v>1638.6765276049521</c:v>
                </c:pt>
                <c:pt idx="89">
                  <c:v>1792.1901972387786</c:v>
                </c:pt>
                <c:pt idx="90">
                  <c:v>1957.7750334603309</c:v>
                </c:pt>
                <c:pt idx="91">
                  <c:v>2144.2809360357269</c:v>
                </c:pt>
                <c:pt idx="92">
                  <c:v>2345.7298936262127</c:v>
                </c:pt>
                <c:pt idx="93">
                  <c:v>2568.4574852917358</c:v>
                </c:pt>
                <c:pt idx="94">
                  <c:v>2807.4082323075463</c:v>
                </c:pt>
                <c:pt idx="95">
                  <c:v>3073.316072970717</c:v>
                </c:pt>
                <c:pt idx="96">
                  <c:v>3360.5722063212766</c:v>
                </c:pt>
                <c:pt idx="97">
                  <c:v>3675.4784674454822</c:v>
                </c:pt>
                <c:pt idx="98">
                  <c:v>4023.2032096467374</c:v>
                </c:pt>
                <c:pt idx="99">
                  <c:v>4402.9448655500501</c:v>
                </c:pt>
                <c:pt idx="100">
                  <c:v>4807.4577554717753</c:v>
                </c:pt>
                <c:pt idx="101">
                  <c:v>5251.6736864357708</c:v>
                </c:pt>
                <c:pt idx="102">
                  <c:v>5776.4639119067524</c:v>
                </c:pt>
                <c:pt idx="103">
                  <c:v>6300.9518229467913</c:v>
                </c:pt>
                <c:pt idx="104">
                  <c:v>6909.0734821082615</c:v>
                </c:pt>
                <c:pt idx="105">
                  <c:v>7555.3396448605763</c:v>
                </c:pt>
                <c:pt idx="106">
                  <c:v>8241.2484647022484</c:v>
                </c:pt>
                <c:pt idx="107">
                  <c:v>9009.3528684534012</c:v>
                </c:pt>
                <c:pt idx="108">
                  <c:v>9859.0892725534741</c:v>
                </c:pt>
                <c:pt idx="109">
                  <c:v>10789.290253912754</c:v>
                </c:pt>
                <c:pt idx="110">
                  <c:v>11838.730992963654</c:v>
                </c:pt>
                <c:pt idx="111">
                  <c:v>12931.345863683639</c:v>
                </c:pt>
                <c:pt idx="112">
                  <c:v>14142.772673762162</c:v>
                </c:pt>
                <c:pt idx="113">
                  <c:v>15469.209996829988</c:v>
                </c:pt>
                <c:pt idx="114">
                  <c:v>16923.553950831596</c:v>
                </c:pt>
                <c:pt idx="115">
                  <c:v>18500.891728930994</c:v>
                </c:pt>
                <c:pt idx="116">
                  <c:v>20238.306182213506</c:v>
                </c:pt>
                <c:pt idx="117">
                  <c:v>22137.000253741146</c:v>
                </c:pt>
                <c:pt idx="118">
                  <c:v>24036.150559579713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40256"/>
        <c:axId val="104229888"/>
      </c:scatterChart>
      <c:valAx>
        <c:axId val="10421760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Wetting Phase Saturation (1- Hg), fraction pore space</a:t>
                </a:r>
              </a:p>
            </c:rich>
          </c:tx>
          <c:layout>
            <c:manualLayout>
              <c:xMode val="edge"/>
              <c:yMode val="edge"/>
              <c:x val="0.14857000438896698"/>
              <c:y val="0.917649019898742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50"/>
            </a:pPr>
            <a:endParaRPr lang="en-US"/>
          </a:p>
        </c:txPr>
        <c:crossAx val="104227968"/>
        <c:crossesAt val="0"/>
        <c:crossBetween val="midCat"/>
        <c:majorUnit val="0.2"/>
        <c:minorUnit val="0.1"/>
      </c:valAx>
      <c:valAx>
        <c:axId val="104227968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Equivalent Gas-Water Capillary Pressure, psia</a:t>
                </a:r>
              </a:p>
            </c:rich>
          </c:tx>
          <c:layout>
            <c:manualLayout>
              <c:xMode val="edge"/>
              <c:yMode val="edge"/>
              <c:x val="3.1998164015806128E-3"/>
              <c:y val="0.14119338136716139"/>
            </c:manualLayout>
          </c:layout>
          <c:overlay val="0"/>
          <c:spPr>
            <a:noFill/>
            <a:ln w="25400">
              <a:noFill/>
            </a:ln>
          </c:spPr>
        </c:title>
        <c:numFmt formatCode="????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50"/>
            </a:pPr>
            <a:endParaRPr lang="en-US"/>
          </a:p>
        </c:txPr>
        <c:crossAx val="104217600"/>
        <c:crossesAt val="0"/>
        <c:crossBetween val="midCat"/>
        <c:majorUnit val="40"/>
        <c:minorUnit val="20"/>
      </c:valAx>
      <c:valAx>
        <c:axId val="104229888"/>
        <c:scaling>
          <c:orientation val="minMax"/>
          <c:max val="429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Estimated Height Above Free Water, ft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04240256"/>
        <c:crosses val="max"/>
        <c:crossBetween val="midCat"/>
        <c:majorUnit val="85.8"/>
        <c:minorUnit val="42.9"/>
      </c:valAx>
      <c:valAx>
        <c:axId val="104240256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1042298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 sz="575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1199" r="0.75000000000001199" t="1" header="0.5" footer="0.5"/>
    <c:pageSetup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9031174022717789"/>
          <c:y val="7.0234113712374549E-2"/>
          <c:w val="0.73356525323931165"/>
          <c:h val="0.7915273132664436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FF00"/>
              </a:solidFill>
            </a:ln>
          </c:spPr>
          <c:marker>
            <c:symbol val="circ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0.99878650312475759</c:v>
                </c:pt>
                <c:pt idx="26">
                  <c:v>0.99658396810704752</c:v>
                </c:pt>
                <c:pt idx="27">
                  <c:v>0.99294287341157694</c:v>
                </c:pt>
                <c:pt idx="28">
                  <c:v>0.98413094068401952</c:v>
                </c:pt>
                <c:pt idx="29">
                  <c:v>0.97298225419881146</c:v>
                </c:pt>
                <c:pt idx="30">
                  <c:v>0.96034923971925834</c:v>
                </c:pt>
                <c:pt idx="31">
                  <c:v>0.93832078583799072</c:v>
                </c:pt>
                <c:pt idx="32">
                  <c:v>0.8910256032234678</c:v>
                </c:pt>
                <c:pt idx="33">
                  <c:v>0.84633542455398392</c:v>
                </c:pt>
                <c:pt idx="34">
                  <c:v>0.80368470425681815</c:v>
                </c:pt>
                <c:pt idx="35">
                  <c:v>0.76489980208199748</c:v>
                </c:pt>
                <c:pt idx="36">
                  <c:v>0.72976133187755643</c:v>
                </c:pt>
                <c:pt idx="37">
                  <c:v>0.69760410821695329</c:v>
                </c:pt>
                <c:pt idx="38">
                  <c:v>0.67052220650433525</c:v>
                </c:pt>
                <c:pt idx="39">
                  <c:v>0.64878695799150532</c:v>
                </c:pt>
                <c:pt idx="40">
                  <c:v>0.63095987400719777</c:v>
                </c:pt>
                <c:pt idx="41">
                  <c:v>0.61443371132909652</c:v>
                </c:pt>
                <c:pt idx="42">
                  <c:v>0.60001572941550707</c:v>
                </c:pt>
                <c:pt idx="43">
                  <c:v>0.58706345327126153</c:v>
                </c:pt>
                <c:pt idx="44">
                  <c:v>0.57552537951899274</c:v>
                </c:pt>
                <c:pt idx="45">
                  <c:v>0.56364884559243722</c:v>
                </c:pt>
                <c:pt idx="46">
                  <c:v>0.55322115699455332</c:v>
                </c:pt>
                <c:pt idx="47">
                  <c:v>0.54354550332566154</c:v>
                </c:pt>
                <c:pt idx="48">
                  <c:v>0.53312206276849383</c:v>
                </c:pt>
                <c:pt idx="49">
                  <c:v>0.52431090185065976</c:v>
                </c:pt>
                <c:pt idx="50">
                  <c:v>0.51656629552757072</c:v>
                </c:pt>
                <c:pt idx="51">
                  <c:v>0.50791395864365207</c:v>
                </c:pt>
                <c:pt idx="52">
                  <c:v>0.49884498446404624</c:v>
                </c:pt>
                <c:pt idx="53">
                  <c:v>0.48977367221551893</c:v>
                </c:pt>
                <c:pt idx="54">
                  <c:v>0.48118729521962289</c:v>
                </c:pt>
                <c:pt idx="55">
                  <c:v>0.47216926459806541</c:v>
                </c:pt>
                <c:pt idx="56">
                  <c:v>0.46273742870796486</c:v>
                </c:pt>
                <c:pt idx="57">
                  <c:v>0.45329456108422106</c:v>
                </c:pt>
                <c:pt idx="58">
                  <c:v>0.44459078668403129</c:v>
                </c:pt>
                <c:pt idx="59">
                  <c:v>0.43489257558963001</c:v>
                </c:pt>
                <c:pt idx="60">
                  <c:v>0.42512415656648983</c:v>
                </c:pt>
                <c:pt idx="61">
                  <c:v>0.414939758858626</c:v>
                </c:pt>
                <c:pt idx="62">
                  <c:v>0.40425056877757326</c:v>
                </c:pt>
                <c:pt idx="63">
                  <c:v>0.39287013355948508</c:v>
                </c:pt>
                <c:pt idx="64">
                  <c:v>0.3814601596396715</c:v>
                </c:pt>
                <c:pt idx="65">
                  <c:v>0.36932149854953156</c:v>
                </c:pt>
                <c:pt idx="66">
                  <c:v>0.35630089151779398</c:v>
                </c:pt>
                <c:pt idx="67">
                  <c:v>0.34295486480885273</c:v>
                </c:pt>
                <c:pt idx="68">
                  <c:v>0.32877352181454911</c:v>
                </c:pt>
                <c:pt idx="69">
                  <c:v>0.31378498522303699</c:v>
                </c:pt>
                <c:pt idx="70">
                  <c:v>0.29871379295557032</c:v>
                </c:pt>
                <c:pt idx="71">
                  <c:v>0.28361447799995032</c:v>
                </c:pt>
                <c:pt idx="72">
                  <c:v>0.2681811155635011</c:v>
                </c:pt>
                <c:pt idx="73">
                  <c:v>0.25356344280569332</c:v>
                </c:pt>
                <c:pt idx="74">
                  <c:v>0.23798195876349004</c:v>
                </c:pt>
                <c:pt idx="75">
                  <c:v>0.2228627537567639</c:v>
                </c:pt>
                <c:pt idx="76">
                  <c:v>0.20820253473069594</c:v>
                </c:pt>
                <c:pt idx="77">
                  <c:v>0.19430643614480558</c:v>
                </c:pt>
                <c:pt idx="78">
                  <c:v>0.18153465233518407</c:v>
                </c:pt>
                <c:pt idx="79">
                  <c:v>0.16855059821193619</c:v>
                </c:pt>
                <c:pt idx="80">
                  <c:v>0.15695450083375828</c:v>
                </c:pt>
                <c:pt idx="81">
                  <c:v>0.14633189632114363</c:v>
                </c:pt>
                <c:pt idx="82">
                  <c:v>0.13572766705441841</c:v>
                </c:pt>
                <c:pt idx="83">
                  <c:v>0.12604299041532285</c:v>
                </c:pt>
                <c:pt idx="84">
                  <c:v>0.11679668523371922</c:v>
                </c:pt>
                <c:pt idx="85">
                  <c:v>0.10781487821516955</c:v>
                </c:pt>
                <c:pt idx="86">
                  <c:v>9.9653766318586245E-2</c:v>
                </c:pt>
                <c:pt idx="87">
                  <c:v>9.1727844397168745E-2</c:v>
                </c:pt>
                <c:pt idx="88">
                  <c:v>8.4560049556158257E-2</c:v>
                </c:pt>
                <c:pt idx="89">
                  <c:v>7.7915455264774724E-2</c:v>
                </c:pt>
                <c:pt idx="90">
                  <c:v>7.1554261271105646E-2</c:v>
                </c:pt>
                <c:pt idx="91">
                  <c:v>6.5131026124648606E-2</c:v>
                </c:pt>
                <c:pt idx="92">
                  <c:v>5.947928786116341E-2</c:v>
                </c:pt>
                <c:pt idx="93">
                  <c:v>5.3679889019598637E-2</c:v>
                </c:pt>
                <c:pt idx="94">
                  <c:v>4.8638683119537562E-2</c:v>
                </c:pt>
                <c:pt idx="95">
                  <c:v>4.3444547753686669E-2</c:v>
                </c:pt>
                <c:pt idx="96">
                  <c:v>3.8761428634632833E-2</c:v>
                </c:pt>
                <c:pt idx="97">
                  <c:v>3.4267462584376296E-2</c:v>
                </c:pt>
                <c:pt idx="98">
                  <c:v>2.991904955711544E-2</c:v>
                </c:pt>
                <c:pt idx="99">
                  <c:v>2.5965342080447651E-2</c:v>
                </c:pt>
                <c:pt idx="100">
                  <c:v>2.2322564839780679E-2</c:v>
                </c:pt>
                <c:pt idx="101">
                  <c:v>1.9007183109208459E-2</c:v>
                </c:pt>
                <c:pt idx="102">
                  <c:v>1.5722295066259329E-2</c:v>
                </c:pt>
                <c:pt idx="103">
                  <c:v>1.2838171794770536E-2</c:v>
                </c:pt>
                <c:pt idx="104">
                  <c:v>1.0294616252652267E-2</c:v>
                </c:pt>
                <c:pt idx="105">
                  <c:v>8.1213976554672662E-3</c:v>
                </c:pt>
                <c:pt idx="106">
                  <c:v>6.3317540835881037E-3</c:v>
                </c:pt>
                <c:pt idx="107">
                  <c:v>6.3317540835881037E-3</c:v>
                </c:pt>
                <c:pt idx="108">
                  <c:v>5.2113251120053938E-3</c:v>
                </c:pt>
                <c:pt idx="109">
                  <c:v>4.502857298267271E-3</c:v>
                </c:pt>
                <c:pt idx="110">
                  <c:v>3.6629965972551082E-3</c:v>
                </c:pt>
                <c:pt idx="111">
                  <c:v>3.3245364229685936E-3</c:v>
                </c:pt>
                <c:pt idx="112">
                  <c:v>2.694904341594917E-3</c:v>
                </c:pt>
                <c:pt idx="113">
                  <c:v>2.4408780928648621E-3</c:v>
                </c:pt>
                <c:pt idx="114">
                  <c:v>2.2891999879063318E-3</c:v>
                </c:pt>
                <c:pt idx="115">
                  <c:v>1.0369829624714555E-3</c:v>
                </c:pt>
                <c:pt idx="116">
                  <c:v>1.0369829624714555E-3</c:v>
                </c:pt>
                <c:pt idx="117">
                  <c:v>1.0369829624714555E-3</c:v>
                </c:pt>
                <c:pt idx="118">
                  <c:v>0</c:v>
                </c:pt>
              </c:numCache>
            </c:numRef>
          </c:xVal>
          <c:yVal>
            <c:numRef>
              <c:f>Table!$K$18:$K$136</c:f>
              <c:numCache>
                <c:formatCode>??0.000</c:formatCode>
                <c:ptCount val="119"/>
                <c:pt idx="0">
                  <c:v>8.2563162075004921E-3</c:v>
                </c:pt>
                <c:pt idx="1">
                  <c:v>8.702258279773438E-3</c:v>
                </c:pt>
                <c:pt idx="2">
                  <c:v>9.8846874576503721E-3</c:v>
                </c:pt>
                <c:pt idx="3">
                  <c:v>1.0971590046723212E-2</c:v>
                </c:pt>
                <c:pt idx="4">
                  <c:v>1.1837501953481272E-2</c:v>
                </c:pt>
                <c:pt idx="5">
                  <c:v>1.2895348931968417E-2</c:v>
                </c:pt>
                <c:pt idx="6">
                  <c:v>1.4097147865577428E-2</c:v>
                </c:pt>
                <c:pt idx="7">
                  <c:v>1.5366300322850785E-2</c:v>
                </c:pt>
                <c:pt idx="8">
                  <c:v>1.6841035717000338E-2</c:v>
                </c:pt>
                <c:pt idx="9">
                  <c:v>1.8469408269800328E-2</c:v>
                </c:pt>
                <c:pt idx="10">
                  <c:v>2.0146204234942924E-2</c:v>
                </c:pt>
                <c:pt idx="11">
                  <c:v>2.2059397325188773E-2</c:v>
                </c:pt>
                <c:pt idx="12">
                  <c:v>2.4129308341582712E-2</c:v>
                </c:pt>
                <c:pt idx="13">
                  <c:v>2.6341851728542441E-2</c:v>
                </c:pt>
                <c:pt idx="14">
                  <c:v>2.8748531665908222E-2</c:v>
                </c:pt>
                <c:pt idx="15">
                  <c:v>3.1523676606593797E-2</c:v>
                </c:pt>
                <c:pt idx="16">
                  <c:v>3.4459938522831086E-2</c:v>
                </c:pt>
                <c:pt idx="17">
                  <c:v>3.7678383110052192E-2</c:v>
                </c:pt>
                <c:pt idx="18">
                  <c:v>4.1210703845304862E-2</c:v>
                </c:pt>
                <c:pt idx="19">
                  <c:v>4.5079790896229162E-2</c:v>
                </c:pt>
                <c:pt idx="20">
                  <c:v>4.9350805426363213E-2</c:v>
                </c:pt>
                <c:pt idx="21">
                  <c:v>5.3968710468782731E-2</c:v>
                </c:pt>
                <c:pt idx="22">
                  <c:v>5.8925137799215072E-2</c:v>
                </c:pt>
                <c:pt idx="23">
                  <c:v>6.4919162412256717E-2</c:v>
                </c:pt>
                <c:pt idx="24">
                  <c:v>7.0368637596723682E-2</c:v>
                </c:pt>
                <c:pt idx="25">
                  <c:v>7.7443851375478892E-2</c:v>
                </c:pt>
                <c:pt idx="26">
                  <c:v>8.4555153772735162E-2</c:v>
                </c:pt>
                <c:pt idx="27">
                  <c:v>9.2170956923746744E-2</c:v>
                </c:pt>
                <c:pt idx="28">
                  <c:v>0.10086704259599898</c:v>
                </c:pt>
                <c:pt idx="29">
                  <c:v>0.11070155066896559</c:v>
                </c:pt>
                <c:pt idx="30">
                  <c:v>0.12104362332873377</c:v>
                </c:pt>
                <c:pt idx="31">
                  <c:v>0.13275699054313625</c:v>
                </c:pt>
                <c:pt idx="32">
                  <c:v>0.14532612592793132</c:v>
                </c:pt>
                <c:pt idx="33">
                  <c:v>0.15836454882885101</c:v>
                </c:pt>
                <c:pt idx="34">
                  <c:v>0.16428198803693622</c:v>
                </c:pt>
                <c:pt idx="35">
                  <c:v>0.18464389940536921</c:v>
                </c:pt>
                <c:pt idx="36">
                  <c:v>0.2030163305854738</c:v>
                </c:pt>
                <c:pt idx="37">
                  <c:v>0.22423906440670574</c:v>
                </c:pt>
                <c:pt idx="38">
                  <c:v>0.24246449412779333</c:v>
                </c:pt>
                <c:pt idx="39">
                  <c:v>0.26719204452996692</c:v>
                </c:pt>
                <c:pt idx="40">
                  <c:v>0.29222710372646027</c:v>
                </c:pt>
                <c:pt idx="41">
                  <c:v>0.32258675043658119</c:v>
                </c:pt>
                <c:pt idx="42">
                  <c:v>0.35046773536984988</c:v>
                </c:pt>
                <c:pt idx="43">
                  <c:v>0.38568280713188385</c:v>
                </c:pt>
                <c:pt idx="44">
                  <c:v>0.42114586178905239</c:v>
                </c:pt>
                <c:pt idx="45">
                  <c:v>0.46210830918270079</c:v>
                </c:pt>
                <c:pt idx="46">
                  <c:v>0.50732239809412571</c:v>
                </c:pt>
                <c:pt idx="47">
                  <c:v>0.55373384129700243</c:v>
                </c:pt>
                <c:pt idx="48">
                  <c:v>0.60744037519510952</c:v>
                </c:pt>
                <c:pt idx="49">
                  <c:v>0.66221137223158566</c:v>
                </c:pt>
                <c:pt idx="50">
                  <c:v>0.72681648133539667</c:v>
                </c:pt>
                <c:pt idx="51">
                  <c:v>0.79295734196426215</c:v>
                </c:pt>
                <c:pt idx="52">
                  <c:v>0.86665457363576137</c:v>
                </c:pt>
                <c:pt idx="53">
                  <c:v>0.95269759351570171</c:v>
                </c:pt>
                <c:pt idx="54">
                  <c:v>1.0387200211027867</c:v>
                </c:pt>
                <c:pt idx="55">
                  <c:v>1.1366189493821879</c:v>
                </c:pt>
                <c:pt idx="56">
                  <c:v>1.2490146850925437</c:v>
                </c:pt>
                <c:pt idx="57">
                  <c:v>1.3695956487888856</c:v>
                </c:pt>
                <c:pt idx="58">
                  <c:v>1.4903762826932785</c:v>
                </c:pt>
                <c:pt idx="59">
                  <c:v>1.6355109294770174</c:v>
                </c:pt>
                <c:pt idx="60">
                  <c:v>1.7863275484359129</c:v>
                </c:pt>
                <c:pt idx="61">
                  <c:v>1.9560487259320896</c:v>
                </c:pt>
                <c:pt idx="62">
                  <c:v>2.1458464718965606</c:v>
                </c:pt>
                <c:pt idx="63">
                  <c:v>2.3447288371641175</c:v>
                </c:pt>
                <c:pt idx="64">
                  <c:v>2.5633007691856595</c:v>
                </c:pt>
                <c:pt idx="65">
                  <c:v>2.8074204834849108</c:v>
                </c:pt>
                <c:pt idx="66">
                  <c:v>3.0721983526288099</c:v>
                </c:pt>
                <c:pt idx="67">
                  <c:v>3.3532526368283211</c:v>
                </c:pt>
                <c:pt idx="68">
                  <c:v>3.6698353791414577</c:v>
                </c:pt>
                <c:pt idx="69">
                  <c:v>4.0205022845017178</c:v>
                </c:pt>
                <c:pt idx="70">
                  <c:v>4.3981592663356297</c:v>
                </c:pt>
                <c:pt idx="71">
                  <c:v>4.8044010184801857</c:v>
                </c:pt>
                <c:pt idx="72">
                  <c:v>5.2543727971672674</c:v>
                </c:pt>
                <c:pt idx="73">
                  <c:v>5.726284121554003</c:v>
                </c:pt>
                <c:pt idx="74">
                  <c:v>6.2768863503144647</c:v>
                </c:pt>
                <c:pt idx="75">
                  <c:v>6.8746851138641132</c:v>
                </c:pt>
                <c:pt idx="76">
                  <c:v>7.5238655664593832</c:v>
                </c:pt>
                <c:pt idx="77">
                  <c:v>8.2412643669129206</c:v>
                </c:pt>
                <c:pt idx="78">
                  <c:v>9.0036620793229858</c:v>
                </c:pt>
                <c:pt idx="79">
                  <c:v>9.8803728616583353</c:v>
                </c:pt>
                <c:pt idx="80">
                  <c:v>10.804891778217637</c:v>
                </c:pt>
                <c:pt idx="81">
                  <c:v>11.794746455113886</c:v>
                </c:pt>
                <c:pt idx="82">
                  <c:v>12.938536107738106</c:v>
                </c:pt>
                <c:pt idx="83">
                  <c:v>14.139426604427689</c:v>
                </c:pt>
                <c:pt idx="84">
                  <c:v>15.447421034411837</c:v>
                </c:pt>
                <c:pt idx="85">
                  <c:v>16.933186144158437</c:v>
                </c:pt>
                <c:pt idx="86">
                  <c:v>18.513432361788091</c:v>
                </c:pt>
                <c:pt idx="87">
                  <c:v>20.26393132152625</c:v>
                </c:pt>
                <c:pt idx="88">
                  <c:v>22.153933644593867</c:v>
                </c:pt>
                <c:pt idx="89">
                  <c:v>24.229347305138948</c:v>
                </c:pt>
                <c:pt idx="90">
                  <c:v>26.467955970367584</c:v>
                </c:pt>
                <c:pt idx="91">
                  <c:v>28.98940503024971</c:v>
                </c:pt>
                <c:pt idx="92">
                  <c:v>31.712875321091719</c:v>
                </c:pt>
                <c:pt idx="93">
                  <c:v>34.724020109862217</c:v>
                </c:pt>
                <c:pt idx="94">
                  <c:v>37.954492326030184</c:v>
                </c:pt>
                <c:pt idx="95">
                  <c:v>41.549408441805099</c:v>
                </c:pt>
                <c:pt idx="96">
                  <c:v>45.432940798585818</c:v>
                </c:pt>
                <c:pt idx="97">
                  <c:v>49.690286464853067</c:v>
                </c:pt>
                <c:pt idx="98">
                  <c:v>54.391318508418934</c:v>
                </c:pt>
                <c:pt idx="99">
                  <c:v>59.525200214325871</c:v>
                </c:pt>
                <c:pt idx="100">
                  <c:v>64.993974295569828</c:v>
                </c:pt>
                <c:pt idx="101">
                  <c:v>70.999509916948014</c:v>
                </c:pt>
                <c:pt idx="102">
                  <c:v>78.094362156888309</c:v>
                </c:pt>
                <c:pt idx="103">
                  <c:v>85.18512728522964</c:v>
                </c:pt>
                <c:pt idx="104">
                  <c:v>93.406571028366841</c:v>
                </c:pt>
                <c:pt idx="105">
                  <c:v>102.1437058107189</c:v>
                </c:pt>
                <c:pt idx="106">
                  <c:v>111.41678577801639</c:v>
                </c:pt>
                <c:pt idx="107">
                  <c:v>121.80110123391314</c:v>
                </c:pt>
                <c:pt idx="108">
                  <c:v>133.28903286331354</c:v>
                </c:pt>
                <c:pt idx="109">
                  <c:v>145.86479779923351</c:v>
                </c:pt>
                <c:pt idx="110">
                  <c:v>160.05261345730469</c:v>
                </c:pt>
                <c:pt idx="111">
                  <c:v>174.82411773973038</c:v>
                </c:pt>
                <c:pt idx="112">
                  <c:v>191.20188889447269</c:v>
                </c:pt>
                <c:pt idx="113">
                  <c:v>209.1345338942194</c:v>
                </c:pt>
                <c:pt idx="114">
                  <c:v>228.79640059616034</c:v>
                </c:pt>
                <c:pt idx="115">
                  <c:v>250.12107076898499</c:v>
                </c:pt>
                <c:pt idx="116">
                  <c:v>273.60988254041848</c:v>
                </c:pt>
                <c:pt idx="117">
                  <c:v>299.27909898637938</c:v>
                </c:pt>
                <c:pt idx="118">
                  <c:v>324.95448344932254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63680"/>
        <c:axId val="104265984"/>
      </c:scatterChart>
      <c:valAx>
        <c:axId val="10426368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Wetting Phase Saturation (1- Hg), fraction pore space</a:t>
                </a:r>
              </a:p>
            </c:rich>
          </c:tx>
          <c:layout>
            <c:manualLayout>
              <c:xMode val="edge"/>
              <c:yMode val="edge"/>
              <c:x val="0.2027230117574878"/>
              <c:y val="0.9165793151642208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04265984"/>
        <c:crossesAt val="0"/>
        <c:crossBetween val="midCat"/>
        <c:majorUnit val="0.2"/>
        <c:minorUnit val="0.1"/>
      </c:valAx>
      <c:valAx>
        <c:axId val="104265984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Leverett J Function.</a:t>
                </a:r>
              </a:p>
            </c:rich>
          </c:tx>
          <c:layout>
            <c:manualLayout>
              <c:xMode val="edge"/>
              <c:yMode val="edge"/>
              <c:x val="5.5363321799309036E-2"/>
              <c:y val="0.3311036789297744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04263680"/>
        <c:crosses val="autoZero"/>
        <c:crossBetween val="midCat"/>
        <c:majorUnit val="0.4"/>
        <c:minorUnit val="0.2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 sz="600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619718309859155"/>
          <c:y val="5.369136314257017E-2"/>
          <c:w val="0.79577464788732399"/>
          <c:h val="0.81320051436523455"/>
        </c:manualLayout>
      </c:layout>
      <c:scatterChart>
        <c:scatterStyle val="lineMarker"/>
        <c:varyColors val="0"/>
        <c:ser>
          <c:idx val="2"/>
          <c:order val="0"/>
          <c:tx>
            <c:v>Uncorrected</c:v>
          </c:tx>
          <c:spPr>
            <a:ln w="12700">
              <a:solidFill>
                <a:srgbClr val="99CCFF"/>
              </a:solidFill>
            </a:ln>
          </c:spPr>
          <c:marker>
            <c:symbol val="circl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</a:ln>
            </c:spPr>
          </c:marker>
          <c:xVal>
            <c:numRef>
              <c:f>'Raw Data'!$D$18:$D$136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8.8073190086813459E-4</c:v>
                </c:pt>
                <c:pt idx="3">
                  <c:v>1.9450677888287525E-3</c:v>
                </c:pt>
                <c:pt idx="4">
                  <c:v>2.6564097621941504E-3</c:v>
                </c:pt>
                <c:pt idx="5">
                  <c:v>4.6967339703533383E-3</c:v>
                </c:pt>
                <c:pt idx="6">
                  <c:v>5.404315222299309E-3</c:v>
                </c:pt>
                <c:pt idx="7">
                  <c:v>6.1593155574873517E-3</c:v>
                </c:pt>
                <c:pt idx="8">
                  <c:v>6.9169774786180336E-3</c:v>
                </c:pt>
                <c:pt idx="9">
                  <c:v>7.3583122968555953E-3</c:v>
                </c:pt>
                <c:pt idx="10">
                  <c:v>7.845821213838599E-3</c:v>
                </c:pt>
                <c:pt idx="11">
                  <c:v>8.0669694550610949E-3</c:v>
                </c:pt>
                <c:pt idx="12">
                  <c:v>8.2869747680201656E-3</c:v>
                </c:pt>
                <c:pt idx="13">
                  <c:v>8.5971419394642017E-3</c:v>
                </c:pt>
                <c:pt idx="14">
                  <c:v>8.8633208434262586E-3</c:v>
                </c:pt>
                <c:pt idx="15">
                  <c:v>9.0847991172437036E-3</c:v>
                </c:pt>
                <c:pt idx="16">
                  <c:v>9.4397750679750033E-3</c:v>
                </c:pt>
                <c:pt idx="17">
                  <c:v>9.706074814641058E-3</c:v>
                </c:pt>
                <c:pt idx="18">
                  <c:v>9.883360200767655E-3</c:v>
                </c:pt>
                <c:pt idx="19">
                  <c:v>1.0238167581004305E-2</c:v>
                </c:pt>
                <c:pt idx="20">
                  <c:v>1.0637904075489762E-2</c:v>
                </c:pt>
                <c:pt idx="21">
                  <c:v>1.0904470894686496E-2</c:v>
                </c:pt>
                <c:pt idx="22">
                  <c:v>1.1303445775491305E-2</c:v>
                </c:pt>
                <c:pt idx="23">
                  <c:v>1.1613764761929017E-2</c:v>
                </c:pt>
                <c:pt idx="24">
                  <c:v>1.3210565020261232E-2</c:v>
                </c:pt>
                <c:pt idx="25">
                  <c:v>1.4408030916131374E-2</c:v>
                </c:pt>
                <c:pt idx="26">
                  <c:v>1.6581469201780597E-2</c:v>
                </c:pt>
                <c:pt idx="27">
                  <c:v>2.0174462979031742E-2</c:v>
                </c:pt>
                <c:pt idx="28">
                  <c:v>2.8869985096337557E-2</c:v>
                </c:pt>
                <c:pt idx="29">
                  <c:v>3.9871391133842256E-2</c:v>
                </c:pt>
                <c:pt idx="30">
                  <c:v>5.2337516354211314E-2</c:v>
                </c:pt>
                <c:pt idx="31">
                  <c:v>7.4074961913184675E-2</c:v>
                </c:pt>
                <c:pt idx="32">
                  <c:v>0.12074534844263327</c:v>
                </c:pt>
                <c:pt idx="33">
                  <c:v>0.16484514460103686</c:v>
                </c:pt>
                <c:pt idx="34">
                  <c:v>0.20693242478455595</c:v>
                </c:pt>
                <c:pt idx="35">
                  <c:v>0.24520495648739163</c:v>
                </c:pt>
                <c:pt idx="36">
                  <c:v>0.27987922764648443</c:v>
                </c:pt>
                <c:pt idx="37">
                  <c:v>0.31161163621304805</c:v>
                </c:pt>
                <c:pt idx="38">
                  <c:v>0.33833577070221926</c:v>
                </c:pt>
                <c:pt idx="39">
                  <c:v>0.35978388430133884</c:v>
                </c:pt>
                <c:pt idx="40">
                  <c:v>0.37737546243355014</c:v>
                </c:pt>
                <c:pt idx="41">
                  <c:v>0.39368330516505684</c:v>
                </c:pt>
                <c:pt idx="42">
                  <c:v>0.40791081739111601</c:v>
                </c:pt>
                <c:pt idx="43">
                  <c:v>0.42069198664919755</c:v>
                </c:pt>
                <c:pt idx="44">
                  <c:v>0.43207763592795345</c:v>
                </c:pt>
                <c:pt idx="45">
                  <c:v>0.44379727413085679</c:v>
                </c:pt>
                <c:pt idx="46">
                  <c:v>0.45408720707050737</c:v>
                </c:pt>
                <c:pt idx="47">
                  <c:v>0.46363503988749283</c:v>
                </c:pt>
                <c:pt idx="48">
                  <c:v>0.47392078090544515</c:v>
                </c:pt>
                <c:pt idx="49">
                  <c:v>0.48261554140907026</c:v>
                </c:pt>
                <c:pt idx="50">
                  <c:v>0.49025783710677168</c:v>
                </c:pt>
                <c:pt idx="51">
                  <c:v>0.49879587173170814</c:v>
                </c:pt>
                <c:pt idx="52">
                  <c:v>0.50774503963824724</c:v>
                </c:pt>
                <c:pt idx="53">
                  <c:v>0.51669651472649625</c:v>
                </c:pt>
                <c:pt idx="54">
                  <c:v>0.52516946083079963</c:v>
                </c:pt>
                <c:pt idx="55">
                  <c:v>0.53406835817247633</c:v>
                </c:pt>
                <c:pt idx="56">
                  <c:v>0.54337559418129022</c:v>
                </c:pt>
                <c:pt idx="57">
                  <c:v>0.55269371618831276</c:v>
                </c:pt>
                <c:pt idx="58">
                  <c:v>0.56128250881086728</c:v>
                </c:pt>
                <c:pt idx="59">
                  <c:v>0.57085260105702573</c:v>
                </c:pt>
                <c:pt idx="60">
                  <c:v>0.58049197374551553</c:v>
                </c:pt>
                <c:pt idx="61">
                  <c:v>0.59054182980526737</c:v>
                </c:pt>
                <c:pt idx="62">
                  <c:v>0.60108980964574055</c:v>
                </c:pt>
                <c:pt idx="63">
                  <c:v>0.61231990288442117</c:v>
                </c:pt>
                <c:pt idx="64">
                  <c:v>0.62357914460188768</c:v>
                </c:pt>
                <c:pt idx="65">
                  <c:v>0.63555744712043727</c:v>
                </c:pt>
                <c:pt idx="66">
                  <c:v>0.64840604457637896</c:v>
                </c:pt>
                <c:pt idx="67">
                  <c:v>0.66157576273171959</c:v>
                </c:pt>
                <c:pt idx="68">
                  <c:v>0.67556976217232223</c:v>
                </c:pt>
                <c:pt idx="69">
                  <c:v>0.69036029172663371</c:v>
                </c:pt>
                <c:pt idx="70">
                  <c:v>0.7052323850287181</c:v>
                </c:pt>
                <c:pt idx="71">
                  <c:v>0.72013222950235556</c:v>
                </c:pt>
                <c:pt idx="72">
                  <c:v>0.7353617085008568</c:v>
                </c:pt>
                <c:pt idx="73">
                  <c:v>0.74978627354225258</c:v>
                </c:pt>
                <c:pt idx="74">
                  <c:v>0.76516191737640415</c:v>
                </c:pt>
                <c:pt idx="75">
                  <c:v>0.78008138914233427</c:v>
                </c:pt>
                <c:pt idx="76">
                  <c:v>0.79454793839174709</c:v>
                </c:pt>
                <c:pt idx="77">
                  <c:v>0.80826046166374066</c:v>
                </c:pt>
                <c:pt idx="78">
                  <c:v>0.82086352299292042</c:v>
                </c:pt>
                <c:pt idx="79">
                  <c:v>0.83367605042494652</c:v>
                </c:pt>
                <c:pt idx="80">
                  <c:v>0.8451189568047287</c:v>
                </c:pt>
                <c:pt idx="81">
                  <c:v>0.85560123070974492</c:v>
                </c:pt>
                <c:pt idx="82">
                  <c:v>0.86606537211625234</c:v>
                </c:pt>
                <c:pt idx="83">
                  <c:v>0.87562210870490698</c:v>
                </c:pt>
                <c:pt idx="84">
                  <c:v>0.88474626497071185</c:v>
                </c:pt>
                <c:pt idx="85">
                  <c:v>0.8936094172436434</c:v>
                </c:pt>
                <c:pt idx="86">
                  <c:v>0.90166271624087935</c:v>
                </c:pt>
                <c:pt idx="87">
                  <c:v>0.90948393225540847</c:v>
                </c:pt>
                <c:pt idx="88">
                  <c:v>0.9165570364766199</c:v>
                </c:pt>
                <c:pt idx="89">
                  <c:v>0.92311385192308382</c:v>
                </c:pt>
                <c:pt idx="90">
                  <c:v>0.92939101094989296</c:v>
                </c:pt>
                <c:pt idx="91">
                  <c:v>0.93572939153080747</c:v>
                </c:pt>
                <c:pt idx="92">
                  <c:v>0.94130646713848531</c:v>
                </c:pt>
                <c:pt idx="93">
                  <c:v>0.94702925264457516</c:v>
                </c:pt>
                <c:pt idx="94">
                  <c:v>0.95200386136631288</c:v>
                </c:pt>
                <c:pt idx="95">
                  <c:v>0.95712937926918928</c:v>
                </c:pt>
                <c:pt idx="96">
                  <c:v>0.96175063173862319</c:v>
                </c:pt>
                <c:pt idx="97">
                  <c:v>0.96618522995817391</c:v>
                </c:pt>
                <c:pt idx="98">
                  <c:v>0.97047619799240326</c:v>
                </c:pt>
                <c:pt idx="99">
                  <c:v>0.97437767475937942</c:v>
                </c:pt>
                <c:pt idx="100">
                  <c:v>0.97797232885445429</c:v>
                </c:pt>
                <c:pt idx="101">
                  <c:v>0.9812439125191077</c:v>
                </c:pt>
                <c:pt idx="102">
                  <c:v>0.98448540533498119</c:v>
                </c:pt>
                <c:pt idx="103">
                  <c:v>0.98733142770846549</c:v>
                </c:pt>
                <c:pt idx="104">
                  <c:v>0.98984138144471212</c:v>
                </c:pt>
                <c:pt idx="105">
                  <c:v>0.9919858905963157</c:v>
                </c:pt>
                <c:pt idx="106">
                  <c:v>0.99375189196542546</c:v>
                </c:pt>
                <c:pt idx="107">
                  <c:v>0.99375189196542546</c:v>
                </c:pt>
                <c:pt idx="108">
                  <c:v>0.99485751943722844</c:v>
                </c:pt>
                <c:pt idx="109">
                  <c:v>0.99555662799084854</c:v>
                </c:pt>
                <c:pt idx="110">
                  <c:v>0.99638539365746193</c:v>
                </c:pt>
                <c:pt idx="111">
                  <c:v>0.9967193825816093</c:v>
                </c:pt>
                <c:pt idx="112">
                  <c:v>0.99734069686743321</c:v>
                </c:pt>
                <c:pt idx="113">
                  <c:v>0.99759136728588749</c:v>
                </c:pt>
                <c:pt idx="114">
                  <c:v>0.99774104163737831</c:v>
                </c:pt>
                <c:pt idx="115">
                  <c:v>0.99897671616837924</c:v>
                </c:pt>
                <c:pt idx="116">
                  <c:v>0.99897671616837924</c:v>
                </c:pt>
                <c:pt idx="117">
                  <c:v>0.99897671616837924</c:v>
                </c:pt>
                <c:pt idx="118">
                  <c:v>1</c:v>
                </c:pt>
              </c:numCache>
            </c:numRef>
          </c:xVal>
          <c:yVal>
            <c:numRef>
              <c:f>Table!$E$18:$E$136</c:f>
              <c:numCache>
                <c:formatCode>???0.000</c:formatCode>
                <c:ptCount val="119"/>
                <c:pt idx="0">
                  <c:v>72.284370177585473</c:v>
                </c:pt>
                <c:pt idx="1">
                  <c:v>68.580200432950363</c:v>
                </c:pt>
                <c:pt idx="2">
                  <c:v>60.376478224838728</c:v>
                </c:pt>
                <c:pt idx="3">
                  <c:v>54.395271287447166</c:v>
                </c:pt>
                <c:pt idx="4">
                  <c:v>50.416263447428747</c:v>
                </c:pt>
                <c:pt idx="5">
                  <c:v>46.280455084596532</c:v>
                </c:pt>
                <c:pt idx="6">
                  <c:v>42.334990221918822</c:v>
                </c:pt>
                <c:pt idx="7">
                  <c:v>38.838406415803028</c:v>
                </c:pt>
                <c:pt idx="8">
                  <c:v>35.437405814876115</c:v>
                </c:pt>
                <c:pt idx="9">
                  <c:v>32.313033981819942</c:v>
                </c:pt>
                <c:pt idx="10">
                  <c:v>29.623576237305777</c:v>
                </c:pt>
                <c:pt idx="11">
                  <c:v>27.054348233018054</c:v>
                </c:pt>
                <c:pt idx="12">
                  <c:v>24.733515300050168</c:v>
                </c:pt>
                <c:pt idx="13">
                  <c:v>22.656061661735986</c:v>
                </c:pt>
                <c:pt idx="14">
                  <c:v>20.759412132129498</c:v>
                </c:pt>
                <c:pt idx="15">
                  <c:v>18.931884896996159</c:v>
                </c:pt>
                <c:pt idx="16">
                  <c:v>17.318737137350336</c:v>
                </c:pt>
                <c:pt idx="17">
                  <c:v>15.839390329011852</c:v>
                </c:pt>
                <c:pt idx="18">
                  <c:v>14.48173802821759</c:v>
                </c:pt>
                <c:pt idx="19">
                  <c:v>13.238806240693668</c:v>
                </c:pt>
                <c:pt idx="20">
                  <c:v>12.093067415822807</c:v>
                </c:pt>
                <c:pt idx="21">
                  <c:v>11.058307894745314</c:v>
                </c:pt>
                <c:pt idx="22">
                  <c:v>10.128149705474497</c:v>
                </c:pt>
                <c:pt idx="23">
                  <c:v>9.1930116605060821</c:v>
                </c:pt>
                <c:pt idx="24">
                  <c:v>8.4810881300045367</c:v>
                </c:pt>
                <c:pt idx="25">
                  <c:v>7.7062621040452317</c:v>
                </c:pt>
                <c:pt idx="26">
                  <c:v>7.0581459605671419</c:v>
                </c:pt>
                <c:pt idx="27">
                  <c:v>6.4749530325469067</c:v>
                </c:pt>
                <c:pt idx="28">
                  <c:v>5.9167256388841247</c:v>
                </c:pt>
                <c:pt idx="29">
                  <c:v>5.3910953680387221</c:v>
                </c:pt>
                <c:pt idx="30">
                  <c:v>4.9304754817637146</c:v>
                </c:pt>
                <c:pt idx="31">
                  <c:v>4.4954515359569509</c:v>
                </c:pt>
                <c:pt idx="32">
                  <c:v>4.1066436832020461</c:v>
                </c:pt>
                <c:pt idx="33">
                  <c:v>3.7685367177166995</c:v>
                </c:pt>
                <c:pt idx="34">
                  <c:v>3.6327939792887252</c:v>
                </c:pt>
                <c:pt idx="35">
                  <c:v>3.2321816153586389</c:v>
                </c:pt>
                <c:pt idx="36">
                  <c:v>2.939677883671032</c:v>
                </c:pt>
                <c:pt idx="37">
                  <c:v>2.6614569527624075</c:v>
                </c:pt>
                <c:pt idx="38">
                  <c:v>2.4614021083499895</c:v>
                </c:pt>
                <c:pt idx="39">
                  <c:v>2.2336092307539861</c:v>
                </c:pt>
                <c:pt idx="40">
                  <c:v>2.0422562090777263</c:v>
                </c:pt>
                <c:pt idx="41">
                  <c:v>1.8500530980843628</c:v>
                </c:pt>
                <c:pt idx="42">
                  <c:v>1.7028746352823496</c:v>
                </c:pt>
                <c:pt idx="43">
                  <c:v>1.5473923286450466</c:v>
                </c:pt>
                <c:pt idx="44">
                  <c:v>1.417092440397993</c:v>
                </c:pt>
                <c:pt idx="45">
                  <c:v>1.2914777881871202</c:v>
                </c:pt>
                <c:pt idx="46">
                  <c:v>1.1763774264416309</c:v>
                </c:pt>
                <c:pt idx="47">
                  <c:v>1.0777788398272399</c:v>
                </c:pt>
                <c:pt idx="48">
                  <c:v>0.98248756819049354</c:v>
                </c:pt>
                <c:pt idx="49">
                  <c:v>0.90122677149895425</c:v>
                </c:pt>
                <c:pt idx="50">
                  <c:v>0.82111871754702792</c:v>
                </c:pt>
                <c:pt idx="51">
                  <c:v>0.75262890632654189</c:v>
                </c:pt>
                <c:pt idx="52">
                  <c:v>0.68862801305308652</c:v>
                </c:pt>
                <c:pt idx="53">
                  <c:v>0.62643447522923568</c:v>
                </c:pt>
                <c:pt idx="54">
                  <c:v>0.57455580418345242</c:v>
                </c:pt>
                <c:pt idx="55">
                  <c:v>0.52506833303329836</c:v>
                </c:pt>
                <c:pt idx="56">
                  <c:v>0.47781873517519535</c:v>
                </c:pt>
                <c:pt idx="57">
                  <c:v>0.43575095874020076</c:v>
                </c:pt>
                <c:pt idx="58">
                  <c:v>0.40043754317377783</c:v>
                </c:pt>
                <c:pt idx="59">
                  <c:v>0.36490286080631823</c:v>
                </c:pt>
                <c:pt idx="60">
                  <c:v>0.33409472835411258</c:v>
                </c:pt>
                <c:pt idx="61">
                  <c:v>0.30510621189243531</c:v>
                </c:pt>
                <c:pt idx="62">
                  <c:v>0.278119905064174</c:v>
                </c:pt>
                <c:pt idx="63">
                  <c:v>0.25452948229526612</c:v>
                </c:pt>
                <c:pt idx="64">
                  <c:v>0.23282582528766754</c:v>
                </c:pt>
                <c:pt idx="65">
                  <c:v>0.21258041699024022</c:v>
                </c:pt>
                <c:pt idx="66">
                  <c:v>0.19425914232897556</c:v>
                </c:pt>
                <c:pt idx="67">
                  <c:v>0.17797723037374572</c:v>
                </c:pt>
                <c:pt idx="68">
                  <c:v>0.16262381153069153</c:v>
                </c:pt>
                <c:pt idx="69">
                  <c:v>0.14843981542971044</c:v>
                </c:pt>
                <c:pt idx="70">
                  <c:v>0.13569372569433946</c:v>
                </c:pt>
                <c:pt idx="71">
                  <c:v>0.12421998387531678</c:v>
                </c:pt>
                <c:pt idx="72">
                  <c:v>0.11358208488136051</c:v>
                </c:pt>
                <c:pt idx="73">
                  <c:v>0.10422162162715103</c:v>
                </c:pt>
                <c:pt idx="74">
                  <c:v>9.5079404618543889E-2</c:v>
                </c:pt>
                <c:pt idx="75">
                  <c:v>8.681162950177862E-2</c:v>
                </c:pt>
                <c:pt idx="76">
                  <c:v>7.9321275981677389E-2</c:v>
                </c:pt>
                <c:pt idx="77">
                  <c:v>7.2416390310473602E-2</c:v>
                </c:pt>
                <c:pt idx="78">
                  <c:v>6.6284430911365322E-2</c:v>
                </c:pt>
                <c:pt idx="79">
                  <c:v>6.040284363782563E-2</c:v>
                </c:pt>
                <c:pt idx="80">
                  <c:v>5.5234483537290185E-2</c:v>
                </c:pt>
                <c:pt idx="81">
                  <c:v>5.0599020446718178E-2</c:v>
                </c:pt>
                <c:pt idx="82">
                  <c:v>4.6125976855236082E-2</c:v>
                </c:pt>
                <c:pt idx="83">
                  <c:v>4.2208403052163272E-2</c:v>
                </c:pt>
                <c:pt idx="84">
                  <c:v>3.8634450094723369E-2</c:v>
                </c:pt>
                <c:pt idx="85">
                  <c:v>3.5244555393495601E-2</c:v>
                </c:pt>
                <c:pt idx="86">
                  <c:v>3.2236195070881116E-2</c:v>
                </c:pt>
                <c:pt idx="87">
                  <c:v>2.9451472548773613E-2</c:v>
                </c:pt>
                <c:pt idx="88">
                  <c:v>2.6938900631391909E-2</c:v>
                </c:pt>
                <c:pt idx="89">
                  <c:v>2.4631394710314166E-2</c:v>
                </c:pt>
                <c:pt idx="90">
                  <c:v>2.2548118854146482E-2</c:v>
                </c:pt>
                <c:pt idx="91">
                  <c:v>2.0586921891753759E-2</c:v>
                </c:pt>
                <c:pt idx="92">
                  <c:v>1.8818937450595676E-2</c:v>
                </c:pt>
                <c:pt idx="93">
                  <c:v>1.7187025441119996E-2</c:v>
                </c:pt>
                <c:pt idx="94">
                  <c:v>1.5724162818978385E-2</c:v>
                </c:pt>
                <c:pt idx="95">
                  <c:v>1.436368505419415E-2</c:v>
                </c:pt>
                <c:pt idx="96">
                  <c:v>1.3135901100743643E-2</c:v>
                </c:pt>
                <c:pt idx="97">
                  <c:v>1.2010448309012963E-2</c:v>
                </c:pt>
                <c:pt idx="98">
                  <c:v>1.0972387384832166E-2</c:v>
                </c:pt>
                <c:pt idx="99">
                  <c:v>1.0026049721753513E-2</c:v>
                </c:pt>
                <c:pt idx="100">
                  <c:v>9.1824299639242709E-3</c:v>
                </c:pt>
                <c:pt idx="101">
                  <c:v>8.4057286838215735E-3</c:v>
                </c:pt>
                <c:pt idx="102">
                  <c:v>7.6420704460997161E-3</c:v>
                </c:pt>
                <c:pt idx="103">
                  <c:v>7.0059485272336332E-3</c:v>
                </c:pt>
                <c:pt idx="104">
                  <c:v>6.3893001367636105E-3</c:v>
                </c:pt>
                <c:pt idx="105">
                  <c:v>5.8427742787410799E-3</c:v>
                </c:pt>
                <c:pt idx="106">
                  <c:v>5.3564874707049681E-3</c:v>
                </c:pt>
                <c:pt idx="107">
                  <c:v>4.8998129819863741E-3</c:v>
                </c:pt>
                <c:pt idx="108">
                  <c:v>4.4775072954290167E-3</c:v>
                </c:pt>
                <c:pt idx="109">
                  <c:v>4.0914780402849203E-3</c:v>
                </c:pt>
                <c:pt idx="110">
                  <c:v>3.7287902031375836E-3</c:v>
                </c:pt>
                <c:pt idx="111">
                  <c:v>3.4137316107303618E-3</c:v>
                </c:pt>
                <c:pt idx="112">
                  <c:v>3.1213217635917235E-3</c:v>
                </c:pt>
                <c:pt idx="113">
                  <c:v>2.8536779934586411E-3</c:v>
                </c:pt>
                <c:pt idx="114">
                  <c:v>2.6084440816862213E-3</c:v>
                </c:pt>
                <c:pt idx="115">
                  <c:v>2.3860549421579071E-3</c:v>
                </c:pt>
                <c:pt idx="116">
                  <c:v>2.1812173285005623E-3</c:v>
                </c:pt>
                <c:pt idx="117">
                  <c:v>1.9941339674820575E-3</c:v>
                </c:pt>
                <c:pt idx="118">
                  <c:v>1.8365729584993928E-3</c:v>
                </c:pt>
              </c:numCache>
            </c:numRef>
          </c:yVal>
          <c:smooth val="0"/>
        </c:ser>
        <c:ser>
          <c:idx val="0"/>
          <c:order val="1"/>
          <c:tx>
            <c:v>Conformance Corrected</c:v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Table!$B$18:$B$136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1.2134968752424142E-3</c:v>
                </c:pt>
                <c:pt idx="26">
                  <c:v>3.4160318929525001E-3</c:v>
                </c:pt>
                <c:pt idx="27">
                  <c:v>7.0571265884230867E-3</c:v>
                </c:pt>
                <c:pt idx="28">
                  <c:v>1.5869059315980465E-2</c:v>
                </c:pt>
                <c:pt idx="29">
                  <c:v>2.7017745801188511E-2</c:v>
                </c:pt>
                <c:pt idx="30">
                  <c:v>3.9650760280741611E-2</c:v>
                </c:pt>
                <c:pt idx="31">
                  <c:v>6.1679214162009284E-2</c:v>
                </c:pt>
                <c:pt idx="32">
                  <c:v>0.10897439677653216</c:v>
                </c:pt>
                <c:pt idx="33">
                  <c:v>0.15366457544601606</c:v>
                </c:pt>
                <c:pt idx="34">
                  <c:v>0.19631529574318185</c:v>
                </c:pt>
                <c:pt idx="35">
                  <c:v>0.23510019791800249</c:v>
                </c:pt>
                <c:pt idx="36">
                  <c:v>0.27023866812244357</c:v>
                </c:pt>
                <c:pt idx="37">
                  <c:v>0.30239589178304666</c:v>
                </c:pt>
                <c:pt idx="38">
                  <c:v>0.32947779349566475</c:v>
                </c:pt>
                <c:pt idx="39">
                  <c:v>0.35121304200849462</c:v>
                </c:pt>
                <c:pt idx="40">
                  <c:v>0.36904012599280223</c:v>
                </c:pt>
                <c:pt idx="41">
                  <c:v>0.38556628867090342</c:v>
                </c:pt>
                <c:pt idx="42">
                  <c:v>0.39998427058449298</c:v>
                </c:pt>
                <c:pt idx="43">
                  <c:v>0.41293654672873847</c:v>
                </c:pt>
                <c:pt idx="44">
                  <c:v>0.42447462048100731</c:v>
                </c:pt>
                <c:pt idx="45">
                  <c:v>0.43635115440756278</c:v>
                </c:pt>
                <c:pt idx="46">
                  <c:v>0.44677884300544668</c:v>
                </c:pt>
                <c:pt idx="47">
                  <c:v>0.45645449667433852</c:v>
                </c:pt>
                <c:pt idx="48">
                  <c:v>0.46687793723150617</c:v>
                </c:pt>
                <c:pt idx="49">
                  <c:v>0.47568909814934029</c:v>
                </c:pt>
                <c:pt idx="50">
                  <c:v>0.48343370447242923</c:v>
                </c:pt>
                <c:pt idx="51">
                  <c:v>0.49208604135634793</c:v>
                </c:pt>
                <c:pt idx="52">
                  <c:v>0.50115501553595376</c:v>
                </c:pt>
                <c:pt idx="53">
                  <c:v>0.51022632778448107</c:v>
                </c:pt>
                <c:pt idx="54">
                  <c:v>0.51881270478037711</c:v>
                </c:pt>
                <c:pt idx="55">
                  <c:v>0.52783073540193459</c:v>
                </c:pt>
                <c:pt idx="56">
                  <c:v>0.53726257129203514</c:v>
                </c:pt>
                <c:pt idx="57">
                  <c:v>0.54670543891577894</c:v>
                </c:pt>
                <c:pt idx="58">
                  <c:v>0.55540921331596871</c:v>
                </c:pt>
                <c:pt idx="59">
                  <c:v>0.56510742441036999</c:v>
                </c:pt>
                <c:pt idx="60">
                  <c:v>0.57487584343351017</c:v>
                </c:pt>
                <c:pt idx="61">
                  <c:v>0.585060241141374</c:v>
                </c:pt>
                <c:pt idx="62">
                  <c:v>0.59574943122242674</c:v>
                </c:pt>
                <c:pt idx="63">
                  <c:v>0.60712986644051492</c:v>
                </c:pt>
                <c:pt idx="64">
                  <c:v>0.6185398403603285</c:v>
                </c:pt>
                <c:pt idx="65">
                  <c:v>0.63067850145046844</c:v>
                </c:pt>
                <c:pt idx="66">
                  <c:v>0.64369910848220602</c:v>
                </c:pt>
                <c:pt idx="67">
                  <c:v>0.65704513519114727</c:v>
                </c:pt>
                <c:pt idx="68">
                  <c:v>0.67122647818545089</c:v>
                </c:pt>
                <c:pt idx="69">
                  <c:v>0.68621501477696301</c:v>
                </c:pt>
                <c:pt idx="70">
                  <c:v>0.70128620704442968</c:v>
                </c:pt>
                <c:pt idx="71">
                  <c:v>0.71638552200004968</c:v>
                </c:pt>
                <c:pt idx="72">
                  <c:v>0.7318188844364989</c:v>
                </c:pt>
                <c:pt idx="73">
                  <c:v>0.74643655719430668</c:v>
                </c:pt>
                <c:pt idx="74">
                  <c:v>0.76201804123650996</c:v>
                </c:pt>
                <c:pt idx="75">
                  <c:v>0.7771372462432361</c:v>
                </c:pt>
                <c:pt idx="76">
                  <c:v>0.79179746526930406</c:v>
                </c:pt>
                <c:pt idx="77">
                  <c:v>0.80569356385519442</c:v>
                </c:pt>
                <c:pt idx="78">
                  <c:v>0.81846534766481593</c:v>
                </c:pt>
                <c:pt idx="79">
                  <c:v>0.83144940178806381</c:v>
                </c:pt>
                <c:pt idx="80">
                  <c:v>0.84304549916624172</c:v>
                </c:pt>
                <c:pt idx="81">
                  <c:v>0.85366810367885637</c:v>
                </c:pt>
                <c:pt idx="82">
                  <c:v>0.86427233294558159</c:v>
                </c:pt>
                <c:pt idx="83">
                  <c:v>0.87395700958467715</c:v>
                </c:pt>
                <c:pt idx="84">
                  <c:v>0.88320331476628078</c:v>
                </c:pt>
                <c:pt idx="85">
                  <c:v>0.89218512178483045</c:v>
                </c:pt>
                <c:pt idx="86">
                  <c:v>0.90034623368141375</c:v>
                </c:pt>
                <c:pt idx="87">
                  <c:v>0.90827215560283125</c:v>
                </c:pt>
                <c:pt idx="88">
                  <c:v>0.91543995044384174</c:v>
                </c:pt>
                <c:pt idx="89">
                  <c:v>0.92208454473522528</c:v>
                </c:pt>
                <c:pt idx="90">
                  <c:v>0.92844573872889435</c:v>
                </c:pt>
                <c:pt idx="91">
                  <c:v>0.93486897387535139</c:v>
                </c:pt>
                <c:pt idx="92">
                  <c:v>0.94052071213883659</c:v>
                </c:pt>
                <c:pt idx="93">
                  <c:v>0.94632011098040136</c:v>
                </c:pt>
                <c:pt idx="94">
                  <c:v>0.95136131688046244</c:v>
                </c:pt>
                <c:pt idx="95">
                  <c:v>0.95655545224631333</c:v>
                </c:pt>
                <c:pt idx="96">
                  <c:v>0.96123857136536717</c:v>
                </c:pt>
                <c:pt idx="97">
                  <c:v>0.9657325374156237</c:v>
                </c:pt>
                <c:pt idx="98">
                  <c:v>0.97008095044288456</c:v>
                </c:pt>
                <c:pt idx="99">
                  <c:v>0.97403465791955235</c:v>
                </c:pt>
                <c:pt idx="100">
                  <c:v>0.97767743516021932</c:v>
                </c:pt>
                <c:pt idx="101">
                  <c:v>0.98099281689079154</c:v>
                </c:pt>
                <c:pt idx="102">
                  <c:v>0.98427770493374067</c:v>
                </c:pt>
                <c:pt idx="103">
                  <c:v>0.98716182820522946</c:v>
                </c:pt>
                <c:pt idx="104">
                  <c:v>0.98970538374734773</c:v>
                </c:pt>
                <c:pt idx="105">
                  <c:v>0.99187860234453273</c:v>
                </c:pt>
                <c:pt idx="106">
                  <c:v>0.9936682459164119</c:v>
                </c:pt>
                <c:pt idx="107">
                  <c:v>0.9936682459164119</c:v>
                </c:pt>
                <c:pt idx="108">
                  <c:v>0.99478867488799461</c:v>
                </c:pt>
                <c:pt idx="109">
                  <c:v>0.99549714270173273</c:v>
                </c:pt>
                <c:pt idx="110">
                  <c:v>0.99633700340274489</c:v>
                </c:pt>
                <c:pt idx="111">
                  <c:v>0.99667546357703141</c:v>
                </c:pt>
                <c:pt idx="112">
                  <c:v>0.99730509565840508</c:v>
                </c:pt>
                <c:pt idx="113">
                  <c:v>0.99755912190713514</c:v>
                </c:pt>
                <c:pt idx="114">
                  <c:v>0.99771080001209367</c:v>
                </c:pt>
                <c:pt idx="115">
                  <c:v>0.99896301703752854</c:v>
                </c:pt>
                <c:pt idx="116">
                  <c:v>0.99896301703752854</c:v>
                </c:pt>
                <c:pt idx="117">
                  <c:v>0.99896301703752854</c:v>
                </c:pt>
                <c:pt idx="118">
                  <c:v>1</c:v>
                </c:pt>
              </c:numCache>
            </c:numRef>
          </c:xVal>
          <c:yVal>
            <c:numRef>
              <c:f>Table!$E$18:$E$136</c:f>
              <c:numCache>
                <c:formatCode>???0.000</c:formatCode>
                <c:ptCount val="119"/>
                <c:pt idx="0">
                  <c:v>72.284370177585473</c:v>
                </c:pt>
                <c:pt idx="1">
                  <c:v>68.580200432950363</c:v>
                </c:pt>
                <c:pt idx="2">
                  <c:v>60.376478224838728</c:v>
                </c:pt>
                <c:pt idx="3">
                  <c:v>54.395271287447166</c:v>
                </c:pt>
                <c:pt idx="4">
                  <c:v>50.416263447428747</c:v>
                </c:pt>
                <c:pt idx="5">
                  <c:v>46.280455084596532</c:v>
                </c:pt>
                <c:pt idx="6">
                  <c:v>42.334990221918822</c:v>
                </c:pt>
                <c:pt idx="7">
                  <c:v>38.838406415803028</c:v>
                </c:pt>
                <c:pt idx="8">
                  <c:v>35.437405814876115</c:v>
                </c:pt>
                <c:pt idx="9">
                  <c:v>32.313033981819942</c:v>
                </c:pt>
                <c:pt idx="10">
                  <c:v>29.623576237305777</c:v>
                </c:pt>
                <c:pt idx="11">
                  <c:v>27.054348233018054</c:v>
                </c:pt>
                <c:pt idx="12">
                  <c:v>24.733515300050168</c:v>
                </c:pt>
                <c:pt idx="13">
                  <c:v>22.656061661735986</c:v>
                </c:pt>
                <c:pt idx="14">
                  <c:v>20.759412132129498</c:v>
                </c:pt>
                <c:pt idx="15">
                  <c:v>18.931884896996159</c:v>
                </c:pt>
                <c:pt idx="16">
                  <c:v>17.318737137350336</c:v>
                </c:pt>
                <c:pt idx="17">
                  <c:v>15.839390329011852</c:v>
                </c:pt>
                <c:pt idx="18">
                  <c:v>14.48173802821759</c:v>
                </c:pt>
                <c:pt idx="19">
                  <c:v>13.238806240693668</c:v>
                </c:pt>
                <c:pt idx="20">
                  <c:v>12.093067415822807</c:v>
                </c:pt>
                <c:pt idx="21">
                  <c:v>11.058307894745314</c:v>
                </c:pt>
                <c:pt idx="22">
                  <c:v>10.128149705474497</c:v>
                </c:pt>
                <c:pt idx="23">
                  <c:v>9.1930116605060821</c:v>
                </c:pt>
                <c:pt idx="24">
                  <c:v>8.4810881300045367</c:v>
                </c:pt>
                <c:pt idx="25">
                  <c:v>7.7062621040452317</c:v>
                </c:pt>
                <c:pt idx="26">
                  <c:v>7.0581459605671419</c:v>
                </c:pt>
                <c:pt idx="27">
                  <c:v>6.4749530325469067</c:v>
                </c:pt>
                <c:pt idx="28">
                  <c:v>5.9167256388841247</c:v>
                </c:pt>
                <c:pt idx="29">
                  <c:v>5.3910953680387221</c:v>
                </c:pt>
                <c:pt idx="30">
                  <c:v>4.9304754817637146</c:v>
                </c:pt>
                <c:pt idx="31">
                  <c:v>4.4954515359569509</c:v>
                </c:pt>
                <c:pt idx="32">
                  <c:v>4.1066436832020461</c:v>
                </c:pt>
                <c:pt idx="33">
                  <c:v>3.7685367177166995</c:v>
                </c:pt>
                <c:pt idx="34">
                  <c:v>3.6327939792887252</c:v>
                </c:pt>
                <c:pt idx="35">
                  <c:v>3.2321816153586389</c:v>
                </c:pt>
                <c:pt idx="36">
                  <c:v>2.939677883671032</c:v>
                </c:pt>
                <c:pt idx="37">
                  <c:v>2.6614569527624075</c:v>
                </c:pt>
                <c:pt idx="38">
                  <c:v>2.4614021083499895</c:v>
                </c:pt>
                <c:pt idx="39">
                  <c:v>2.2336092307539861</c:v>
                </c:pt>
                <c:pt idx="40">
                  <c:v>2.0422562090777263</c:v>
                </c:pt>
                <c:pt idx="41">
                  <c:v>1.8500530980843628</c:v>
                </c:pt>
                <c:pt idx="42">
                  <c:v>1.7028746352823496</c:v>
                </c:pt>
                <c:pt idx="43">
                  <c:v>1.5473923286450466</c:v>
                </c:pt>
                <c:pt idx="44">
                  <c:v>1.417092440397993</c:v>
                </c:pt>
                <c:pt idx="45">
                  <c:v>1.2914777881871202</c:v>
                </c:pt>
                <c:pt idx="46">
                  <c:v>1.1763774264416309</c:v>
                </c:pt>
                <c:pt idx="47">
                  <c:v>1.0777788398272399</c:v>
                </c:pt>
                <c:pt idx="48">
                  <c:v>0.98248756819049354</c:v>
                </c:pt>
                <c:pt idx="49">
                  <c:v>0.90122677149895425</c:v>
                </c:pt>
                <c:pt idx="50">
                  <c:v>0.82111871754702792</c:v>
                </c:pt>
                <c:pt idx="51">
                  <c:v>0.75262890632654189</c:v>
                </c:pt>
                <c:pt idx="52">
                  <c:v>0.68862801305308652</c:v>
                </c:pt>
                <c:pt idx="53">
                  <c:v>0.62643447522923568</c:v>
                </c:pt>
                <c:pt idx="54">
                  <c:v>0.57455580418345242</c:v>
                </c:pt>
                <c:pt idx="55">
                  <c:v>0.52506833303329836</c:v>
                </c:pt>
                <c:pt idx="56">
                  <c:v>0.47781873517519535</c:v>
                </c:pt>
                <c:pt idx="57">
                  <c:v>0.43575095874020076</c:v>
                </c:pt>
                <c:pt idx="58">
                  <c:v>0.40043754317377783</c:v>
                </c:pt>
                <c:pt idx="59">
                  <c:v>0.36490286080631823</c:v>
                </c:pt>
                <c:pt idx="60">
                  <c:v>0.33409472835411258</c:v>
                </c:pt>
                <c:pt idx="61">
                  <c:v>0.30510621189243531</c:v>
                </c:pt>
                <c:pt idx="62">
                  <c:v>0.278119905064174</c:v>
                </c:pt>
                <c:pt idx="63">
                  <c:v>0.25452948229526612</c:v>
                </c:pt>
                <c:pt idx="64">
                  <c:v>0.23282582528766754</c:v>
                </c:pt>
                <c:pt idx="65">
                  <c:v>0.21258041699024022</c:v>
                </c:pt>
                <c:pt idx="66">
                  <c:v>0.19425914232897556</c:v>
                </c:pt>
                <c:pt idx="67">
                  <c:v>0.17797723037374572</c:v>
                </c:pt>
                <c:pt idx="68">
                  <c:v>0.16262381153069153</c:v>
                </c:pt>
                <c:pt idx="69">
                  <c:v>0.14843981542971044</c:v>
                </c:pt>
                <c:pt idx="70">
                  <c:v>0.13569372569433946</c:v>
                </c:pt>
                <c:pt idx="71">
                  <c:v>0.12421998387531678</c:v>
                </c:pt>
                <c:pt idx="72">
                  <c:v>0.11358208488136051</c:v>
                </c:pt>
                <c:pt idx="73">
                  <c:v>0.10422162162715103</c:v>
                </c:pt>
                <c:pt idx="74">
                  <c:v>9.5079404618543889E-2</c:v>
                </c:pt>
                <c:pt idx="75">
                  <c:v>8.681162950177862E-2</c:v>
                </c:pt>
                <c:pt idx="76">
                  <c:v>7.9321275981677389E-2</c:v>
                </c:pt>
                <c:pt idx="77">
                  <c:v>7.2416390310473602E-2</c:v>
                </c:pt>
                <c:pt idx="78">
                  <c:v>6.6284430911365322E-2</c:v>
                </c:pt>
                <c:pt idx="79">
                  <c:v>6.040284363782563E-2</c:v>
                </c:pt>
                <c:pt idx="80">
                  <c:v>5.5234483537290185E-2</c:v>
                </c:pt>
                <c:pt idx="81">
                  <c:v>5.0599020446718178E-2</c:v>
                </c:pt>
                <c:pt idx="82">
                  <c:v>4.6125976855236082E-2</c:v>
                </c:pt>
                <c:pt idx="83">
                  <c:v>4.2208403052163272E-2</c:v>
                </c:pt>
                <c:pt idx="84">
                  <c:v>3.8634450094723369E-2</c:v>
                </c:pt>
                <c:pt idx="85">
                  <c:v>3.5244555393495601E-2</c:v>
                </c:pt>
                <c:pt idx="86">
                  <c:v>3.2236195070881116E-2</c:v>
                </c:pt>
                <c:pt idx="87">
                  <c:v>2.9451472548773613E-2</c:v>
                </c:pt>
                <c:pt idx="88">
                  <c:v>2.6938900631391909E-2</c:v>
                </c:pt>
                <c:pt idx="89">
                  <c:v>2.4631394710314166E-2</c:v>
                </c:pt>
                <c:pt idx="90">
                  <c:v>2.2548118854146482E-2</c:v>
                </c:pt>
                <c:pt idx="91">
                  <c:v>2.0586921891753759E-2</c:v>
                </c:pt>
                <c:pt idx="92">
                  <c:v>1.8818937450595676E-2</c:v>
                </c:pt>
                <c:pt idx="93">
                  <c:v>1.7187025441119996E-2</c:v>
                </c:pt>
                <c:pt idx="94">
                  <c:v>1.5724162818978385E-2</c:v>
                </c:pt>
                <c:pt idx="95">
                  <c:v>1.436368505419415E-2</c:v>
                </c:pt>
                <c:pt idx="96">
                  <c:v>1.3135901100743643E-2</c:v>
                </c:pt>
                <c:pt idx="97">
                  <c:v>1.2010448309012963E-2</c:v>
                </c:pt>
                <c:pt idx="98">
                  <c:v>1.0972387384832166E-2</c:v>
                </c:pt>
                <c:pt idx="99">
                  <c:v>1.0026049721753513E-2</c:v>
                </c:pt>
                <c:pt idx="100">
                  <c:v>9.1824299639242709E-3</c:v>
                </c:pt>
                <c:pt idx="101">
                  <c:v>8.4057286838215735E-3</c:v>
                </c:pt>
                <c:pt idx="102">
                  <c:v>7.6420704460997161E-3</c:v>
                </c:pt>
                <c:pt idx="103">
                  <c:v>7.0059485272336332E-3</c:v>
                </c:pt>
                <c:pt idx="104">
                  <c:v>6.3893001367636105E-3</c:v>
                </c:pt>
                <c:pt idx="105">
                  <c:v>5.8427742787410799E-3</c:v>
                </c:pt>
                <c:pt idx="106">
                  <c:v>5.3564874707049681E-3</c:v>
                </c:pt>
                <c:pt idx="107">
                  <c:v>4.8998129819863741E-3</c:v>
                </c:pt>
                <c:pt idx="108">
                  <c:v>4.4775072954290167E-3</c:v>
                </c:pt>
                <c:pt idx="109">
                  <c:v>4.0914780402849203E-3</c:v>
                </c:pt>
                <c:pt idx="110">
                  <c:v>3.7287902031375836E-3</c:v>
                </c:pt>
                <c:pt idx="111">
                  <c:v>3.4137316107303618E-3</c:v>
                </c:pt>
                <c:pt idx="112">
                  <c:v>3.1213217635917235E-3</c:v>
                </c:pt>
                <c:pt idx="113">
                  <c:v>2.8536779934586411E-3</c:v>
                </c:pt>
                <c:pt idx="114">
                  <c:v>2.6084440816862213E-3</c:v>
                </c:pt>
                <c:pt idx="115">
                  <c:v>2.3860549421579071E-3</c:v>
                </c:pt>
                <c:pt idx="116">
                  <c:v>2.1812173285005623E-3</c:v>
                </c:pt>
                <c:pt idx="117">
                  <c:v>1.9941339674820575E-3</c:v>
                </c:pt>
                <c:pt idx="118">
                  <c:v>1.8365729584993928E-3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54112"/>
        <c:axId val="104977152"/>
      </c:scatterChart>
      <c:valAx>
        <c:axId val="104954112"/>
        <c:scaling>
          <c:orientation val="maxMin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Mercury Saturation, fraction pore space</a:t>
                </a:r>
              </a:p>
            </c:rich>
          </c:tx>
          <c:layout>
            <c:manualLayout>
              <c:xMode val="edge"/>
              <c:yMode val="edge"/>
              <c:x val="0.26547320428824939"/>
              <c:y val="0.940717172070348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04977152"/>
        <c:crossesAt val="1.0000000000000041E-3"/>
        <c:crossBetween val="midCat"/>
        <c:majorUnit val="0.2"/>
        <c:minorUnit val="0.1"/>
      </c:valAx>
      <c:valAx>
        <c:axId val="104977152"/>
        <c:scaling>
          <c:logBase val="10"/>
          <c:orientation val="minMax"/>
          <c:max val="1000"/>
          <c:min val="1.0000000000000041E-3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Pore Throat Radius, microns.</a:t>
                </a:r>
              </a:p>
            </c:rich>
          </c:tx>
          <c:layout>
            <c:manualLayout>
              <c:xMode val="edge"/>
              <c:yMode val="edge"/>
              <c:x val="1.7605633802816906E-2"/>
              <c:y val="0.288590956331800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04954112"/>
        <c:crosses val="max"/>
        <c:crossBetween val="midCat"/>
        <c:majorUnit val="10"/>
        <c:minorUnit val="10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6901411284906759"/>
          <c:y val="6.0402679443359433E-2"/>
          <c:w val="0.4260563032526869"/>
          <c:h val="9.39597296336340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505"/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3175">
      <a:solidFill>
        <a:sysClr val="windowText" lastClr="000000"/>
      </a:solidFill>
    </a:ln>
  </c:spPr>
  <c:txPr>
    <a:bodyPr/>
    <a:lstStyle/>
    <a:p>
      <a:pPr>
        <a:defRPr sz="600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Normalized Data V.S. Pore Size Distrubition</a:t>
            </a:r>
          </a:p>
        </c:rich>
      </c:tx>
      <c:layout>
        <c:manualLayout>
          <c:xMode val="edge"/>
          <c:yMode val="edge"/>
          <c:x val="0.30823972597678045"/>
          <c:y val="5.73523378841218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384661626489"/>
          <c:y val="0.16126507112319541"/>
          <c:w val="0.81528794194843257"/>
          <c:h val="0.67664041994752278"/>
        </c:manualLayout>
      </c:layout>
      <c:scatterChart>
        <c:scatterStyle val="lineMarker"/>
        <c:varyColors val="0"/>
        <c:ser>
          <c:idx val="0"/>
          <c:order val="0"/>
          <c:tx>
            <c:v>Normalized Pore Size Distribution</c:v>
          </c:tx>
          <c:spPr>
            <a:ln w="15875">
              <a:solidFill>
                <a:schemeClr val="dk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75000"/>
                </a:schemeClr>
              </a:solidFill>
              <a:ln>
                <a:solidFill>
                  <a:schemeClr val="dk2">
                    <a:lumMod val="75000"/>
                  </a:schemeClr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72.284370177585473</c:v>
                </c:pt>
                <c:pt idx="1">
                  <c:v>68.580200432950363</c:v>
                </c:pt>
                <c:pt idx="2">
                  <c:v>60.376478224838728</c:v>
                </c:pt>
                <c:pt idx="3">
                  <c:v>54.395271287447166</c:v>
                </c:pt>
                <c:pt idx="4">
                  <c:v>50.416263447428747</c:v>
                </c:pt>
                <c:pt idx="5">
                  <c:v>46.280455084596532</c:v>
                </c:pt>
                <c:pt idx="6">
                  <c:v>42.334990221918822</c:v>
                </c:pt>
                <c:pt idx="7">
                  <c:v>38.838406415803028</c:v>
                </c:pt>
                <c:pt idx="8">
                  <c:v>35.437405814876115</c:v>
                </c:pt>
                <c:pt idx="9">
                  <c:v>32.313033981819942</c:v>
                </c:pt>
                <c:pt idx="10">
                  <c:v>29.623576237305777</c:v>
                </c:pt>
                <c:pt idx="11">
                  <c:v>27.054348233018054</c:v>
                </c:pt>
                <c:pt idx="12">
                  <c:v>24.733515300050168</c:v>
                </c:pt>
                <c:pt idx="13">
                  <c:v>22.656061661735986</c:v>
                </c:pt>
                <c:pt idx="14">
                  <c:v>20.759412132129498</c:v>
                </c:pt>
                <c:pt idx="15">
                  <c:v>18.931884896996159</c:v>
                </c:pt>
                <c:pt idx="16">
                  <c:v>17.318737137350336</c:v>
                </c:pt>
                <c:pt idx="17">
                  <c:v>15.839390329011852</c:v>
                </c:pt>
                <c:pt idx="18">
                  <c:v>14.48173802821759</c:v>
                </c:pt>
                <c:pt idx="19">
                  <c:v>13.238806240693668</c:v>
                </c:pt>
                <c:pt idx="20">
                  <c:v>12.093067415822807</c:v>
                </c:pt>
                <c:pt idx="21">
                  <c:v>11.058307894745314</c:v>
                </c:pt>
                <c:pt idx="22">
                  <c:v>10.128149705474497</c:v>
                </c:pt>
                <c:pt idx="23">
                  <c:v>9.1930116605060821</c:v>
                </c:pt>
                <c:pt idx="24">
                  <c:v>8.4810881300045367</c:v>
                </c:pt>
                <c:pt idx="25">
                  <c:v>7.7062621040452317</c:v>
                </c:pt>
                <c:pt idx="26">
                  <c:v>7.0581459605671419</c:v>
                </c:pt>
                <c:pt idx="27">
                  <c:v>6.4749530325469067</c:v>
                </c:pt>
                <c:pt idx="28">
                  <c:v>5.9167256388841247</c:v>
                </c:pt>
                <c:pt idx="29">
                  <c:v>5.3910953680387221</c:v>
                </c:pt>
                <c:pt idx="30">
                  <c:v>4.9304754817637146</c:v>
                </c:pt>
                <c:pt idx="31">
                  <c:v>4.4954515359569509</c:v>
                </c:pt>
                <c:pt idx="32">
                  <c:v>4.1066436832020461</c:v>
                </c:pt>
                <c:pt idx="33">
                  <c:v>3.7685367177166995</c:v>
                </c:pt>
                <c:pt idx="34">
                  <c:v>3.6327939792887252</c:v>
                </c:pt>
                <c:pt idx="35">
                  <c:v>3.2321816153586389</c:v>
                </c:pt>
                <c:pt idx="36">
                  <c:v>2.939677883671032</c:v>
                </c:pt>
                <c:pt idx="37">
                  <c:v>2.6614569527624075</c:v>
                </c:pt>
                <c:pt idx="38">
                  <c:v>2.4614021083499895</c:v>
                </c:pt>
                <c:pt idx="39">
                  <c:v>2.2336092307539861</c:v>
                </c:pt>
                <c:pt idx="40">
                  <c:v>2.0422562090777263</c:v>
                </c:pt>
                <c:pt idx="41">
                  <c:v>1.8500530980843628</c:v>
                </c:pt>
                <c:pt idx="42">
                  <c:v>1.7028746352823496</c:v>
                </c:pt>
                <c:pt idx="43">
                  <c:v>1.5473923286450466</c:v>
                </c:pt>
                <c:pt idx="44">
                  <c:v>1.417092440397993</c:v>
                </c:pt>
                <c:pt idx="45">
                  <c:v>1.2914777881871202</c:v>
                </c:pt>
                <c:pt idx="46">
                  <c:v>1.1763774264416309</c:v>
                </c:pt>
                <c:pt idx="47">
                  <c:v>1.0777788398272399</c:v>
                </c:pt>
                <c:pt idx="48">
                  <c:v>0.98248756819049354</c:v>
                </c:pt>
                <c:pt idx="49">
                  <c:v>0.90122677149895425</c:v>
                </c:pt>
                <c:pt idx="50">
                  <c:v>0.82111871754702792</c:v>
                </c:pt>
                <c:pt idx="51">
                  <c:v>0.75262890632654189</c:v>
                </c:pt>
                <c:pt idx="52">
                  <c:v>0.68862801305308652</c:v>
                </c:pt>
                <c:pt idx="53">
                  <c:v>0.62643447522923568</c:v>
                </c:pt>
                <c:pt idx="54">
                  <c:v>0.57455580418345242</c:v>
                </c:pt>
                <c:pt idx="55">
                  <c:v>0.52506833303329836</c:v>
                </c:pt>
                <c:pt idx="56">
                  <c:v>0.47781873517519535</c:v>
                </c:pt>
                <c:pt idx="57">
                  <c:v>0.43575095874020076</c:v>
                </c:pt>
                <c:pt idx="58">
                  <c:v>0.40043754317377783</c:v>
                </c:pt>
                <c:pt idx="59">
                  <c:v>0.36490286080631823</c:v>
                </c:pt>
                <c:pt idx="60">
                  <c:v>0.33409472835411258</c:v>
                </c:pt>
                <c:pt idx="61">
                  <c:v>0.30510621189243531</c:v>
                </c:pt>
                <c:pt idx="62">
                  <c:v>0.278119905064174</c:v>
                </c:pt>
                <c:pt idx="63">
                  <c:v>0.25452948229526612</c:v>
                </c:pt>
                <c:pt idx="64">
                  <c:v>0.23282582528766754</c:v>
                </c:pt>
                <c:pt idx="65">
                  <c:v>0.21258041699024022</c:v>
                </c:pt>
                <c:pt idx="66">
                  <c:v>0.19425914232897556</c:v>
                </c:pt>
                <c:pt idx="67">
                  <c:v>0.17797723037374572</c:v>
                </c:pt>
                <c:pt idx="68">
                  <c:v>0.16262381153069153</c:v>
                </c:pt>
                <c:pt idx="69">
                  <c:v>0.14843981542971044</c:v>
                </c:pt>
                <c:pt idx="70">
                  <c:v>0.13569372569433946</c:v>
                </c:pt>
                <c:pt idx="71">
                  <c:v>0.12421998387531678</c:v>
                </c:pt>
                <c:pt idx="72">
                  <c:v>0.11358208488136051</c:v>
                </c:pt>
                <c:pt idx="73">
                  <c:v>0.10422162162715103</c:v>
                </c:pt>
                <c:pt idx="74">
                  <c:v>9.5079404618543889E-2</c:v>
                </c:pt>
                <c:pt idx="75">
                  <c:v>8.681162950177862E-2</c:v>
                </c:pt>
                <c:pt idx="76">
                  <c:v>7.9321275981677389E-2</c:v>
                </c:pt>
                <c:pt idx="77">
                  <c:v>7.2416390310473602E-2</c:v>
                </c:pt>
                <c:pt idx="78">
                  <c:v>6.6284430911365322E-2</c:v>
                </c:pt>
                <c:pt idx="79">
                  <c:v>6.040284363782563E-2</c:v>
                </c:pt>
                <c:pt idx="80">
                  <c:v>5.5234483537290185E-2</c:v>
                </c:pt>
                <c:pt idx="81">
                  <c:v>5.0599020446718178E-2</c:v>
                </c:pt>
                <c:pt idx="82">
                  <c:v>4.6125976855236082E-2</c:v>
                </c:pt>
                <c:pt idx="83">
                  <c:v>4.2208403052163272E-2</c:v>
                </c:pt>
                <c:pt idx="84">
                  <c:v>3.8634450094723369E-2</c:v>
                </c:pt>
                <c:pt idx="85">
                  <c:v>3.5244555393495601E-2</c:v>
                </c:pt>
                <c:pt idx="86">
                  <c:v>3.2236195070881116E-2</c:v>
                </c:pt>
                <c:pt idx="87">
                  <c:v>2.9451472548773613E-2</c:v>
                </c:pt>
                <c:pt idx="88">
                  <c:v>2.6938900631391909E-2</c:v>
                </c:pt>
                <c:pt idx="89">
                  <c:v>2.4631394710314166E-2</c:v>
                </c:pt>
                <c:pt idx="90">
                  <c:v>2.2548118854146482E-2</c:v>
                </c:pt>
                <c:pt idx="91">
                  <c:v>2.0586921891753759E-2</c:v>
                </c:pt>
                <c:pt idx="92">
                  <c:v>1.8818937450595676E-2</c:v>
                </c:pt>
                <c:pt idx="93">
                  <c:v>1.7187025441119996E-2</c:v>
                </c:pt>
                <c:pt idx="94">
                  <c:v>1.5724162818978385E-2</c:v>
                </c:pt>
                <c:pt idx="95">
                  <c:v>1.436368505419415E-2</c:v>
                </c:pt>
                <c:pt idx="96">
                  <c:v>1.3135901100743643E-2</c:v>
                </c:pt>
                <c:pt idx="97">
                  <c:v>1.2010448309012963E-2</c:v>
                </c:pt>
                <c:pt idx="98">
                  <c:v>1.0972387384832166E-2</c:v>
                </c:pt>
                <c:pt idx="99">
                  <c:v>1.0026049721753513E-2</c:v>
                </c:pt>
                <c:pt idx="100">
                  <c:v>9.1824299639242709E-3</c:v>
                </c:pt>
                <c:pt idx="101">
                  <c:v>8.4057286838215735E-3</c:v>
                </c:pt>
                <c:pt idx="102">
                  <c:v>7.6420704460997161E-3</c:v>
                </c:pt>
                <c:pt idx="103">
                  <c:v>7.0059485272336332E-3</c:v>
                </c:pt>
                <c:pt idx="104">
                  <c:v>6.3893001367636105E-3</c:v>
                </c:pt>
                <c:pt idx="105">
                  <c:v>5.8427742787410799E-3</c:v>
                </c:pt>
                <c:pt idx="106">
                  <c:v>5.3564874707049681E-3</c:v>
                </c:pt>
                <c:pt idx="107">
                  <c:v>4.8998129819863741E-3</c:v>
                </c:pt>
                <c:pt idx="108">
                  <c:v>4.4775072954290167E-3</c:v>
                </c:pt>
                <c:pt idx="109">
                  <c:v>4.0914780402849203E-3</c:v>
                </c:pt>
                <c:pt idx="110">
                  <c:v>3.7287902031375836E-3</c:v>
                </c:pt>
                <c:pt idx="111">
                  <c:v>3.4137316107303618E-3</c:v>
                </c:pt>
                <c:pt idx="112">
                  <c:v>3.1213217635917235E-3</c:v>
                </c:pt>
                <c:pt idx="113">
                  <c:v>2.8536779934586411E-3</c:v>
                </c:pt>
                <c:pt idx="114">
                  <c:v>2.6084440816862213E-3</c:v>
                </c:pt>
                <c:pt idx="115">
                  <c:v>2.3860549421579071E-3</c:v>
                </c:pt>
                <c:pt idx="116">
                  <c:v>2.1812173285005623E-3</c:v>
                </c:pt>
                <c:pt idx="117">
                  <c:v>1.9941339674820575E-3</c:v>
                </c:pt>
                <c:pt idx="118">
                  <c:v>1.8365729584993928E-3</c:v>
                </c:pt>
              </c:numCache>
            </c:numRef>
          </c:xVal>
          <c:yVal>
            <c:numRef>
              <c:f>Table!$S$18:$S$136</c:f>
              <c:numCache>
                <c:formatCode>????0.000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2.5657938254155029E-2</c:v>
                </c:pt>
                <c:pt idx="26">
                  <c:v>4.6569965395032768E-2</c:v>
                </c:pt>
                <c:pt idx="27">
                  <c:v>7.6986587093809428E-2</c:v>
                </c:pt>
                <c:pt idx="28">
                  <c:v>0.18631776515969112</c:v>
                </c:pt>
                <c:pt idx="29">
                  <c:v>0.23572562508268297</c:v>
                </c:pt>
                <c:pt idx="30">
                  <c:v>0.26710996302769102</c:v>
                </c:pt>
                <c:pt idx="31">
                  <c:v>0.46576527805822282</c:v>
                </c:pt>
                <c:pt idx="32">
                  <c:v>1</c:v>
                </c:pt>
                <c:pt idx="33">
                  <c:v>0.94492031109656682</c:v>
                </c:pt>
                <c:pt idx="34">
                  <c:v>0.90179840608267547</c:v>
                </c:pt>
                <c:pt idx="35">
                  <c:v>0.82006031123582146</c:v>
                </c:pt>
                <c:pt idx="36">
                  <c:v>0.74296087385549392</c:v>
                </c:pt>
                <c:pt idx="37">
                  <c:v>0.67992598575417285</c:v>
                </c:pt>
                <c:pt idx="38">
                  <c:v>0.57261438090529937</c:v>
                </c:pt>
                <c:pt idx="39">
                  <c:v>0.45956580165853206</c:v>
                </c:pt>
                <c:pt idx="40">
                  <c:v>0.376932342763245</c:v>
                </c:pt>
                <c:pt idx="41">
                  <c:v>0.34942591960785724</c:v>
                </c:pt>
                <c:pt idx="42">
                  <c:v>0.3048509619066837</c:v>
                </c:pt>
                <c:pt idx="43">
                  <c:v>0.27386036860904833</c:v>
                </c:pt>
                <c:pt idx="44">
                  <c:v>0.24395875255011401</c:v>
                </c:pt>
                <c:pt idx="45">
                  <c:v>0.25111508762646267</c:v>
                </c:pt>
                <c:pt idx="46">
                  <c:v>0.22048098815632614</c:v>
                </c:pt>
                <c:pt idx="47">
                  <c:v>0.20458011015102298</c:v>
                </c:pt>
                <c:pt idx="48">
                  <c:v>0.22039116842244602</c:v>
                </c:pt>
                <c:pt idx="49">
                  <c:v>0.18630144616734165</c:v>
                </c:pt>
                <c:pt idx="50">
                  <c:v>0.16375042646966764</c:v>
                </c:pt>
                <c:pt idx="51">
                  <c:v>0.18294330216333357</c:v>
                </c:pt>
                <c:pt idx="52">
                  <c:v>0.19175259885392723</c:v>
                </c:pt>
                <c:pt idx="53">
                  <c:v>0.19180203452141426</c:v>
                </c:pt>
                <c:pt idx="54">
                  <c:v>0.18154865931862224</c:v>
                </c:pt>
                <c:pt idx="55">
                  <c:v>0.19067545832433949</c:v>
                </c:pt>
                <c:pt idx="56">
                  <c:v>0.19942487519234836</c:v>
                </c:pt>
                <c:pt idx="57">
                  <c:v>0.19965812798963992</c:v>
                </c:pt>
                <c:pt idx="58">
                  <c:v>0.18403088684802138</c:v>
                </c:pt>
                <c:pt idx="59">
                  <c:v>0.20505705990071088</c:v>
                </c:pt>
                <c:pt idx="60">
                  <c:v>0.20654152247930233</c:v>
                </c:pt>
                <c:pt idx="61">
                  <c:v>0.21533689362976524</c:v>
                </c:pt>
                <c:pt idx="62">
                  <c:v>0.22601012386767735</c:v>
                </c:pt>
                <c:pt idx="63">
                  <c:v>0.24062567451835157</c:v>
                </c:pt>
                <c:pt idx="64">
                  <c:v>0.24125023499348811</c:v>
                </c:pt>
                <c:pt idx="65">
                  <c:v>0.25665745260094508</c:v>
                </c:pt>
                <c:pt idx="66">
                  <c:v>0.27530514339824858</c:v>
                </c:pt>
                <c:pt idx="67">
                  <c:v>0.28218575277988461</c:v>
                </c:pt>
                <c:pt idx="68">
                  <c:v>0.2998475153355043</c:v>
                </c:pt>
                <c:pt idx="69">
                  <c:v>0.3169146573272687</c:v>
                </c:pt>
                <c:pt idx="70">
                  <c:v>0.31866231261445171</c:v>
                </c:pt>
                <c:pt idx="71">
                  <c:v>0.31925693317829529</c:v>
                </c:pt>
                <c:pt idx="72">
                  <c:v>0.32631996713572498</c:v>
                </c:pt>
                <c:pt idx="73">
                  <c:v>0.30907318567619096</c:v>
                </c:pt>
                <c:pt idx="74">
                  <c:v>0.32945182111250981</c:v>
                </c:pt>
                <c:pt idx="75">
                  <c:v>0.31967748449042899</c:v>
                </c:pt>
                <c:pt idx="76">
                  <c:v>0.30997277556903352</c:v>
                </c:pt>
                <c:pt idx="77">
                  <c:v>0.29381636390221488</c:v>
                </c:pt>
                <c:pt idx="78">
                  <c:v>0.27004407433453276</c:v>
                </c:pt>
                <c:pt idx="79">
                  <c:v>0.27453227592065332</c:v>
                </c:pt>
                <c:pt idx="80">
                  <c:v>0.24518559263617487</c:v>
                </c:pt>
                <c:pt idx="81">
                  <c:v>0.22460225175983953</c:v>
                </c:pt>
                <c:pt idx="82">
                  <c:v>0.22421372919002094</c:v>
                </c:pt>
                <c:pt idx="83">
                  <c:v>0.20477089005089696</c:v>
                </c:pt>
                <c:pt idx="84">
                  <c:v>0.19550205053578501</c:v>
                </c:pt>
                <c:pt idx="85">
                  <c:v>0.1899095536168125</c:v>
                </c:pt>
                <c:pt idx="86">
                  <c:v>0.17255693805223374</c:v>
                </c:pt>
                <c:pt idx="87">
                  <c:v>0.1675841276693516</c:v>
                </c:pt>
                <c:pt idx="88">
                  <c:v>0.15155443841778257</c:v>
                </c:pt>
                <c:pt idx="89">
                  <c:v>0.14049198933303589</c:v>
                </c:pt>
                <c:pt idx="90">
                  <c:v>0.13449982941213456</c:v>
                </c:pt>
                <c:pt idx="91">
                  <c:v>0.13581161529302702</c:v>
                </c:pt>
                <c:pt idx="92">
                  <c:v>0.11949923757667706</c:v>
                </c:pt>
                <c:pt idx="93">
                  <c:v>0.12262134367536957</c:v>
                </c:pt>
                <c:pt idx="94">
                  <c:v>0.10659026186978031</c:v>
                </c:pt>
                <c:pt idx="95">
                  <c:v>0.10982377228956797</c:v>
                </c:pt>
                <c:pt idx="96">
                  <c:v>9.9018945697353034E-2</c:v>
                </c:pt>
                <c:pt idx="97">
                  <c:v>9.5019530570045418E-2</c:v>
                </c:pt>
                <c:pt idx="98">
                  <c:v>9.1941986199786732E-2</c:v>
                </c:pt>
                <c:pt idx="99">
                  <c:v>8.3596409995755655E-2</c:v>
                </c:pt>
                <c:pt idx="100">
                  <c:v>7.7022162497124791E-2</c:v>
                </c:pt>
                <c:pt idx="101">
                  <c:v>7.0099776495083657E-2</c:v>
                </c:pt>
                <c:pt idx="102">
                  <c:v>6.9455023986744122E-2</c:v>
                </c:pt>
                <c:pt idx="103">
                  <c:v>6.0981332813443201E-2</c:v>
                </c:pt>
                <c:pt idx="104">
                  <c:v>5.3780436008660705E-2</c:v>
                </c:pt>
                <c:pt idx="105">
                  <c:v>4.5950104789693164E-2</c:v>
                </c:pt>
                <c:pt idx="106">
                  <c:v>3.7839870213961679E-2</c:v>
                </c:pt>
                <c:pt idx="107">
                  <c:v>0</c:v>
                </c:pt>
                <c:pt idx="108">
                  <c:v>2.3690128880878049E-2</c:v>
                </c:pt>
                <c:pt idx="109">
                  <c:v>1.4979703525250253E-2</c:v>
                </c:pt>
                <c:pt idx="110">
                  <c:v>1.775784878255799E-2</c:v>
                </c:pt>
                <c:pt idx="111">
                  <c:v>7.1563350763463162E-3</c:v>
                </c:pt>
                <c:pt idx="112">
                  <c:v>1.3312816370865144E-2</c:v>
                </c:pt>
                <c:pt idx="113">
                  <c:v>5.3710808308001191E-3</c:v>
                </c:pt>
                <c:pt idx="114">
                  <c:v>3.207051893525297E-3</c:v>
                </c:pt>
                <c:pt idx="115">
                  <c:v>2.6476629462264929E-2</c:v>
                </c:pt>
                <c:pt idx="116">
                  <c:v>0</c:v>
                </c:pt>
                <c:pt idx="117">
                  <c:v>0</c:v>
                </c:pt>
                <c:pt idx="118">
                  <c:v>2.1925762945527359E-2</c:v>
                </c:pt>
              </c:numCache>
            </c:numRef>
          </c:yVal>
          <c:smooth val="0"/>
        </c:ser>
        <c:ser>
          <c:idx val="1"/>
          <c:order val="1"/>
          <c:tx>
            <c:v>Conformance Point</c:v>
          </c:tx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Table!$AE$17</c:f>
              <c:numCache>
                <c:formatCode>General</c:formatCode>
                <c:ptCount val="1"/>
                <c:pt idx="0">
                  <c:v>8.4810881300045367</c:v>
                </c:pt>
              </c:numCache>
            </c:numRef>
          </c:xVal>
          <c:yVal>
            <c:numRef>
              <c:f>Table!$AD$17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87264"/>
        <c:axId val="105022592"/>
      </c:scatterChart>
      <c:valAx>
        <c:axId val="104987264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40741869092575211"/>
              <c:y val="0.925774717568987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05022592"/>
        <c:crosses val="autoZero"/>
        <c:crossBetween val="midCat"/>
      </c:valAx>
      <c:valAx>
        <c:axId val="10502259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Dristubition Function</a:t>
                </a:r>
              </a:p>
            </c:rich>
          </c:tx>
          <c:layout>
            <c:manualLayout>
              <c:xMode val="edge"/>
              <c:yMode val="edge"/>
              <c:x val="3.5392202272293852E-2"/>
              <c:y val="0.30886858206270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04987264"/>
        <c:crossesAt val="1.0000000000000041E-3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dk1"/>
      </a:solidFill>
    </a:ln>
  </c:spPr>
  <c:txPr>
    <a:bodyPr/>
    <a:lstStyle/>
    <a:p>
      <a:pPr>
        <a:defRPr sz="8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844" r="0.75000000000000844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Saturation vs Pore Throat Size</a:t>
            </a:r>
          </a:p>
        </c:rich>
      </c:tx>
      <c:layout>
        <c:manualLayout>
          <c:xMode val="edge"/>
          <c:yMode val="edge"/>
          <c:x val="0.33093532012654897"/>
          <c:y val="3.1042222084444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64490420478818"/>
          <c:y val="0.10419268510258722"/>
          <c:w val="0.79829436705027268"/>
          <c:h val="0.76090414211159918"/>
        </c:manualLayout>
      </c:layout>
      <c:scatterChart>
        <c:scatterStyle val="smoothMarker"/>
        <c:varyColors val="0"/>
        <c:ser>
          <c:idx val="0"/>
          <c:order val="0"/>
          <c:tx>
            <c:v>Sat. (Frac)</c:v>
          </c:tx>
          <c:spPr>
            <a:ln w="12700">
              <a:solidFill>
                <a:srgbClr val="800080"/>
              </a:solidFill>
            </a:ln>
          </c:spPr>
          <c:marker>
            <c:symbol val="diamond"/>
            <c:size val="3"/>
            <c:spPr>
              <a:solidFill>
                <a:srgbClr val="800080"/>
              </a:solidFill>
              <a:ln>
                <a:solidFill>
                  <a:srgbClr val="800080"/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72.284370177585473</c:v>
                </c:pt>
                <c:pt idx="1">
                  <c:v>68.580200432950363</c:v>
                </c:pt>
                <c:pt idx="2">
                  <c:v>60.376478224838728</c:v>
                </c:pt>
                <c:pt idx="3">
                  <c:v>54.395271287447166</c:v>
                </c:pt>
                <c:pt idx="4">
                  <c:v>50.416263447428747</c:v>
                </c:pt>
                <c:pt idx="5">
                  <c:v>46.280455084596532</c:v>
                </c:pt>
                <c:pt idx="6">
                  <c:v>42.334990221918822</c:v>
                </c:pt>
                <c:pt idx="7">
                  <c:v>38.838406415803028</c:v>
                </c:pt>
                <c:pt idx="8">
                  <c:v>35.437405814876115</c:v>
                </c:pt>
                <c:pt idx="9">
                  <c:v>32.313033981819942</c:v>
                </c:pt>
                <c:pt idx="10">
                  <c:v>29.623576237305777</c:v>
                </c:pt>
                <c:pt idx="11">
                  <c:v>27.054348233018054</c:v>
                </c:pt>
                <c:pt idx="12">
                  <c:v>24.733515300050168</c:v>
                </c:pt>
                <c:pt idx="13">
                  <c:v>22.656061661735986</c:v>
                </c:pt>
                <c:pt idx="14">
                  <c:v>20.759412132129498</c:v>
                </c:pt>
                <c:pt idx="15">
                  <c:v>18.931884896996159</c:v>
                </c:pt>
                <c:pt idx="16">
                  <c:v>17.318737137350336</c:v>
                </c:pt>
                <c:pt idx="17">
                  <c:v>15.839390329011852</c:v>
                </c:pt>
                <c:pt idx="18">
                  <c:v>14.48173802821759</c:v>
                </c:pt>
                <c:pt idx="19">
                  <c:v>13.238806240693668</c:v>
                </c:pt>
                <c:pt idx="20">
                  <c:v>12.093067415822807</c:v>
                </c:pt>
                <c:pt idx="21">
                  <c:v>11.058307894745314</c:v>
                </c:pt>
                <c:pt idx="22">
                  <c:v>10.128149705474497</c:v>
                </c:pt>
                <c:pt idx="23">
                  <c:v>9.1930116605060821</c:v>
                </c:pt>
                <c:pt idx="24">
                  <c:v>8.4810881300045367</c:v>
                </c:pt>
                <c:pt idx="25">
                  <c:v>7.7062621040452317</c:v>
                </c:pt>
                <c:pt idx="26">
                  <c:v>7.0581459605671419</c:v>
                </c:pt>
                <c:pt idx="27">
                  <c:v>6.4749530325469067</c:v>
                </c:pt>
                <c:pt idx="28">
                  <c:v>5.9167256388841247</c:v>
                </c:pt>
                <c:pt idx="29">
                  <c:v>5.3910953680387221</c:v>
                </c:pt>
                <c:pt idx="30">
                  <c:v>4.9304754817637146</c:v>
                </c:pt>
                <c:pt idx="31">
                  <c:v>4.4954515359569509</c:v>
                </c:pt>
                <c:pt idx="32">
                  <c:v>4.1066436832020461</c:v>
                </c:pt>
                <c:pt idx="33">
                  <c:v>3.7685367177166995</c:v>
                </c:pt>
                <c:pt idx="34">
                  <c:v>3.6327939792887252</c:v>
                </c:pt>
                <c:pt idx="35">
                  <c:v>3.2321816153586389</c:v>
                </c:pt>
                <c:pt idx="36">
                  <c:v>2.939677883671032</c:v>
                </c:pt>
                <c:pt idx="37">
                  <c:v>2.6614569527624075</c:v>
                </c:pt>
                <c:pt idx="38">
                  <c:v>2.4614021083499895</c:v>
                </c:pt>
                <c:pt idx="39">
                  <c:v>2.2336092307539861</c:v>
                </c:pt>
                <c:pt idx="40">
                  <c:v>2.0422562090777263</c:v>
                </c:pt>
                <c:pt idx="41">
                  <c:v>1.8500530980843628</c:v>
                </c:pt>
                <c:pt idx="42">
                  <c:v>1.7028746352823496</c:v>
                </c:pt>
                <c:pt idx="43">
                  <c:v>1.5473923286450466</c:v>
                </c:pt>
                <c:pt idx="44">
                  <c:v>1.417092440397993</c:v>
                </c:pt>
                <c:pt idx="45">
                  <c:v>1.2914777881871202</c:v>
                </c:pt>
                <c:pt idx="46">
                  <c:v>1.1763774264416309</c:v>
                </c:pt>
                <c:pt idx="47">
                  <c:v>1.0777788398272399</c:v>
                </c:pt>
                <c:pt idx="48">
                  <c:v>0.98248756819049354</c:v>
                </c:pt>
                <c:pt idx="49">
                  <c:v>0.90122677149895425</c:v>
                </c:pt>
                <c:pt idx="50">
                  <c:v>0.82111871754702792</c:v>
                </c:pt>
                <c:pt idx="51">
                  <c:v>0.75262890632654189</c:v>
                </c:pt>
                <c:pt idx="52">
                  <c:v>0.68862801305308652</c:v>
                </c:pt>
                <c:pt idx="53">
                  <c:v>0.62643447522923568</c:v>
                </c:pt>
                <c:pt idx="54">
                  <c:v>0.57455580418345242</c:v>
                </c:pt>
                <c:pt idx="55">
                  <c:v>0.52506833303329836</c:v>
                </c:pt>
                <c:pt idx="56">
                  <c:v>0.47781873517519535</c:v>
                </c:pt>
                <c:pt idx="57">
                  <c:v>0.43575095874020076</c:v>
                </c:pt>
                <c:pt idx="58">
                  <c:v>0.40043754317377783</c:v>
                </c:pt>
                <c:pt idx="59">
                  <c:v>0.36490286080631823</c:v>
                </c:pt>
                <c:pt idx="60">
                  <c:v>0.33409472835411258</c:v>
                </c:pt>
                <c:pt idx="61">
                  <c:v>0.30510621189243531</c:v>
                </c:pt>
                <c:pt idx="62">
                  <c:v>0.278119905064174</c:v>
                </c:pt>
                <c:pt idx="63">
                  <c:v>0.25452948229526612</c:v>
                </c:pt>
                <c:pt idx="64">
                  <c:v>0.23282582528766754</c:v>
                </c:pt>
                <c:pt idx="65">
                  <c:v>0.21258041699024022</c:v>
                </c:pt>
                <c:pt idx="66">
                  <c:v>0.19425914232897556</c:v>
                </c:pt>
                <c:pt idx="67">
                  <c:v>0.17797723037374572</c:v>
                </c:pt>
                <c:pt idx="68">
                  <c:v>0.16262381153069153</c:v>
                </c:pt>
                <c:pt idx="69">
                  <c:v>0.14843981542971044</c:v>
                </c:pt>
                <c:pt idx="70">
                  <c:v>0.13569372569433946</c:v>
                </c:pt>
                <c:pt idx="71">
                  <c:v>0.12421998387531678</c:v>
                </c:pt>
                <c:pt idx="72">
                  <c:v>0.11358208488136051</c:v>
                </c:pt>
                <c:pt idx="73">
                  <c:v>0.10422162162715103</c:v>
                </c:pt>
                <c:pt idx="74">
                  <c:v>9.5079404618543889E-2</c:v>
                </c:pt>
                <c:pt idx="75">
                  <c:v>8.681162950177862E-2</c:v>
                </c:pt>
                <c:pt idx="76">
                  <c:v>7.9321275981677389E-2</c:v>
                </c:pt>
                <c:pt idx="77">
                  <c:v>7.2416390310473602E-2</c:v>
                </c:pt>
                <c:pt idx="78">
                  <c:v>6.6284430911365322E-2</c:v>
                </c:pt>
                <c:pt idx="79">
                  <c:v>6.040284363782563E-2</c:v>
                </c:pt>
                <c:pt idx="80">
                  <c:v>5.5234483537290185E-2</c:v>
                </c:pt>
                <c:pt idx="81">
                  <c:v>5.0599020446718178E-2</c:v>
                </c:pt>
                <c:pt idx="82">
                  <c:v>4.6125976855236082E-2</c:v>
                </c:pt>
                <c:pt idx="83">
                  <c:v>4.2208403052163272E-2</c:v>
                </c:pt>
                <c:pt idx="84">
                  <c:v>3.8634450094723369E-2</c:v>
                </c:pt>
                <c:pt idx="85">
                  <c:v>3.5244555393495601E-2</c:v>
                </c:pt>
                <c:pt idx="86">
                  <c:v>3.2236195070881116E-2</c:v>
                </c:pt>
                <c:pt idx="87">
                  <c:v>2.9451472548773613E-2</c:v>
                </c:pt>
                <c:pt idx="88">
                  <c:v>2.6938900631391909E-2</c:v>
                </c:pt>
                <c:pt idx="89">
                  <c:v>2.4631394710314166E-2</c:v>
                </c:pt>
                <c:pt idx="90">
                  <c:v>2.2548118854146482E-2</c:v>
                </c:pt>
                <c:pt idx="91">
                  <c:v>2.0586921891753759E-2</c:v>
                </c:pt>
                <c:pt idx="92">
                  <c:v>1.8818937450595676E-2</c:v>
                </c:pt>
                <c:pt idx="93">
                  <c:v>1.7187025441119996E-2</c:v>
                </c:pt>
                <c:pt idx="94">
                  <c:v>1.5724162818978385E-2</c:v>
                </c:pt>
                <c:pt idx="95">
                  <c:v>1.436368505419415E-2</c:v>
                </c:pt>
                <c:pt idx="96">
                  <c:v>1.3135901100743643E-2</c:v>
                </c:pt>
                <c:pt idx="97">
                  <c:v>1.2010448309012963E-2</c:v>
                </c:pt>
                <c:pt idx="98">
                  <c:v>1.0972387384832166E-2</c:v>
                </c:pt>
                <c:pt idx="99">
                  <c:v>1.0026049721753513E-2</c:v>
                </c:pt>
                <c:pt idx="100">
                  <c:v>9.1824299639242709E-3</c:v>
                </c:pt>
                <c:pt idx="101">
                  <c:v>8.4057286838215735E-3</c:v>
                </c:pt>
                <c:pt idx="102">
                  <c:v>7.6420704460997161E-3</c:v>
                </c:pt>
                <c:pt idx="103">
                  <c:v>7.0059485272336332E-3</c:v>
                </c:pt>
                <c:pt idx="104">
                  <c:v>6.3893001367636105E-3</c:v>
                </c:pt>
                <c:pt idx="105">
                  <c:v>5.8427742787410799E-3</c:v>
                </c:pt>
                <c:pt idx="106">
                  <c:v>5.3564874707049681E-3</c:v>
                </c:pt>
                <c:pt idx="107">
                  <c:v>4.8998129819863741E-3</c:v>
                </c:pt>
                <c:pt idx="108">
                  <c:v>4.4775072954290167E-3</c:v>
                </c:pt>
                <c:pt idx="109">
                  <c:v>4.0914780402849203E-3</c:v>
                </c:pt>
                <c:pt idx="110">
                  <c:v>3.7287902031375836E-3</c:v>
                </c:pt>
                <c:pt idx="111">
                  <c:v>3.4137316107303618E-3</c:v>
                </c:pt>
                <c:pt idx="112">
                  <c:v>3.1213217635917235E-3</c:v>
                </c:pt>
                <c:pt idx="113">
                  <c:v>2.8536779934586411E-3</c:v>
                </c:pt>
                <c:pt idx="114">
                  <c:v>2.6084440816862213E-3</c:v>
                </c:pt>
                <c:pt idx="115">
                  <c:v>2.3860549421579071E-3</c:v>
                </c:pt>
                <c:pt idx="116">
                  <c:v>2.1812173285005623E-3</c:v>
                </c:pt>
                <c:pt idx="117">
                  <c:v>1.9941339674820575E-3</c:v>
                </c:pt>
                <c:pt idx="118">
                  <c:v>1.8365729584993928E-3</c:v>
                </c:pt>
              </c:numCache>
            </c:numRef>
          </c:xVal>
          <c:yVal>
            <c:numRef>
              <c:f>'Raw Data'!$E$18:$E$136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1.2134968752424142E-3</c:v>
                </c:pt>
                <c:pt idx="26">
                  <c:v>3.4160318929525001E-3</c:v>
                </c:pt>
                <c:pt idx="27">
                  <c:v>7.0571265884230867E-3</c:v>
                </c:pt>
                <c:pt idx="28">
                  <c:v>1.5869059315980465E-2</c:v>
                </c:pt>
                <c:pt idx="29">
                  <c:v>2.7017745801188511E-2</c:v>
                </c:pt>
                <c:pt idx="30">
                  <c:v>3.9650760280741611E-2</c:v>
                </c:pt>
                <c:pt idx="31">
                  <c:v>6.1679214162009284E-2</c:v>
                </c:pt>
                <c:pt idx="32">
                  <c:v>0.10897439677653216</c:v>
                </c:pt>
                <c:pt idx="33">
                  <c:v>0.15366457544601606</c:v>
                </c:pt>
                <c:pt idx="34">
                  <c:v>0.19631529574318185</c:v>
                </c:pt>
                <c:pt idx="35">
                  <c:v>0.23510019791800249</c:v>
                </c:pt>
                <c:pt idx="36">
                  <c:v>0.27023866812244357</c:v>
                </c:pt>
                <c:pt idx="37">
                  <c:v>0.30239589178304666</c:v>
                </c:pt>
                <c:pt idx="38">
                  <c:v>0.32947779349566475</c:v>
                </c:pt>
                <c:pt idx="39">
                  <c:v>0.35121304200849462</c:v>
                </c:pt>
                <c:pt idx="40">
                  <c:v>0.36904012599280223</c:v>
                </c:pt>
                <c:pt idx="41">
                  <c:v>0.38556628867090342</c:v>
                </c:pt>
                <c:pt idx="42">
                  <c:v>0.39998427058449298</c:v>
                </c:pt>
                <c:pt idx="43">
                  <c:v>0.41293654672873847</c:v>
                </c:pt>
                <c:pt idx="44">
                  <c:v>0.42447462048100731</c:v>
                </c:pt>
                <c:pt idx="45">
                  <c:v>0.43635115440756278</c:v>
                </c:pt>
                <c:pt idx="46">
                  <c:v>0.44677884300544668</c:v>
                </c:pt>
                <c:pt idx="47">
                  <c:v>0.45645449667433852</c:v>
                </c:pt>
                <c:pt idx="48">
                  <c:v>0.46687793723150617</c:v>
                </c:pt>
                <c:pt idx="49">
                  <c:v>0.47568909814934029</c:v>
                </c:pt>
                <c:pt idx="50">
                  <c:v>0.48343370447242923</c:v>
                </c:pt>
                <c:pt idx="51">
                  <c:v>0.49208604135634793</c:v>
                </c:pt>
                <c:pt idx="52">
                  <c:v>0.50115501553595376</c:v>
                </c:pt>
                <c:pt idx="53">
                  <c:v>0.51022632778448107</c:v>
                </c:pt>
                <c:pt idx="54">
                  <c:v>0.51881270478037711</c:v>
                </c:pt>
                <c:pt idx="55">
                  <c:v>0.52783073540193459</c:v>
                </c:pt>
                <c:pt idx="56">
                  <c:v>0.53726257129203514</c:v>
                </c:pt>
                <c:pt idx="57">
                  <c:v>0.54670543891577894</c:v>
                </c:pt>
                <c:pt idx="58">
                  <c:v>0.55540921331596871</c:v>
                </c:pt>
                <c:pt idx="59">
                  <c:v>0.56510742441036999</c:v>
                </c:pt>
                <c:pt idx="60">
                  <c:v>0.57487584343351017</c:v>
                </c:pt>
                <c:pt idx="61">
                  <c:v>0.585060241141374</c:v>
                </c:pt>
                <c:pt idx="62">
                  <c:v>0.59574943122242674</c:v>
                </c:pt>
                <c:pt idx="63">
                  <c:v>0.60712986644051492</c:v>
                </c:pt>
                <c:pt idx="64">
                  <c:v>0.6185398403603285</c:v>
                </c:pt>
                <c:pt idx="65">
                  <c:v>0.63067850145046844</c:v>
                </c:pt>
                <c:pt idx="66">
                  <c:v>0.64369910848220602</c:v>
                </c:pt>
                <c:pt idx="67">
                  <c:v>0.65704513519114727</c:v>
                </c:pt>
                <c:pt idx="68">
                  <c:v>0.67122647818545089</c:v>
                </c:pt>
                <c:pt idx="69">
                  <c:v>0.68621501477696301</c:v>
                </c:pt>
                <c:pt idx="70">
                  <c:v>0.70128620704442968</c:v>
                </c:pt>
                <c:pt idx="71">
                  <c:v>0.71638552200004968</c:v>
                </c:pt>
                <c:pt idx="72">
                  <c:v>0.7318188844364989</c:v>
                </c:pt>
                <c:pt idx="73">
                  <c:v>0.74643655719430668</c:v>
                </c:pt>
                <c:pt idx="74">
                  <c:v>0.76201804123650996</c:v>
                </c:pt>
                <c:pt idx="75">
                  <c:v>0.7771372462432361</c:v>
                </c:pt>
                <c:pt idx="76">
                  <c:v>0.79179746526930406</c:v>
                </c:pt>
                <c:pt idx="77">
                  <c:v>0.80569356385519442</c:v>
                </c:pt>
                <c:pt idx="78">
                  <c:v>0.81846534766481593</c:v>
                </c:pt>
                <c:pt idx="79">
                  <c:v>0.83144940178806381</c:v>
                </c:pt>
                <c:pt idx="80">
                  <c:v>0.84304549916624172</c:v>
                </c:pt>
                <c:pt idx="81">
                  <c:v>0.85366810367885637</c:v>
                </c:pt>
                <c:pt idx="82">
                  <c:v>0.86427233294558159</c:v>
                </c:pt>
                <c:pt idx="83">
                  <c:v>0.87395700958467715</c:v>
                </c:pt>
                <c:pt idx="84">
                  <c:v>0.88320331476628078</c:v>
                </c:pt>
                <c:pt idx="85">
                  <c:v>0.89218512178483045</c:v>
                </c:pt>
                <c:pt idx="86">
                  <c:v>0.90034623368141375</c:v>
                </c:pt>
                <c:pt idx="87">
                  <c:v>0.90827215560283125</c:v>
                </c:pt>
                <c:pt idx="88">
                  <c:v>0.91543995044384174</c:v>
                </c:pt>
                <c:pt idx="89">
                  <c:v>0.92208454473522528</c:v>
                </c:pt>
                <c:pt idx="90">
                  <c:v>0.92844573872889435</c:v>
                </c:pt>
                <c:pt idx="91">
                  <c:v>0.93486897387535139</c:v>
                </c:pt>
                <c:pt idx="92">
                  <c:v>0.94052071213883659</c:v>
                </c:pt>
                <c:pt idx="93">
                  <c:v>0.94632011098040136</c:v>
                </c:pt>
                <c:pt idx="94">
                  <c:v>0.95136131688046244</c:v>
                </c:pt>
                <c:pt idx="95">
                  <c:v>0.95655545224631333</c:v>
                </c:pt>
                <c:pt idx="96">
                  <c:v>0.96123857136536717</c:v>
                </c:pt>
                <c:pt idx="97">
                  <c:v>0.9657325374156237</c:v>
                </c:pt>
                <c:pt idx="98">
                  <c:v>0.97008095044288456</c:v>
                </c:pt>
                <c:pt idx="99">
                  <c:v>0.97403465791955235</c:v>
                </c:pt>
                <c:pt idx="100">
                  <c:v>0.97767743516021932</c:v>
                </c:pt>
                <c:pt idx="101">
                  <c:v>0.98099281689079154</c:v>
                </c:pt>
                <c:pt idx="102">
                  <c:v>0.98427770493374067</c:v>
                </c:pt>
                <c:pt idx="103">
                  <c:v>0.98716182820522946</c:v>
                </c:pt>
                <c:pt idx="104">
                  <c:v>0.98970538374734773</c:v>
                </c:pt>
                <c:pt idx="105">
                  <c:v>0.99187860234453273</c:v>
                </c:pt>
                <c:pt idx="106">
                  <c:v>0.9936682459164119</c:v>
                </c:pt>
                <c:pt idx="107">
                  <c:v>0.9936682459164119</c:v>
                </c:pt>
                <c:pt idx="108">
                  <c:v>0.99478867488799461</c:v>
                </c:pt>
                <c:pt idx="109">
                  <c:v>0.99549714270173273</c:v>
                </c:pt>
                <c:pt idx="110">
                  <c:v>0.99633700340274489</c:v>
                </c:pt>
                <c:pt idx="111">
                  <c:v>0.99667546357703141</c:v>
                </c:pt>
                <c:pt idx="112">
                  <c:v>0.99730509565840508</c:v>
                </c:pt>
                <c:pt idx="113">
                  <c:v>0.99755912190713514</c:v>
                </c:pt>
                <c:pt idx="114">
                  <c:v>0.99771080001209367</c:v>
                </c:pt>
                <c:pt idx="115">
                  <c:v>0.99896301703752854</c:v>
                </c:pt>
                <c:pt idx="116">
                  <c:v>0.99896301703752854</c:v>
                </c:pt>
                <c:pt idx="117">
                  <c:v>0.99896301703752854</c:v>
                </c:pt>
                <c:pt idx="118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80704"/>
        <c:axId val="105083264"/>
      </c:scatterChart>
      <c:valAx>
        <c:axId val="105080704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9768561318499929"/>
              <c:y val="0.942799210869595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05083264"/>
        <c:crosses val="autoZero"/>
        <c:crossBetween val="midCat"/>
      </c:valAx>
      <c:valAx>
        <c:axId val="10508326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Mercury Saturation, fractional</a:t>
                </a:r>
              </a:p>
            </c:rich>
          </c:tx>
          <c:layout>
            <c:manualLayout>
              <c:xMode val="edge"/>
              <c:yMode val="edge"/>
              <c:x val="1.7213682297809941E-2"/>
              <c:y val="0.331670401146337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05080704"/>
        <c:crossesAt val="1.0000000000000041E-3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solidFill>
        <a:sysClr val="windowText" lastClr="000000"/>
      </a:solidFill>
    </a:ln>
  </c:spPr>
  <c:txPr>
    <a:bodyPr/>
    <a:lstStyle/>
    <a:p>
      <a:pPr>
        <a:defRPr sz="825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966" r="0.75000000000000966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d Sw / d Log Pore Throat Size vs Pore Throat Size</a:t>
            </a:r>
          </a:p>
        </c:rich>
      </c:tx>
      <c:layout>
        <c:manualLayout>
          <c:xMode val="edge"/>
          <c:yMode val="edge"/>
          <c:x val="0.2429618814204548"/>
          <c:y val="3.1012615102564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9448905544897"/>
          <c:y val="0.10031489965429066"/>
          <c:w val="0.81356164375743056"/>
          <c:h val="0.76537560680389582"/>
        </c:manualLayout>
      </c:layout>
      <c:scatterChart>
        <c:scatterStyle val="smoothMarker"/>
        <c:varyColors val="0"/>
        <c:ser>
          <c:idx val="0"/>
          <c:order val="0"/>
          <c:tx>
            <c:v>Sat. (Frac)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72.284370177585473</c:v>
                </c:pt>
                <c:pt idx="1">
                  <c:v>68.580200432950363</c:v>
                </c:pt>
                <c:pt idx="2">
                  <c:v>60.376478224838728</c:v>
                </c:pt>
                <c:pt idx="3">
                  <c:v>54.395271287447166</c:v>
                </c:pt>
                <c:pt idx="4">
                  <c:v>50.416263447428747</c:v>
                </c:pt>
                <c:pt idx="5">
                  <c:v>46.280455084596532</c:v>
                </c:pt>
                <c:pt idx="6">
                  <c:v>42.334990221918822</c:v>
                </c:pt>
                <c:pt idx="7">
                  <c:v>38.838406415803028</c:v>
                </c:pt>
                <c:pt idx="8">
                  <c:v>35.437405814876115</c:v>
                </c:pt>
                <c:pt idx="9">
                  <c:v>32.313033981819942</c:v>
                </c:pt>
                <c:pt idx="10">
                  <c:v>29.623576237305777</c:v>
                </c:pt>
                <c:pt idx="11">
                  <c:v>27.054348233018054</c:v>
                </c:pt>
                <c:pt idx="12">
                  <c:v>24.733515300050168</c:v>
                </c:pt>
                <c:pt idx="13">
                  <c:v>22.656061661735986</c:v>
                </c:pt>
                <c:pt idx="14">
                  <c:v>20.759412132129498</c:v>
                </c:pt>
                <c:pt idx="15">
                  <c:v>18.931884896996159</c:v>
                </c:pt>
                <c:pt idx="16">
                  <c:v>17.318737137350336</c:v>
                </c:pt>
                <c:pt idx="17">
                  <c:v>15.839390329011852</c:v>
                </c:pt>
                <c:pt idx="18">
                  <c:v>14.48173802821759</c:v>
                </c:pt>
                <c:pt idx="19">
                  <c:v>13.238806240693668</c:v>
                </c:pt>
                <c:pt idx="20">
                  <c:v>12.093067415822807</c:v>
                </c:pt>
                <c:pt idx="21">
                  <c:v>11.058307894745314</c:v>
                </c:pt>
                <c:pt idx="22">
                  <c:v>10.128149705474497</c:v>
                </c:pt>
                <c:pt idx="23">
                  <c:v>9.1930116605060821</c:v>
                </c:pt>
                <c:pt idx="24">
                  <c:v>8.4810881300045367</c:v>
                </c:pt>
                <c:pt idx="25">
                  <c:v>7.7062621040452317</c:v>
                </c:pt>
                <c:pt idx="26">
                  <c:v>7.0581459605671419</c:v>
                </c:pt>
                <c:pt idx="27">
                  <c:v>6.4749530325469067</c:v>
                </c:pt>
                <c:pt idx="28">
                  <c:v>5.9167256388841247</c:v>
                </c:pt>
                <c:pt idx="29">
                  <c:v>5.3910953680387221</c:v>
                </c:pt>
                <c:pt idx="30">
                  <c:v>4.9304754817637146</c:v>
                </c:pt>
                <c:pt idx="31">
                  <c:v>4.4954515359569509</c:v>
                </c:pt>
                <c:pt idx="32">
                  <c:v>4.1066436832020461</c:v>
                </c:pt>
                <c:pt idx="33">
                  <c:v>3.7685367177166995</c:v>
                </c:pt>
                <c:pt idx="34">
                  <c:v>3.6327939792887252</c:v>
                </c:pt>
                <c:pt idx="35">
                  <c:v>3.2321816153586389</c:v>
                </c:pt>
                <c:pt idx="36">
                  <c:v>2.939677883671032</c:v>
                </c:pt>
                <c:pt idx="37">
                  <c:v>2.6614569527624075</c:v>
                </c:pt>
                <c:pt idx="38">
                  <c:v>2.4614021083499895</c:v>
                </c:pt>
                <c:pt idx="39">
                  <c:v>2.2336092307539861</c:v>
                </c:pt>
                <c:pt idx="40">
                  <c:v>2.0422562090777263</c:v>
                </c:pt>
                <c:pt idx="41">
                  <c:v>1.8500530980843628</c:v>
                </c:pt>
                <c:pt idx="42">
                  <c:v>1.7028746352823496</c:v>
                </c:pt>
                <c:pt idx="43">
                  <c:v>1.5473923286450466</c:v>
                </c:pt>
                <c:pt idx="44">
                  <c:v>1.417092440397993</c:v>
                </c:pt>
                <c:pt idx="45">
                  <c:v>1.2914777881871202</c:v>
                </c:pt>
                <c:pt idx="46">
                  <c:v>1.1763774264416309</c:v>
                </c:pt>
                <c:pt idx="47">
                  <c:v>1.0777788398272399</c:v>
                </c:pt>
                <c:pt idx="48">
                  <c:v>0.98248756819049354</c:v>
                </c:pt>
                <c:pt idx="49">
                  <c:v>0.90122677149895425</c:v>
                </c:pt>
                <c:pt idx="50">
                  <c:v>0.82111871754702792</c:v>
                </c:pt>
                <c:pt idx="51">
                  <c:v>0.75262890632654189</c:v>
                </c:pt>
                <c:pt idx="52">
                  <c:v>0.68862801305308652</c:v>
                </c:pt>
                <c:pt idx="53">
                  <c:v>0.62643447522923568</c:v>
                </c:pt>
                <c:pt idx="54">
                  <c:v>0.57455580418345242</c:v>
                </c:pt>
                <c:pt idx="55">
                  <c:v>0.52506833303329836</c:v>
                </c:pt>
                <c:pt idx="56">
                  <c:v>0.47781873517519535</c:v>
                </c:pt>
                <c:pt idx="57">
                  <c:v>0.43575095874020076</c:v>
                </c:pt>
                <c:pt idx="58">
                  <c:v>0.40043754317377783</c:v>
                </c:pt>
                <c:pt idx="59">
                  <c:v>0.36490286080631823</c:v>
                </c:pt>
                <c:pt idx="60">
                  <c:v>0.33409472835411258</c:v>
                </c:pt>
                <c:pt idx="61">
                  <c:v>0.30510621189243531</c:v>
                </c:pt>
                <c:pt idx="62">
                  <c:v>0.278119905064174</c:v>
                </c:pt>
                <c:pt idx="63">
                  <c:v>0.25452948229526612</c:v>
                </c:pt>
                <c:pt idx="64">
                  <c:v>0.23282582528766754</c:v>
                </c:pt>
                <c:pt idx="65">
                  <c:v>0.21258041699024022</c:v>
                </c:pt>
                <c:pt idx="66">
                  <c:v>0.19425914232897556</c:v>
                </c:pt>
                <c:pt idx="67">
                  <c:v>0.17797723037374572</c:v>
                </c:pt>
                <c:pt idx="68">
                  <c:v>0.16262381153069153</c:v>
                </c:pt>
                <c:pt idx="69">
                  <c:v>0.14843981542971044</c:v>
                </c:pt>
                <c:pt idx="70">
                  <c:v>0.13569372569433946</c:v>
                </c:pt>
                <c:pt idx="71">
                  <c:v>0.12421998387531678</c:v>
                </c:pt>
                <c:pt idx="72">
                  <c:v>0.11358208488136051</c:v>
                </c:pt>
                <c:pt idx="73">
                  <c:v>0.10422162162715103</c:v>
                </c:pt>
                <c:pt idx="74">
                  <c:v>9.5079404618543889E-2</c:v>
                </c:pt>
                <c:pt idx="75">
                  <c:v>8.681162950177862E-2</c:v>
                </c:pt>
                <c:pt idx="76">
                  <c:v>7.9321275981677389E-2</c:v>
                </c:pt>
                <c:pt idx="77">
                  <c:v>7.2416390310473602E-2</c:v>
                </c:pt>
                <c:pt idx="78">
                  <c:v>6.6284430911365322E-2</c:v>
                </c:pt>
                <c:pt idx="79">
                  <c:v>6.040284363782563E-2</c:v>
                </c:pt>
                <c:pt idx="80">
                  <c:v>5.5234483537290185E-2</c:v>
                </c:pt>
                <c:pt idx="81">
                  <c:v>5.0599020446718178E-2</c:v>
                </c:pt>
                <c:pt idx="82">
                  <c:v>4.6125976855236082E-2</c:v>
                </c:pt>
                <c:pt idx="83">
                  <c:v>4.2208403052163272E-2</c:v>
                </c:pt>
                <c:pt idx="84">
                  <c:v>3.8634450094723369E-2</c:v>
                </c:pt>
                <c:pt idx="85">
                  <c:v>3.5244555393495601E-2</c:v>
                </c:pt>
                <c:pt idx="86">
                  <c:v>3.2236195070881116E-2</c:v>
                </c:pt>
                <c:pt idx="87">
                  <c:v>2.9451472548773613E-2</c:v>
                </c:pt>
                <c:pt idx="88">
                  <c:v>2.6938900631391909E-2</c:v>
                </c:pt>
                <c:pt idx="89">
                  <c:v>2.4631394710314166E-2</c:v>
                </c:pt>
                <c:pt idx="90">
                  <c:v>2.2548118854146482E-2</c:v>
                </c:pt>
                <c:pt idx="91">
                  <c:v>2.0586921891753759E-2</c:v>
                </c:pt>
                <c:pt idx="92">
                  <c:v>1.8818937450595676E-2</c:v>
                </c:pt>
                <c:pt idx="93">
                  <c:v>1.7187025441119996E-2</c:v>
                </c:pt>
                <c:pt idx="94">
                  <c:v>1.5724162818978385E-2</c:v>
                </c:pt>
                <c:pt idx="95">
                  <c:v>1.436368505419415E-2</c:v>
                </c:pt>
                <c:pt idx="96">
                  <c:v>1.3135901100743643E-2</c:v>
                </c:pt>
                <c:pt idx="97">
                  <c:v>1.2010448309012963E-2</c:v>
                </c:pt>
                <c:pt idx="98">
                  <c:v>1.0972387384832166E-2</c:v>
                </c:pt>
                <c:pt idx="99">
                  <c:v>1.0026049721753513E-2</c:v>
                </c:pt>
                <c:pt idx="100">
                  <c:v>9.1824299639242709E-3</c:v>
                </c:pt>
                <c:pt idx="101">
                  <c:v>8.4057286838215735E-3</c:v>
                </c:pt>
                <c:pt idx="102">
                  <c:v>7.6420704460997161E-3</c:v>
                </c:pt>
                <c:pt idx="103">
                  <c:v>7.0059485272336332E-3</c:v>
                </c:pt>
                <c:pt idx="104">
                  <c:v>6.3893001367636105E-3</c:v>
                </c:pt>
                <c:pt idx="105">
                  <c:v>5.8427742787410799E-3</c:v>
                </c:pt>
                <c:pt idx="106">
                  <c:v>5.3564874707049681E-3</c:v>
                </c:pt>
                <c:pt idx="107">
                  <c:v>4.8998129819863741E-3</c:v>
                </c:pt>
                <c:pt idx="108">
                  <c:v>4.4775072954290167E-3</c:v>
                </c:pt>
                <c:pt idx="109">
                  <c:v>4.0914780402849203E-3</c:v>
                </c:pt>
                <c:pt idx="110">
                  <c:v>3.7287902031375836E-3</c:v>
                </c:pt>
                <c:pt idx="111">
                  <c:v>3.4137316107303618E-3</c:v>
                </c:pt>
                <c:pt idx="112">
                  <c:v>3.1213217635917235E-3</c:v>
                </c:pt>
                <c:pt idx="113">
                  <c:v>2.8536779934586411E-3</c:v>
                </c:pt>
                <c:pt idx="114">
                  <c:v>2.6084440816862213E-3</c:v>
                </c:pt>
                <c:pt idx="115">
                  <c:v>2.3860549421579071E-3</c:v>
                </c:pt>
                <c:pt idx="116">
                  <c:v>2.1812173285005623E-3</c:v>
                </c:pt>
                <c:pt idx="117">
                  <c:v>1.9941339674820575E-3</c:v>
                </c:pt>
                <c:pt idx="118">
                  <c:v>1.8365729584993928E-3</c:v>
                </c:pt>
              </c:numCache>
            </c:numRef>
          </c:xVal>
          <c:yVal>
            <c:numRef>
              <c:f>Table!$J$18:$J$136</c:f>
              <c:numCache>
                <c:formatCode>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2.9165129455481376E-2</c:v>
                </c:pt>
                <c:pt idx="26">
                  <c:v>5.7728799456784982E-2</c:v>
                </c:pt>
                <c:pt idx="27">
                  <c:v>9.7215076133183559E-2</c:v>
                </c:pt>
                <c:pt idx="28">
                  <c:v>0.22505145444465224</c:v>
                </c:pt>
                <c:pt idx="29">
                  <c:v>0.27592742008504506</c:v>
                </c:pt>
                <c:pt idx="30">
                  <c:v>0.32569211467313658</c:v>
                </c:pt>
                <c:pt idx="31">
                  <c:v>0.54912597297217469</c:v>
                </c:pt>
                <c:pt idx="32">
                  <c:v>1.2038595033282298</c:v>
                </c:pt>
                <c:pt idx="33">
                  <c:v>1.1976698705443221</c:v>
                </c:pt>
                <c:pt idx="34">
                  <c:v>2.6770505063534986</c:v>
                </c:pt>
                <c:pt idx="35">
                  <c:v>0.76430962438916583</c:v>
                </c:pt>
                <c:pt idx="36">
                  <c:v>0.85295808167847442</c:v>
                </c:pt>
                <c:pt idx="37">
                  <c:v>0.74471980258091375</c:v>
                </c:pt>
                <c:pt idx="38">
                  <c:v>0.79800804900406541</c:v>
                </c:pt>
                <c:pt idx="39">
                  <c:v>0.515354037496496</c:v>
                </c:pt>
                <c:pt idx="40">
                  <c:v>0.45831548577241493</c:v>
                </c:pt>
                <c:pt idx="41">
                  <c:v>0.38499162253440261</c:v>
                </c:pt>
                <c:pt idx="42">
                  <c:v>0.40048262629793502</c:v>
                </c:pt>
                <c:pt idx="43">
                  <c:v>0.31148579378186497</c:v>
                </c:pt>
                <c:pt idx="44">
                  <c:v>0.30202596112549995</c:v>
                </c:pt>
                <c:pt idx="45">
                  <c:v>0.29462090282949449</c:v>
                </c:pt>
                <c:pt idx="46">
                  <c:v>0.25721810485637003</c:v>
                </c:pt>
                <c:pt idx="47">
                  <c:v>0.25450840879831949</c:v>
                </c:pt>
                <c:pt idx="48">
                  <c:v>0.25927286812911549</c:v>
                </c:pt>
                <c:pt idx="49">
                  <c:v>0.2350082875131283</c:v>
                </c:pt>
                <c:pt idx="50">
                  <c:v>0.19156478194555507</c:v>
                </c:pt>
                <c:pt idx="51">
                  <c:v>0.2287461645563143</c:v>
                </c:pt>
                <c:pt idx="52">
                  <c:v>0.23497059647828877</c:v>
                </c:pt>
                <c:pt idx="53">
                  <c:v>0.22066468516206128</c:v>
                </c:pt>
                <c:pt idx="54">
                  <c:v>0.22870515515105624</c:v>
                </c:pt>
                <c:pt idx="55">
                  <c:v>0.23054353229495048</c:v>
                </c:pt>
                <c:pt idx="56">
                  <c:v>0.23031074542062119</c:v>
                </c:pt>
                <c:pt idx="57">
                  <c:v>0.23592528110261135</c:v>
                </c:pt>
                <c:pt idx="58">
                  <c:v>0.23713704205118721</c:v>
                </c:pt>
                <c:pt idx="59">
                  <c:v>0.24030741002042236</c:v>
                </c:pt>
                <c:pt idx="60">
                  <c:v>0.25499920371517076</c:v>
                </c:pt>
                <c:pt idx="61">
                  <c:v>0.25836545814598405</c:v>
                </c:pt>
                <c:pt idx="62">
                  <c:v>0.26577478523615139</c:v>
                </c:pt>
                <c:pt idx="63">
                  <c:v>0.29564196062910258</c:v>
                </c:pt>
                <c:pt idx="64">
                  <c:v>0.29477848166685239</c:v>
                </c:pt>
                <c:pt idx="65">
                  <c:v>0.30724645409813012</c:v>
                </c:pt>
                <c:pt idx="66">
                  <c:v>0.33265233426229313</c:v>
                </c:pt>
                <c:pt idx="67">
                  <c:v>0.35105396786436543</c:v>
                </c:pt>
                <c:pt idx="68">
                  <c:v>0.3619507749860309</c:v>
                </c:pt>
                <c:pt idx="69">
                  <c:v>0.37817628002592063</c:v>
                </c:pt>
                <c:pt idx="70">
                  <c:v>0.38653360756458788</c:v>
                </c:pt>
                <c:pt idx="71">
                  <c:v>0.39353621608607281</c:v>
                </c:pt>
                <c:pt idx="72">
                  <c:v>0.39693195767960121</c:v>
                </c:pt>
                <c:pt idx="73">
                  <c:v>0.39134902709279534</c:v>
                </c:pt>
                <c:pt idx="74">
                  <c:v>0.3907937696327855</c:v>
                </c:pt>
                <c:pt idx="75">
                  <c:v>0.38268189560759119</c:v>
                </c:pt>
                <c:pt idx="76">
                  <c:v>0.37409763294089893</c:v>
                </c:pt>
                <c:pt idx="77">
                  <c:v>0.3513301716051031</c:v>
                </c:pt>
                <c:pt idx="78">
                  <c:v>0.33237919180139469</c:v>
                </c:pt>
                <c:pt idx="79">
                  <c:v>0.32175265793753616</c:v>
                </c:pt>
                <c:pt idx="80">
                  <c:v>0.29850622554757122</c:v>
                </c:pt>
                <c:pt idx="81">
                  <c:v>0.27904150463375582</c:v>
                </c:pt>
                <c:pt idx="82">
                  <c:v>0.26380955217816821</c:v>
                </c:pt>
                <c:pt idx="83">
                  <c:v>0.25124557379072604</c:v>
                </c:pt>
                <c:pt idx="84">
                  <c:v>0.24063763375064004</c:v>
                </c:pt>
                <c:pt idx="85">
                  <c:v>0.22520559810649513</c:v>
                </c:pt>
                <c:pt idx="86">
                  <c:v>0.21061879018961166</c:v>
                </c:pt>
                <c:pt idx="87">
                  <c:v>0.20200245109520298</c:v>
                </c:pt>
                <c:pt idx="88">
                  <c:v>0.18508451140732043</c:v>
                </c:pt>
                <c:pt idx="89">
                  <c:v>0.17085231605678636</c:v>
                </c:pt>
                <c:pt idx="90">
                  <c:v>0.16574808232835431</c:v>
                </c:pt>
                <c:pt idx="91">
                  <c:v>0.16253578349378883</c:v>
                </c:pt>
                <c:pt idx="92">
                  <c:v>0.14493004859010356</c:v>
                </c:pt>
                <c:pt idx="93">
                  <c:v>0.14721386648877599</c:v>
                </c:pt>
                <c:pt idx="94">
                  <c:v>0.13048899672766284</c:v>
                </c:pt>
                <c:pt idx="95">
                  <c:v>0.13216071807688021</c:v>
                </c:pt>
                <c:pt idx="96">
                  <c:v>0.1206802721194777</c:v>
                </c:pt>
                <c:pt idx="97">
                  <c:v>0.11552418449718219</c:v>
                </c:pt>
                <c:pt idx="98">
                  <c:v>0.11076477330841934</c:v>
                </c:pt>
                <c:pt idx="99">
                  <c:v>0.10093383899868032</c:v>
                </c:pt>
                <c:pt idx="100">
                  <c:v>9.5430036203906929E-2</c:v>
                </c:pt>
                <c:pt idx="101">
                  <c:v>8.6377978273866562E-2</c:v>
                </c:pt>
                <c:pt idx="102">
                  <c:v>7.9413541834035262E-2</c:v>
                </c:pt>
                <c:pt idx="103">
                  <c:v>7.6412570113096073E-2</c:v>
                </c:pt>
                <c:pt idx="104">
                  <c:v>6.3567191997892777E-2</c:v>
                </c:pt>
                <c:pt idx="105">
                  <c:v>5.5961489369026521E-2</c:v>
                </c:pt>
                <c:pt idx="106">
                  <c:v>4.7421575681967046E-2</c:v>
                </c:pt>
                <c:pt idx="107">
                  <c:v>0</c:v>
                </c:pt>
                <c:pt idx="108">
                  <c:v>2.8623845719214783E-2</c:v>
                </c:pt>
                <c:pt idx="109">
                  <c:v>1.8093431668686395E-2</c:v>
                </c:pt>
                <c:pt idx="110">
                  <c:v>2.0833869743563167E-2</c:v>
                </c:pt>
                <c:pt idx="111">
                  <c:v>8.8281886447174173E-3</c:v>
                </c:pt>
                <c:pt idx="112">
                  <c:v>1.6189729822447114E-2</c:v>
                </c:pt>
                <c:pt idx="113">
                  <c:v>6.5246064031117016E-3</c:v>
                </c:pt>
                <c:pt idx="114">
                  <c:v>3.8868465695966244E-3</c:v>
                </c:pt>
                <c:pt idx="115">
                  <c:v>3.2356116643185245E-2</c:v>
                </c:pt>
                <c:pt idx="116">
                  <c:v>0</c:v>
                </c:pt>
                <c:pt idx="117">
                  <c:v>0</c:v>
                </c:pt>
                <c:pt idx="118">
                  <c:v>2.9009644057097366E-2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98624"/>
        <c:axId val="105105280"/>
      </c:scatterChart>
      <c:valAx>
        <c:axId val="105098624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7010695397441207"/>
              <c:y val="0.94084587941074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05105280"/>
        <c:crosses val="autoZero"/>
        <c:crossBetween val="midCat"/>
      </c:valAx>
      <c:valAx>
        <c:axId val="1051052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 Sw / d LOG Pore Throat Rad.</a:t>
                </a:r>
              </a:p>
            </c:rich>
          </c:tx>
          <c:layout>
            <c:manualLayout>
              <c:xMode val="edge"/>
              <c:yMode val="edge"/>
              <c:x val="2.6667382486280127E-2"/>
              <c:y val="0.307192675084412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05098624"/>
        <c:crossesAt val="1.0000000000000041E-3"/>
        <c:crossBetween val="midCat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solidFill>
        <a:sysClr val="windowText" lastClr="000000"/>
      </a:solidFill>
    </a:ln>
  </c:spPr>
  <c:txPr>
    <a:bodyPr/>
    <a:lstStyle/>
    <a:p>
      <a:pPr>
        <a:defRPr sz="9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966" r="0.75000000000000966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Normalized Pore Size Distribution VS Normalized Permeability</a:t>
            </a:r>
          </a:p>
        </c:rich>
      </c:tx>
      <c:layout>
        <c:manualLayout>
          <c:xMode val="edge"/>
          <c:yMode val="edge"/>
          <c:x val="0.2255588553160959"/>
          <c:y val="4.42079021058823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384661626489"/>
          <c:y val="0.16126507112319541"/>
          <c:w val="0.81528794194843257"/>
          <c:h val="0.67664041994752322"/>
        </c:manualLayout>
      </c:layout>
      <c:scatterChart>
        <c:scatterStyle val="smoothMarker"/>
        <c:varyColors val="0"/>
        <c:ser>
          <c:idx val="0"/>
          <c:order val="0"/>
          <c:tx>
            <c:v>Normalized Pore Size Distribution</c:v>
          </c:tx>
          <c:spPr>
            <a:ln w="15875">
              <a:solidFill>
                <a:schemeClr val="dk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75000"/>
                </a:schemeClr>
              </a:solidFill>
              <a:ln>
                <a:solidFill>
                  <a:schemeClr val="dk2">
                    <a:lumMod val="75000"/>
                  </a:schemeClr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72.284370177585473</c:v>
                </c:pt>
                <c:pt idx="1">
                  <c:v>68.580200432950363</c:v>
                </c:pt>
                <c:pt idx="2">
                  <c:v>60.376478224838728</c:v>
                </c:pt>
                <c:pt idx="3">
                  <c:v>54.395271287447166</c:v>
                </c:pt>
                <c:pt idx="4">
                  <c:v>50.416263447428747</c:v>
                </c:pt>
                <c:pt idx="5">
                  <c:v>46.280455084596532</c:v>
                </c:pt>
                <c:pt idx="6">
                  <c:v>42.334990221918822</c:v>
                </c:pt>
                <c:pt idx="7">
                  <c:v>38.838406415803028</c:v>
                </c:pt>
                <c:pt idx="8">
                  <c:v>35.437405814876115</c:v>
                </c:pt>
                <c:pt idx="9">
                  <c:v>32.313033981819942</c:v>
                </c:pt>
                <c:pt idx="10">
                  <c:v>29.623576237305777</c:v>
                </c:pt>
                <c:pt idx="11">
                  <c:v>27.054348233018054</c:v>
                </c:pt>
                <c:pt idx="12">
                  <c:v>24.733515300050168</c:v>
                </c:pt>
                <c:pt idx="13">
                  <c:v>22.656061661735986</c:v>
                </c:pt>
                <c:pt idx="14">
                  <c:v>20.759412132129498</c:v>
                </c:pt>
                <c:pt idx="15">
                  <c:v>18.931884896996159</c:v>
                </c:pt>
                <c:pt idx="16">
                  <c:v>17.318737137350336</c:v>
                </c:pt>
                <c:pt idx="17">
                  <c:v>15.839390329011852</c:v>
                </c:pt>
                <c:pt idx="18">
                  <c:v>14.48173802821759</c:v>
                </c:pt>
                <c:pt idx="19">
                  <c:v>13.238806240693668</c:v>
                </c:pt>
                <c:pt idx="20">
                  <c:v>12.093067415822807</c:v>
                </c:pt>
                <c:pt idx="21">
                  <c:v>11.058307894745314</c:v>
                </c:pt>
                <c:pt idx="22">
                  <c:v>10.128149705474497</c:v>
                </c:pt>
                <c:pt idx="23">
                  <c:v>9.1930116605060821</c:v>
                </c:pt>
                <c:pt idx="24">
                  <c:v>8.4810881300045367</c:v>
                </c:pt>
                <c:pt idx="25">
                  <c:v>7.7062621040452317</c:v>
                </c:pt>
                <c:pt idx="26">
                  <c:v>7.0581459605671419</c:v>
                </c:pt>
                <c:pt idx="27">
                  <c:v>6.4749530325469067</c:v>
                </c:pt>
                <c:pt idx="28">
                  <c:v>5.9167256388841247</c:v>
                </c:pt>
                <c:pt idx="29">
                  <c:v>5.3910953680387221</c:v>
                </c:pt>
                <c:pt idx="30">
                  <c:v>4.9304754817637146</c:v>
                </c:pt>
                <c:pt idx="31">
                  <c:v>4.4954515359569509</c:v>
                </c:pt>
                <c:pt idx="32">
                  <c:v>4.1066436832020461</c:v>
                </c:pt>
                <c:pt idx="33">
                  <c:v>3.7685367177166995</c:v>
                </c:pt>
                <c:pt idx="34">
                  <c:v>3.6327939792887252</c:v>
                </c:pt>
                <c:pt idx="35">
                  <c:v>3.2321816153586389</c:v>
                </c:pt>
                <c:pt idx="36">
                  <c:v>2.939677883671032</c:v>
                </c:pt>
                <c:pt idx="37">
                  <c:v>2.6614569527624075</c:v>
                </c:pt>
                <c:pt idx="38">
                  <c:v>2.4614021083499895</c:v>
                </c:pt>
                <c:pt idx="39">
                  <c:v>2.2336092307539861</c:v>
                </c:pt>
                <c:pt idx="40">
                  <c:v>2.0422562090777263</c:v>
                </c:pt>
                <c:pt idx="41">
                  <c:v>1.8500530980843628</c:v>
                </c:pt>
                <c:pt idx="42">
                  <c:v>1.7028746352823496</c:v>
                </c:pt>
                <c:pt idx="43">
                  <c:v>1.5473923286450466</c:v>
                </c:pt>
                <c:pt idx="44">
                  <c:v>1.417092440397993</c:v>
                </c:pt>
                <c:pt idx="45">
                  <c:v>1.2914777881871202</c:v>
                </c:pt>
                <c:pt idx="46">
                  <c:v>1.1763774264416309</c:v>
                </c:pt>
                <c:pt idx="47">
                  <c:v>1.0777788398272399</c:v>
                </c:pt>
                <c:pt idx="48">
                  <c:v>0.98248756819049354</c:v>
                </c:pt>
                <c:pt idx="49">
                  <c:v>0.90122677149895425</c:v>
                </c:pt>
                <c:pt idx="50">
                  <c:v>0.82111871754702792</c:v>
                </c:pt>
                <c:pt idx="51">
                  <c:v>0.75262890632654189</c:v>
                </c:pt>
                <c:pt idx="52">
                  <c:v>0.68862801305308652</c:v>
                </c:pt>
                <c:pt idx="53">
                  <c:v>0.62643447522923568</c:v>
                </c:pt>
                <c:pt idx="54">
                  <c:v>0.57455580418345242</c:v>
                </c:pt>
                <c:pt idx="55">
                  <c:v>0.52506833303329836</c:v>
                </c:pt>
                <c:pt idx="56">
                  <c:v>0.47781873517519535</c:v>
                </c:pt>
                <c:pt idx="57">
                  <c:v>0.43575095874020076</c:v>
                </c:pt>
                <c:pt idx="58">
                  <c:v>0.40043754317377783</c:v>
                </c:pt>
                <c:pt idx="59">
                  <c:v>0.36490286080631823</c:v>
                </c:pt>
                <c:pt idx="60">
                  <c:v>0.33409472835411258</c:v>
                </c:pt>
                <c:pt idx="61">
                  <c:v>0.30510621189243531</c:v>
                </c:pt>
                <c:pt idx="62">
                  <c:v>0.278119905064174</c:v>
                </c:pt>
                <c:pt idx="63">
                  <c:v>0.25452948229526612</c:v>
                </c:pt>
                <c:pt idx="64">
                  <c:v>0.23282582528766754</c:v>
                </c:pt>
                <c:pt idx="65">
                  <c:v>0.21258041699024022</c:v>
                </c:pt>
                <c:pt idx="66">
                  <c:v>0.19425914232897556</c:v>
                </c:pt>
                <c:pt idx="67">
                  <c:v>0.17797723037374572</c:v>
                </c:pt>
                <c:pt idx="68">
                  <c:v>0.16262381153069153</c:v>
                </c:pt>
                <c:pt idx="69">
                  <c:v>0.14843981542971044</c:v>
                </c:pt>
                <c:pt idx="70">
                  <c:v>0.13569372569433946</c:v>
                </c:pt>
                <c:pt idx="71">
                  <c:v>0.12421998387531678</c:v>
                </c:pt>
                <c:pt idx="72">
                  <c:v>0.11358208488136051</c:v>
                </c:pt>
                <c:pt idx="73">
                  <c:v>0.10422162162715103</c:v>
                </c:pt>
                <c:pt idx="74">
                  <c:v>9.5079404618543889E-2</c:v>
                </c:pt>
                <c:pt idx="75">
                  <c:v>8.681162950177862E-2</c:v>
                </c:pt>
                <c:pt idx="76">
                  <c:v>7.9321275981677389E-2</c:v>
                </c:pt>
                <c:pt idx="77">
                  <c:v>7.2416390310473602E-2</c:v>
                </c:pt>
                <c:pt idx="78">
                  <c:v>6.6284430911365322E-2</c:v>
                </c:pt>
                <c:pt idx="79">
                  <c:v>6.040284363782563E-2</c:v>
                </c:pt>
                <c:pt idx="80">
                  <c:v>5.5234483537290185E-2</c:v>
                </c:pt>
                <c:pt idx="81">
                  <c:v>5.0599020446718178E-2</c:v>
                </c:pt>
                <c:pt idx="82">
                  <c:v>4.6125976855236082E-2</c:v>
                </c:pt>
                <c:pt idx="83">
                  <c:v>4.2208403052163272E-2</c:v>
                </c:pt>
                <c:pt idx="84">
                  <c:v>3.8634450094723369E-2</c:v>
                </c:pt>
                <c:pt idx="85">
                  <c:v>3.5244555393495601E-2</c:v>
                </c:pt>
                <c:pt idx="86">
                  <c:v>3.2236195070881116E-2</c:v>
                </c:pt>
                <c:pt idx="87">
                  <c:v>2.9451472548773613E-2</c:v>
                </c:pt>
                <c:pt idx="88">
                  <c:v>2.6938900631391909E-2</c:v>
                </c:pt>
                <c:pt idx="89">
                  <c:v>2.4631394710314166E-2</c:v>
                </c:pt>
                <c:pt idx="90">
                  <c:v>2.2548118854146482E-2</c:v>
                </c:pt>
                <c:pt idx="91">
                  <c:v>2.0586921891753759E-2</c:v>
                </c:pt>
                <c:pt idx="92">
                  <c:v>1.8818937450595676E-2</c:v>
                </c:pt>
                <c:pt idx="93">
                  <c:v>1.7187025441119996E-2</c:v>
                </c:pt>
                <c:pt idx="94">
                  <c:v>1.5724162818978385E-2</c:v>
                </c:pt>
                <c:pt idx="95">
                  <c:v>1.436368505419415E-2</c:v>
                </c:pt>
                <c:pt idx="96">
                  <c:v>1.3135901100743643E-2</c:v>
                </c:pt>
                <c:pt idx="97">
                  <c:v>1.2010448309012963E-2</c:v>
                </c:pt>
                <c:pt idx="98">
                  <c:v>1.0972387384832166E-2</c:v>
                </c:pt>
                <c:pt idx="99">
                  <c:v>1.0026049721753513E-2</c:v>
                </c:pt>
                <c:pt idx="100">
                  <c:v>9.1824299639242709E-3</c:v>
                </c:pt>
                <c:pt idx="101">
                  <c:v>8.4057286838215735E-3</c:v>
                </c:pt>
                <c:pt idx="102">
                  <c:v>7.6420704460997161E-3</c:v>
                </c:pt>
                <c:pt idx="103">
                  <c:v>7.0059485272336332E-3</c:v>
                </c:pt>
                <c:pt idx="104">
                  <c:v>6.3893001367636105E-3</c:v>
                </c:pt>
                <c:pt idx="105">
                  <c:v>5.8427742787410799E-3</c:v>
                </c:pt>
                <c:pt idx="106">
                  <c:v>5.3564874707049681E-3</c:v>
                </c:pt>
                <c:pt idx="107">
                  <c:v>4.8998129819863741E-3</c:v>
                </c:pt>
                <c:pt idx="108">
                  <c:v>4.4775072954290167E-3</c:v>
                </c:pt>
                <c:pt idx="109">
                  <c:v>4.0914780402849203E-3</c:v>
                </c:pt>
                <c:pt idx="110">
                  <c:v>3.7287902031375836E-3</c:v>
                </c:pt>
                <c:pt idx="111">
                  <c:v>3.4137316107303618E-3</c:v>
                </c:pt>
                <c:pt idx="112">
                  <c:v>3.1213217635917235E-3</c:v>
                </c:pt>
                <c:pt idx="113">
                  <c:v>2.8536779934586411E-3</c:v>
                </c:pt>
                <c:pt idx="114">
                  <c:v>2.6084440816862213E-3</c:v>
                </c:pt>
                <c:pt idx="115">
                  <c:v>2.3860549421579071E-3</c:v>
                </c:pt>
                <c:pt idx="116">
                  <c:v>2.1812173285005623E-3</c:v>
                </c:pt>
                <c:pt idx="117">
                  <c:v>1.9941339674820575E-3</c:v>
                </c:pt>
                <c:pt idx="118">
                  <c:v>1.8365729584993928E-3</c:v>
                </c:pt>
              </c:numCache>
            </c:numRef>
          </c:xVal>
          <c:yVal>
            <c:numRef>
              <c:f>Table!$S$18:$S$136</c:f>
              <c:numCache>
                <c:formatCode>????0.000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2.5657938254155029E-2</c:v>
                </c:pt>
                <c:pt idx="26">
                  <c:v>4.6569965395032768E-2</c:v>
                </c:pt>
                <c:pt idx="27">
                  <c:v>7.6986587093809428E-2</c:v>
                </c:pt>
                <c:pt idx="28">
                  <c:v>0.18631776515969112</c:v>
                </c:pt>
                <c:pt idx="29">
                  <c:v>0.23572562508268297</c:v>
                </c:pt>
                <c:pt idx="30">
                  <c:v>0.26710996302769102</c:v>
                </c:pt>
                <c:pt idx="31">
                  <c:v>0.46576527805822282</c:v>
                </c:pt>
                <c:pt idx="32">
                  <c:v>1</c:v>
                </c:pt>
                <c:pt idx="33">
                  <c:v>0.94492031109656682</c:v>
                </c:pt>
                <c:pt idx="34">
                  <c:v>0.90179840608267547</c:v>
                </c:pt>
                <c:pt idx="35">
                  <c:v>0.82006031123582146</c:v>
                </c:pt>
                <c:pt idx="36">
                  <c:v>0.74296087385549392</c:v>
                </c:pt>
                <c:pt idx="37">
                  <c:v>0.67992598575417285</c:v>
                </c:pt>
                <c:pt idx="38">
                  <c:v>0.57261438090529937</c:v>
                </c:pt>
                <c:pt idx="39">
                  <c:v>0.45956580165853206</c:v>
                </c:pt>
                <c:pt idx="40">
                  <c:v>0.376932342763245</c:v>
                </c:pt>
                <c:pt idx="41">
                  <c:v>0.34942591960785724</c:v>
                </c:pt>
                <c:pt idx="42">
                  <c:v>0.3048509619066837</c:v>
                </c:pt>
                <c:pt idx="43">
                  <c:v>0.27386036860904833</c:v>
                </c:pt>
                <c:pt idx="44">
                  <c:v>0.24395875255011401</c:v>
                </c:pt>
                <c:pt idx="45">
                  <c:v>0.25111508762646267</c:v>
                </c:pt>
                <c:pt idx="46">
                  <c:v>0.22048098815632614</c:v>
                </c:pt>
                <c:pt idx="47">
                  <c:v>0.20458011015102298</c:v>
                </c:pt>
                <c:pt idx="48">
                  <c:v>0.22039116842244602</c:v>
                </c:pt>
                <c:pt idx="49">
                  <c:v>0.18630144616734165</c:v>
                </c:pt>
                <c:pt idx="50">
                  <c:v>0.16375042646966764</c:v>
                </c:pt>
                <c:pt idx="51">
                  <c:v>0.18294330216333357</c:v>
                </c:pt>
                <c:pt idx="52">
                  <c:v>0.19175259885392723</c:v>
                </c:pt>
                <c:pt idx="53">
                  <c:v>0.19180203452141426</c:v>
                </c:pt>
                <c:pt idx="54">
                  <c:v>0.18154865931862224</c:v>
                </c:pt>
                <c:pt idx="55">
                  <c:v>0.19067545832433949</c:v>
                </c:pt>
                <c:pt idx="56">
                  <c:v>0.19942487519234836</c:v>
                </c:pt>
                <c:pt idx="57">
                  <c:v>0.19965812798963992</c:v>
                </c:pt>
                <c:pt idx="58">
                  <c:v>0.18403088684802138</c:v>
                </c:pt>
                <c:pt idx="59">
                  <c:v>0.20505705990071088</c:v>
                </c:pt>
                <c:pt idx="60">
                  <c:v>0.20654152247930233</c:v>
                </c:pt>
                <c:pt idx="61">
                  <c:v>0.21533689362976524</c:v>
                </c:pt>
                <c:pt idx="62">
                  <c:v>0.22601012386767735</c:v>
                </c:pt>
                <c:pt idx="63">
                  <c:v>0.24062567451835157</c:v>
                </c:pt>
                <c:pt idx="64">
                  <c:v>0.24125023499348811</c:v>
                </c:pt>
                <c:pt idx="65">
                  <c:v>0.25665745260094508</c:v>
                </c:pt>
                <c:pt idx="66">
                  <c:v>0.27530514339824858</c:v>
                </c:pt>
                <c:pt idx="67">
                  <c:v>0.28218575277988461</c:v>
                </c:pt>
                <c:pt idx="68">
                  <c:v>0.2998475153355043</c:v>
                </c:pt>
                <c:pt idx="69">
                  <c:v>0.3169146573272687</c:v>
                </c:pt>
                <c:pt idx="70">
                  <c:v>0.31866231261445171</c:v>
                </c:pt>
                <c:pt idx="71">
                  <c:v>0.31925693317829529</c:v>
                </c:pt>
                <c:pt idx="72">
                  <c:v>0.32631996713572498</c:v>
                </c:pt>
                <c:pt idx="73">
                  <c:v>0.30907318567619096</c:v>
                </c:pt>
                <c:pt idx="74">
                  <c:v>0.32945182111250981</c:v>
                </c:pt>
                <c:pt idx="75">
                  <c:v>0.31967748449042899</c:v>
                </c:pt>
                <c:pt idx="76">
                  <c:v>0.30997277556903352</c:v>
                </c:pt>
                <c:pt idx="77">
                  <c:v>0.29381636390221488</c:v>
                </c:pt>
                <c:pt idx="78">
                  <c:v>0.27004407433453276</c:v>
                </c:pt>
                <c:pt idx="79">
                  <c:v>0.27453227592065332</c:v>
                </c:pt>
                <c:pt idx="80">
                  <c:v>0.24518559263617487</c:v>
                </c:pt>
                <c:pt idx="81">
                  <c:v>0.22460225175983953</c:v>
                </c:pt>
                <c:pt idx="82">
                  <c:v>0.22421372919002094</c:v>
                </c:pt>
                <c:pt idx="83">
                  <c:v>0.20477089005089696</c:v>
                </c:pt>
                <c:pt idx="84">
                  <c:v>0.19550205053578501</c:v>
                </c:pt>
                <c:pt idx="85">
                  <c:v>0.1899095536168125</c:v>
                </c:pt>
                <c:pt idx="86">
                  <c:v>0.17255693805223374</c:v>
                </c:pt>
                <c:pt idx="87">
                  <c:v>0.1675841276693516</c:v>
                </c:pt>
                <c:pt idx="88">
                  <c:v>0.15155443841778257</c:v>
                </c:pt>
                <c:pt idx="89">
                  <c:v>0.14049198933303589</c:v>
                </c:pt>
                <c:pt idx="90">
                  <c:v>0.13449982941213456</c:v>
                </c:pt>
                <c:pt idx="91">
                  <c:v>0.13581161529302702</c:v>
                </c:pt>
                <c:pt idx="92">
                  <c:v>0.11949923757667706</c:v>
                </c:pt>
                <c:pt idx="93">
                  <c:v>0.12262134367536957</c:v>
                </c:pt>
                <c:pt idx="94">
                  <c:v>0.10659026186978031</c:v>
                </c:pt>
                <c:pt idx="95">
                  <c:v>0.10982377228956797</c:v>
                </c:pt>
                <c:pt idx="96">
                  <c:v>9.9018945697353034E-2</c:v>
                </c:pt>
                <c:pt idx="97">
                  <c:v>9.5019530570045418E-2</c:v>
                </c:pt>
                <c:pt idx="98">
                  <c:v>9.1941986199786732E-2</c:v>
                </c:pt>
                <c:pt idx="99">
                  <c:v>8.3596409995755655E-2</c:v>
                </c:pt>
                <c:pt idx="100">
                  <c:v>7.7022162497124791E-2</c:v>
                </c:pt>
                <c:pt idx="101">
                  <c:v>7.0099776495083657E-2</c:v>
                </c:pt>
                <c:pt idx="102">
                  <c:v>6.9455023986744122E-2</c:v>
                </c:pt>
                <c:pt idx="103">
                  <c:v>6.0981332813443201E-2</c:v>
                </c:pt>
                <c:pt idx="104">
                  <c:v>5.3780436008660705E-2</c:v>
                </c:pt>
                <c:pt idx="105">
                  <c:v>4.5950104789693164E-2</c:v>
                </c:pt>
                <c:pt idx="106">
                  <c:v>3.7839870213961679E-2</c:v>
                </c:pt>
                <c:pt idx="107">
                  <c:v>0</c:v>
                </c:pt>
                <c:pt idx="108">
                  <c:v>2.3690128880878049E-2</c:v>
                </c:pt>
                <c:pt idx="109">
                  <c:v>1.4979703525250253E-2</c:v>
                </c:pt>
                <c:pt idx="110">
                  <c:v>1.775784878255799E-2</c:v>
                </c:pt>
                <c:pt idx="111">
                  <c:v>7.1563350763463162E-3</c:v>
                </c:pt>
                <c:pt idx="112">
                  <c:v>1.3312816370865144E-2</c:v>
                </c:pt>
                <c:pt idx="113">
                  <c:v>5.3710808308001191E-3</c:v>
                </c:pt>
                <c:pt idx="114">
                  <c:v>3.207051893525297E-3</c:v>
                </c:pt>
                <c:pt idx="115">
                  <c:v>2.6476629462264929E-2</c:v>
                </c:pt>
                <c:pt idx="116">
                  <c:v>0</c:v>
                </c:pt>
                <c:pt idx="117">
                  <c:v>0</c:v>
                </c:pt>
                <c:pt idx="118">
                  <c:v>2.1925762945527359E-2</c:v>
                </c:pt>
              </c:numCache>
            </c:numRef>
          </c:yVal>
          <c:smooth val="1"/>
        </c:ser>
        <c:ser>
          <c:idx val="1"/>
          <c:order val="1"/>
          <c:tx>
            <c:v>Normalized Permeability</c:v>
          </c:tx>
          <c:marker>
            <c:symbol val="circle"/>
            <c:size val="5"/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72.284370177585473</c:v>
                </c:pt>
                <c:pt idx="1">
                  <c:v>68.580200432950363</c:v>
                </c:pt>
                <c:pt idx="2">
                  <c:v>60.376478224838728</c:v>
                </c:pt>
                <c:pt idx="3">
                  <c:v>54.395271287447166</c:v>
                </c:pt>
                <c:pt idx="4">
                  <c:v>50.416263447428747</c:v>
                </c:pt>
                <c:pt idx="5">
                  <c:v>46.280455084596532</c:v>
                </c:pt>
                <c:pt idx="6">
                  <c:v>42.334990221918822</c:v>
                </c:pt>
                <c:pt idx="7">
                  <c:v>38.838406415803028</c:v>
                </c:pt>
                <c:pt idx="8">
                  <c:v>35.437405814876115</c:v>
                </c:pt>
                <c:pt idx="9">
                  <c:v>32.313033981819942</c:v>
                </c:pt>
                <c:pt idx="10">
                  <c:v>29.623576237305777</c:v>
                </c:pt>
                <c:pt idx="11">
                  <c:v>27.054348233018054</c:v>
                </c:pt>
                <c:pt idx="12">
                  <c:v>24.733515300050168</c:v>
                </c:pt>
                <c:pt idx="13">
                  <c:v>22.656061661735986</c:v>
                </c:pt>
                <c:pt idx="14">
                  <c:v>20.759412132129498</c:v>
                </c:pt>
                <c:pt idx="15">
                  <c:v>18.931884896996159</c:v>
                </c:pt>
                <c:pt idx="16">
                  <c:v>17.318737137350336</c:v>
                </c:pt>
                <c:pt idx="17">
                  <c:v>15.839390329011852</c:v>
                </c:pt>
                <c:pt idx="18">
                  <c:v>14.48173802821759</c:v>
                </c:pt>
                <c:pt idx="19">
                  <c:v>13.238806240693668</c:v>
                </c:pt>
                <c:pt idx="20">
                  <c:v>12.093067415822807</c:v>
                </c:pt>
                <c:pt idx="21">
                  <c:v>11.058307894745314</c:v>
                </c:pt>
                <c:pt idx="22">
                  <c:v>10.128149705474497</c:v>
                </c:pt>
                <c:pt idx="23">
                  <c:v>9.1930116605060821</c:v>
                </c:pt>
                <c:pt idx="24">
                  <c:v>8.4810881300045367</c:v>
                </c:pt>
                <c:pt idx="25">
                  <c:v>7.7062621040452317</c:v>
                </c:pt>
                <c:pt idx="26">
                  <c:v>7.0581459605671419</c:v>
                </c:pt>
                <c:pt idx="27">
                  <c:v>6.4749530325469067</c:v>
                </c:pt>
                <c:pt idx="28">
                  <c:v>5.9167256388841247</c:v>
                </c:pt>
                <c:pt idx="29">
                  <c:v>5.3910953680387221</c:v>
                </c:pt>
                <c:pt idx="30">
                  <c:v>4.9304754817637146</c:v>
                </c:pt>
                <c:pt idx="31">
                  <c:v>4.4954515359569509</c:v>
                </c:pt>
                <c:pt idx="32">
                  <c:v>4.1066436832020461</c:v>
                </c:pt>
                <c:pt idx="33">
                  <c:v>3.7685367177166995</c:v>
                </c:pt>
                <c:pt idx="34">
                  <c:v>3.6327939792887252</c:v>
                </c:pt>
                <c:pt idx="35">
                  <c:v>3.2321816153586389</c:v>
                </c:pt>
                <c:pt idx="36">
                  <c:v>2.939677883671032</c:v>
                </c:pt>
                <c:pt idx="37">
                  <c:v>2.6614569527624075</c:v>
                </c:pt>
                <c:pt idx="38">
                  <c:v>2.4614021083499895</c:v>
                </c:pt>
                <c:pt idx="39">
                  <c:v>2.2336092307539861</c:v>
                </c:pt>
                <c:pt idx="40">
                  <c:v>2.0422562090777263</c:v>
                </c:pt>
                <c:pt idx="41">
                  <c:v>1.8500530980843628</c:v>
                </c:pt>
                <c:pt idx="42">
                  <c:v>1.7028746352823496</c:v>
                </c:pt>
                <c:pt idx="43">
                  <c:v>1.5473923286450466</c:v>
                </c:pt>
                <c:pt idx="44">
                  <c:v>1.417092440397993</c:v>
                </c:pt>
                <c:pt idx="45">
                  <c:v>1.2914777881871202</c:v>
                </c:pt>
                <c:pt idx="46">
                  <c:v>1.1763774264416309</c:v>
                </c:pt>
                <c:pt idx="47">
                  <c:v>1.0777788398272399</c:v>
                </c:pt>
                <c:pt idx="48">
                  <c:v>0.98248756819049354</c:v>
                </c:pt>
                <c:pt idx="49">
                  <c:v>0.90122677149895425</c:v>
                </c:pt>
                <c:pt idx="50">
                  <c:v>0.82111871754702792</c:v>
                </c:pt>
                <c:pt idx="51">
                  <c:v>0.75262890632654189</c:v>
                </c:pt>
                <c:pt idx="52">
                  <c:v>0.68862801305308652</c:v>
                </c:pt>
                <c:pt idx="53">
                  <c:v>0.62643447522923568</c:v>
                </c:pt>
                <c:pt idx="54">
                  <c:v>0.57455580418345242</c:v>
                </c:pt>
                <c:pt idx="55">
                  <c:v>0.52506833303329836</c:v>
                </c:pt>
                <c:pt idx="56">
                  <c:v>0.47781873517519535</c:v>
                </c:pt>
                <c:pt idx="57">
                  <c:v>0.43575095874020076</c:v>
                </c:pt>
                <c:pt idx="58">
                  <c:v>0.40043754317377783</c:v>
                </c:pt>
                <c:pt idx="59">
                  <c:v>0.36490286080631823</c:v>
                </c:pt>
                <c:pt idx="60">
                  <c:v>0.33409472835411258</c:v>
                </c:pt>
                <c:pt idx="61">
                  <c:v>0.30510621189243531</c:v>
                </c:pt>
                <c:pt idx="62">
                  <c:v>0.278119905064174</c:v>
                </c:pt>
                <c:pt idx="63">
                  <c:v>0.25452948229526612</c:v>
                </c:pt>
                <c:pt idx="64">
                  <c:v>0.23282582528766754</c:v>
                </c:pt>
                <c:pt idx="65">
                  <c:v>0.21258041699024022</c:v>
                </c:pt>
                <c:pt idx="66">
                  <c:v>0.19425914232897556</c:v>
                </c:pt>
                <c:pt idx="67">
                  <c:v>0.17797723037374572</c:v>
                </c:pt>
                <c:pt idx="68">
                  <c:v>0.16262381153069153</c:v>
                </c:pt>
                <c:pt idx="69">
                  <c:v>0.14843981542971044</c:v>
                </c:pt>
                <c:pt idx="70">
                  <c:v>0.13569372569433946</c:v>
                </c:pt>
                <c:pt idx="71">
                  <c:v>0.12421998387531678</c:v>
                </c:pt>
                <c:pt idx="72">
                  <c:v>0.11358208488136051</c:v>
                </c:pt>
                <c:pt idx="73">
                  <c:v>0.10422162162715103</c:v>
                </c:pt>
                <c:pt idx="74">
                  <c:v>9.5079404618543889E-2</c:v>
                </c:pt>
                <c:pt idx="75">
                  <c:v>8.681162950177862E-2</c:v>
                </c:pt>
                <c:pt idx="76">
                  <c:v>7.9321275981677389E-2</c:v>
                </c:pt>
                <c:pt idx="77">
                  <c:v>7.2416390310473602E-2</c:v>
                </c:pt>
                <c:pt idx="78">
                  <c:v>6.6284430911365322E-2</c:v>
                </c:pt>
                <c:pt idx="79">
                  <c:v>6.040284363782563E-2</c:v>
                </c:pt>
                <c:pt idx="80">
                  <c:v>5.5234483537290185E-2</c:v>
                </c:pt>
                <c:pt idx="81">
                  <c:v>5.0599020446718178E-2</c:v>
                </c:pt>
                <c:pt idx="82">
                  <c:v>4.6125976855236082E-2</c:v>
                </c:pt>
                <c:pt idx="83">
                  <c:v>4.2208403052163272E-2</c:v>
                </c:pt>
                <c:pt idx="84">
                  <c:v>3.8634450094723369E-2</c:v>
                </c:pt>
                <c:pt idx="85">
                  <c:v>3.5244555393495601E-2</c:v>
                </c:pt>
                <c:pt idx="86">
                  <c:v>3.2236195070881116E-2</c:v>
                </c:pt>
                <c:pt idx="87">
                  <c:v>2.9451472548773613E-2</c:v>
                </c:pt>
                <c:pt idx="88">
                  <c:v>2.6938900631391909E-2</c:v>
                </c:pt>
                <c:pt idx="89">
                  <c:v>2.4631394710314166E-2</c:v>
                </c:pt>
                <c:pt idx="90">
                  <c:v>2.2548118854146482E-2</c:v>
                </c:pt>
                <c:pt idx="91">
                  <c:v>2.0586921891753759E-2</c:v>
                </c:pt>
                <c:pt idx="92">
                  <c:v>1.8818937450595676E-2</c:v>
                </c:pt>
                <c:pt idx="93">
                  <c:v>1.7187025441119996E-2</c:v>
                </c:pt>
                <c:pt idx="94">
                  <c:v>1.5724162818978385E-2</c:v>
                </c:pt>
                <c:pt idx="95">
                  <c:v>1.436368505419415E-2</c:v>
                </c:pt>
                <c:pt idx="96">
                  <c:v>1.3135901100743643E-2</c:v>
                </c:pt>
                <c:pt idx="97">
                  <c:v>1.2010448309012963E-2</c:v>
                </c:pt>
                <c:pt idx="98">
                  <c:v>1.0972387384832166E-2</c:v>
                </c:pt>
                <c:pt idx="99">
                  <c:v>1.0026049721753513E-2</c:v>
                </c:pt>
                <c:pt idx="100">
                  <c:v>9.1824299639242709E-3</c:v>
                </c:pt>
                <c:pt idx="101">
                  <c:v>8.4057286838215735E-3</c:v>
                </c:pt>
                <c:pt idx="102">
                  <c:v>7.6420704460997161E-3</c:v>
                </c:pt>
                <c:pt idx="103">
                  <c:v>7.0059485272336332E-3</c:v>
                </c:pt>
                <c:pt idx="104">
                  <c:v>6.3893001367636105E-3</c:v>
                </c:pt>
                <c:pt idx="105">
                  <c:v>5.8427742787410799E-3</c:v>
                </c:pt>
                <c:pt idx="106">
                  <c:v>5.3564874707049681E-3</c:v>
                </c:pt>
                <c:pt idx="107">
                  <c:v>4.8998129819863741E-3</c:v>
                </c:pt>
                <c:pt idx="108">
                  <c:v>4.4775072954290167E-3</c:v>
                </c:pt>
                <c:pt idx="109">
                  <c:v>4.0914780402849203E-3</c:v>
                </c:pt>
                <c:pt idx="110">
                  <c:v>3.7287902031375836E-3</c:v>
                </c:pt>
                <c:pt idx="111">
                  <c:v>3.4137316107303618E-3</c:v>
                </c:pt>
                <c:pt idx="112">
                  <c:v>3.1213217635917235E-3</c:v>
                </c:pt>
                <c:pt idx="113">
                  <c:v>2.8536779934586411E-3</c:v>
                </c:pt>
                <c:pt idx="114">
                  <c:v>2.6084440816862213E-3</c:v>
                </c:pt>
                <c:pt idx="115">
                  <c:v>2.3860549421579071E-3</c:v>
                </c:pt>
                <c:pt idx="116">
                  <c:v>2.1812173285005623E-3</c:v>
                </c:pt>
                <c:pt idx="117">
                  <c:v>1.9941339674820575E-3</c:v>
                </c:pt>
                <c:pt idx="118">
                  <c:v>1.8365729584993928E-3</c:v>
                </c:pt>
              </c:numCache>
            </c:numRef>
          </c:xVal>
          <c:yVal>
            <c:numRef>
              <c:f>Table!$T$18:$T$136</c:f>
              <c:numCache>
                <c:formatCode>????0.000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0.98627595127055445</c:v>
                </c:pt>
                <c:pt idx="26">
                  <c:v>0.96538009707520389</c:v>
                </c:pt>
                <c:pt idx="27">
                  <c:v>0.93630901107421727</c:v>
                </c:pt>
                <c:pt idx="28">
                  <c:v>0.87756141873847948</c:v>
                </c:pt>
                <c:pt idx="29">
                  <c:v>0.815854513110845</c:v>
                </c:pt>
                <c:pt idx="30">
                  <c:v>0.75737003244401802</c:v>
                </c:pt>
                <c:pt idx="31">
                  <c:v>0.67259134407364418</c:v>
                </c:pt>
                <c:pt idx="32">
                  <c:v>0.52069511629690934</c:v>
                </c:pt>
                <c:pt idx="33">
                  <c:v>0.39982647783440284</c:v>
                </c:pt>
                <c:pt idx="34">
                  <c:v>0.29263409005663898</c:v>
                </c:pt>
                <c:pt idx="35">
                  <c:v>0.21547088670639247</c:v>
                </c:pt>
                <c:pt idx="36">
                  <c:v>0.15764285945428869</c:v>
                </c:pt>
                <c:pt idx="37">
                  <c:v>0.11426446481501107</c:v>
                </c:pt>
                <c:pt idx="38">
                  <c:v>8.3018040140958593E-2</c:v>
                </c:pt>
                <c:pt idx="39">
                  <c:v>6.2367327734493494E-2</c:v>
                </c:pt>
                <c:pt idx="40">
                  <c:v>4.820753821958379E-2</c:v>
                </c:pt>
                <c:pt idx="41">
                  <c:v>3.7435535688147281E-2</c:v>
                </c:pt>
                <c:pt idx="42">
                  <c:v>2.9473467978330836E-2</c:v>
                </c:pt>
                <c:pt idx="43">
                  <c:v>2.3567337857306803E-2</c:v>
                </c:pt>
                <c:pt idx="44">
                  <c:v>1.9154827781401651E-2</c:v>
                </c:pt>
                <c:pt idx="45">
                  <c:v>1.5382411304260879E-2</c:v>
                </c:pt>
                <c:pt idx="46">
                  <c:v>1.2634280155334521E-2</c:v>
                </c:pt>
                <c:pt idx="47">
                  <c:v>1.0493876631644361E-2</c:v>
                </c:pt>
                <c:pt idx="48">
                  <c:v>8.5777630090035917E-3</c:v>
                </c:pt>
                <c:pt idx="49">
                  <c:v>7.2148838883508981E-3</c:v>
                </c:pt>
                <c:pt idx="50">
                  <c:v>6.2204697566826672E-3</c:v>
                </c:pt>
                <c:pt idx="51">
                  <c:v>5.2871053266723145E-3</c:v>
                </c:pt>
                <c:pt idx="52">
                  <c:v>4.4681059456106453E-3</c:v>
                </c:pt>
                <c:pt idx="53">
                  <c:v>3.7901874942106728E-3</c:v>
                </c:pt>
                <c:pt idx="54">
                  <c:v>3.2503905492939911E-3</c:v>
                </c:pt>
                <c:pt idx="55">
                  <c:v>2.7769129946452198E-3</c:v>
                </c:pt>
                <c:pt idx="56">
                  <c:v>2.3668235215269506E-3</c:v>
                </c:pt>
                <c:pt idx="57">
                  <c:v>2.0253660335108892E-3</c:v>
                </c:pt>
                <c:pt idx="58">
                  <c:v>1.7595793372351398E-3</c:v>
                </c:pt>
                <c:pt idx="59">
                  <c:v>1.5136546055649625E-3</c:v>
                </c:pt>
                <c:pt idx="60">
                  <c:v>1.3060105208455575E-3</c:v>
                </c:pt>
                <c:pt idx="61">
                  <c:v>1.1254621861090941E-3</c:v>
                </c:pt>
                <c:pt idx="62">
                  <c:v>9.680040950973412E-4</c:v>
                </c:pt>
                <c:pt idx="63">
                  <c:v>8.2759633984486047E-4</c:v>
                </c:pt>
                <c:pt idx="64">
                  <c:v>7.0980781284779582E-4</c:v>
                </c:pt>
                <c:pt idx="65">
                  <c:v>6.053422058016622E-4</c:v>
                </c:pt>
                <c:pt idx="66">
                  <c:v>5.117692813658703E-4</c:v>
                </c:pt>
                <c:pt idx="67">
                  <c:v>4.3126167493778844E-4</c:v>
                </c:pt>
                <c:pt idx="68">
                  <c:v>3.5983808594031164E-4</c:v>
                </c:pt>
                <c:pt idx="69">
                  <c:v>2.969430918353666E-4</c:v>
                </c:pt>
                <c:pt idx="70">
                  <c:v>2.4409574594208561E-4</c:v>
                </c:pt>
                <c:pt idx="71">
                  <c:v>1.9972505229370885E-4</c:v>
                </c:pt>
                <c:pt idx="72">
                  <c:v>1.6180785183428359E-4</c:v>
                </c:pt>
                <c:pt idx="73">
                  <c:v>1.3157007032393864E-4</c:v>
                </c:pt>
                <c:pt idx="74">
                  <c:v>1.0474519184511255E-4</c:v>
                </c:pt>
                <c:pt idx="75">
                  <c:v>8.3046137414277688E-5</c:v>
                </c:pt>
                <c:pt idx="76">
                  <c:v>6.5480016040231348E-5</c:v>
                </c:pt>
                <c:pt idx="77">
                  <c:v>5.1602150686558268E-5</c:v>
                </c:pt>
                <c:pt idx="78">
                  <c:v>4.0915769552674064E-5</c:v>
                </c:pt>
                <c:pt idx="79">
                  <c:v>3.1894220318351429E-5</c:v>
                </c:pt>
                <c:pt idx="80">
                  <c:v>2.5156879990939629E-5</c:v>
                </c:pt>
                <c:pt idx="81">
                  <c:v>1.997757759431007E-5</c:v>
                </c:pt>
                <c:pt idx="82">
                  <c:v>1.5680963990738483E-5</c:v>
                </c:pt>
                <c:pt idx="83">
                  <c:v>1.2395180042923393E-5</c:v>
                </c:pt>
                <c:pt idx="84">
                  <c:v>9.766887332007812E-6</c:v>
                </c:pt>
                <c:pt idx="85">
                  <c:v>7.6421569438211989E-6</c:v>
                </c:pt>
                <c:pt idx="86">
                  <c:v>6.0270811070850527E-6</c:v>
                </c:pt>
                <c:pt idx="87">
                  <c:v>4.7178393306479549E-6</c:v>
                </c:pt>
                <c:pt idx="88">
                  <c:v>3.7272324507897636E-6</c:v>
                </c:pt>
                <c:pt idx="89">
                  <c:v>2.9595130546233861E-6</c:v>
                </c:pt>
                <c:pt idx="90">
                  <c:v>2.3436058166348417E-6</c:v>
                </c:pt>
                <c:pt idx="91">
                  <c:v>1.8251727526008565E-6</c:v>
                </c:pt>
                <c:pt idx="92">
                  <c:v>1.4439943588628879E-6</c:v>
                </c:pt>
                <c:pt idx="93">
                  <c:v>1.1177519207983266E-6</c:v>
                </c:pt>
                <c:pt idx="94">
                  <c:v>8.8038208068130785E-7</c:v>
                </c:pt>
                <c:pt idx="95">
                  <c:v>6.7630179734212703E-7</c:v>
                </c:pt>
                <c:pt idx="96">
                  <c:v>5.2241159109733815E-7</c:v>
                </c:pt>
                <c:pt idx="97">
                  <c:v>3.9895784831323056E-7</c:v>
                </c:pt>
                <c:pt idx="98">
                  <c:v>2.9925924160956185E-7</c:v>
                </c:pt>
                <c:pt idx="99">
                  <c:v>2.2357241802328787E-7</c:v>
                </c:pt>
                <c:pt idx="100">
                  <c:v>1.6507941746901622E-7</c:v>
                </c:pt>
                <c:pt idx="101">
                  <c:v>1.2046858655079262E-7</c:v>
                </c:pt>
                <c:pt idx="102">
                  <c:v>8.3934463934731696E-8</c:v>
                </c:pt>
                <c:pt idx="103">
                  <c:v>5.6975466344866277E-8</c:v>
                </c:pt>
                <c:pt idx="104">
                  <c:v>3.7201042357715153E-8</c:v>
                </c:pt>
                <c:pt idx="105">
                  <c:v>2.3072490029640846E-8</c:v>
                </c:pt>
                <c:pt idx="106">
                  <c:v>1.3293752987308949E-8</c:v>
                </c:pt>
                <c:pt idx="107">
                  <c:v>1.3293752987308949E-8</c:v>
                </c:pt>
                <c:pt idx="108">
                  <c:v>9.0160268140238031E-9</c:v>
                </c:pt>
                <c:pt idx="109">
                  <c:v>6.7574409401416347E-9</c:v>
                </c:pt>
                <c:pt idx="110">
                  <c:v>4.5336232545878374E-9</c:v>
                </c:pt>
                <c:pt idx="111">
                  <c:v>3.7824807730402199E-9</c:v>
                </c:pt>
                <c:pt idx="112">
                  <c:v>2.6142733533518481E-9</c:v>
                </c:pt>
                <c:pt idx="113">
                  <c:v>2.2203202609816231E-9</c:v>
                </c:pt>
                <c:pt idx="114">
                  <c:v>2.0237842512926818E-9</c:v>
                </c:pt>
                <c:pt idx="115">
                  <c:v>6.6610705840020046E-10</c:v>
                </c:pt>
                <c:pt idx="116">
                  <c:v>6.6610705840020046E-10</c:v>
                </c:pt>
                <c:pt idx="117">
                  <c:v>6.6610705840020046E-10</c:v>
                </c:pt>
                <c:pt idx="1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145472"/>
        <c:axId val="105147392"/>
      </c:scatterChart>
      <c:valAx>
        <c:axId val="105145472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7003231262758834"/>
              <c:y val="0.92577460224880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05147392"/>
        <c:crosses val="autoZero"/>
        <c:crossBetween val="midCat"/>
      </c:valAx>
      <c:valAx>
        <c:axId val="10514739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Distribution Function</a:t>
                </a:r>
              </a:p>
            </c:rich>
          </c:tx>
          <c:layout>
            <c:manualLayout>
              <c:xMode val="edge"/>
              <c:yMode val="edge"/>
              <c:x val="1.753793951647354E-2"/>
              <c:y val="0.414806277095512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05145472"/>
        <c:crossesAt val="1.0000000000000041E-3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19344156762064"/>
          <c:y val="0.16922496942181978"/>
          <c:w val="0.32571839409811765"/>
          <c:h val="0.20424665897106842"/>
        </c:manualLayout>
      </c:layout>
      <c:overlay val="0"/>
      <c:spPr>
        <a:solidFill>
          <a:srgbClr val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chemeClr val="lt2"/>
    </a:solidFill>
    <a:ln w="3175">
      <a:solidFill>
        <a:sysClr val="windowText" lastClr="000000"/>
      </a:solidFill>
    </a:ln>
  </c:spPr>
  <c:txPr>
    <a:bodyPr/>
    <a:lstStyle/>
    <a:p>
      <a:pPr>
        <a:defRPr sz="8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866" r="0.75000000000000866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/>
              <a:t>Incremental Intrusion %PV vs Pore Aperture Diameter</a:t>
            </a:r>
          </a:p>
        </c:rich>
      </c:tx>
      <c:layout>
        <c:manualLayout>
          <c:xMode val="edge"/>
          <c:yMode val="edge"/>
          <c:x val="0.1723981077147016"/>
          <c:y val="4.43625443625443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59498670579271"/>
          <c:y val="0.15326975675683863"/>
          <c:w val="0.82827901825522265"/>
          <c:h val="0.72458777553660758"/>
        </c:manualLayout>
      </c:layout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dk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60000"/>
                  <a:lumOff val="40000"/>
                </a:schemeClr>
              </a:solidFill>
              <a:ln>
                <a:solidFill>
                  <a:schemeClr val="dk2">
                    <a:lumMod val="50000"/>
                  </a:schemeClr>
                </a:solidFill>
              </a:ln>
            </c:spPr>
          </c:marker>
          <c:xVal>
            <c:numRef>
              <c:f>Table!$F$18:$F$136</c:f>
              <c:numCache>
                <c:formatCode>???0.000</c:formatCode>
                <c:ptCount val="119"/>
                <c:pt idx="0">
                  <c:v>144.56874035517095</c:v>
                </c:pt>
                <c:pt idx="1">
                  <c:v>137.16040086590073</c:v>
                </c:pt>
                <c:pt idx="2">
                  <c:v>120.75295644967746</c:v>
                </c:pt>
                <c:pt idx="3">
                  <c:v>108.79054257489433</c:v>
                </c:pt>
                <c:pt idx="4">
                  <c:v>100.83252689485749</c:v>
                </c:pt>
                <c:pt idx="5">
                  <c:v>92.560910169193065</c:v>
                </c:pt>
                <c:pt idx="6">
                  <c:v>84.669980443837645</c:v>
                </c:pt>
                <c:pt idx="7">
                  <c:v>77.676812831606057</c:v>
                </c:pt>
                <c:pt idx="8">
                  <c:v>70.87481162975223</c:v>
                </c:pt>
                <c:pt idx="9">
                  <c:v>64.626067963639883</c:v>
                </c:pt>
                <c:pt idx="10">
                  <c:v>59.247152474611553</c:v>
                </c:pt>
                <c:pt idx="11">
                  <c:v>54.108696466036108</c:v>
                </c:pt>
                <c:pt idx="12">
                  <c:v>49.467030600100337</c:v>
                </c:pt>
                <c:pt idx="13">
                  <c:v>45.312123323471972</c:v>
                </c:pt>
                <c:pt idx="14">
                  <c:v>41.518824264258996</c:v>
                </c:pt>
                <c:pt idx="15">
                  <c:v>37.863769793992319</c:v>
                </c:pt>
                <c:pt idx="16">
                  <c:v>34.637474274700672</c:v>
                </c:pt>
                <c:pt idx="17">
                  <c:v>31.678780658023705</c:v>
                </c:pt>
                <c:pt idx="18">
                  <c:v>28.96347605643518</c:v>
                </c:pt>
                <c:pt idx="19">
                  <c:v>26.477612481387336</c:v>
                </c:pt>
                <c:pt idx="20">
                  <c:v>24.186134831645614</c:v>
                </c:pt>
                <c:pt idx="21">
                  <c:v>22.116615789490627</c:v>
                </c:pt>
                <c:pt idx="22">
                  <c:v>20.256299410948994</c:v>
                </c:pt>
                <c:pt idx="23">
                  <c:v>18.386023321012164</c:v>
                </c:pt>
                <c:pt idx="24">
                  <c:v>16.962176260009073</c:v>
                </c:pt>
                <c:pt idx="25">
                  <c:v>15.412524208090463</c:v>
                </c:pt>
                <c:pt idx="26">
                  <c:v>14.116291921134284</c:v>
                </c:pt>
                <c:pt idx="27">
                  <c:v>12.949906065093813</c:v>
                </c:pt>
                <c:pt idx="28">
                  <c:v>11.833451277768249</c:v>
                </c:pt>
                <c:pt idx="29">
                  <c:v>10.782190736077444</c:v>
                </c:pt>
                <c:pt idx="30">
                  <c:v>9.8609509635274293</c:v>
                </c:pt>
                <c:pt idx="31">
                  <c:v>8.9909030719139018</c:v>
                </c:pt>
                <c:pt idx="32">
                  <c:v>8.2132873664040922</c:v>
                </c:pt>
                <c:pt idx="33">
                  <c:v>7.537073435433399</c:v>
                </c:pt>
                <c:pt idx="34">
                  <c:v>7.2655879585774503</c:v>
                </c:pt>
                <c:pt idx="35">
                  <c:v>6.4643632307172778</c:v>
                </c:pt>
                <c:pt idx="36">
                  <c:v>5.879355767342064</c:v>
                </c:pt>
                <c:pt idx="37">
                  <c:v>5.3229139055248149</c:v>
                </c:pt>
                <c:pt idx="38">
                  <c:v>4.922804216699979</c:v>
                </c:pt>
                <c:pt idx="39">
                  <c:v>4.4672184615079722</c:v>
                </c:pt>
                <c:pt idx="40">
                  <c:v>4.0845124181554526</c:v>
                </c:pt>
                <c:pt idx="41">
                  <c:v>3.7001061961687256</c:v>
                </c:pt>
                <c:pt idx="42">
                  <c:v>3.4057492705646992</c:v>
                </c:pt>
                <c:pt idx="43">
                  <c:v>3.0947846572900932</c:v>
                </c:pt>
                <c:pt idx="44">
                  <c:v>2.834184880795986</c:v>
                </c:pt>
                <c:pt idx="45">
                  <c:v>2.5829555763742404</c:v>
                </c:pt>
                <c:pt idx="46">
                  <c:v>2.3527548528832618</c:v>
                </c:pt>
                <c:pt idx="47">
                  <c:v>2.1555576796544798</c:v>
                </c:pt>
                <c:pt idx="48">
                  <c:v>1.9649751363809871</c:v>
                </c:pt>
                <c:pt idx="49">
                  <c:v>1.8024535429979085</c:v>
                </c:pt>
                <c:pt idx="50">
                  <c:v>1.6422374350940558</c:v>
                </c:pt>
                <c:pt idx="51">
                  <c:v>1.5052578126530838</c:v>
                </c:pt>
                <c:pt idx="52">
                  <c:v>1.377256026106173</c:v>
                </c:pt>
                <c:pt idx="53">
                  <c:v>1.2528689504584714</c:v>
                </c:pt>
                <c:pt idx="54">
                  <c:v>1.1491116083669048</c:v>
                </c:pt>
                <c:pt idx="55">
                  <c:v>1.0501366660665967</c:v>
                </c:pt>
                <c:pt idx="56">
                  <c:v>0.95563747035039071</c:v>
                </c:pt>
                <c:pt idx="57">
                  <c:v>0.87150191748040151</c:v>
                </c:pt>
                <c:pt idx="58">
                  <c:v>0.80087508634755566</c:v>
                </c:pt>
                <c:pt idx="59">
                  <c:v>0.72980572161263646</c:v>
                </c:pt>
                <c:pt idx="60">
                  <c:v>0.66818945670822516</c:v>
                </c:pt>
                <c:pt idx="61">
                  <c:v>0.61021242378487062</c:v>
                </c:pt>
                <c:pt idx="62">
                  <c:v>0.556239810128348</c:v>
                </c:pt>
                <c:pt idx="63">
                  <c:v>0.50905896459053224</c:v>
                </c:pt>
                <c:pt idx="64">
                  <c:v>0.46565165057533509</c:v>
                </c:pt>
                <c:pt idx="65">
                  <c:v>0.42516083398048043</c:v>
                </c:pt>
                <c:pt idx="66">
                  <c:v>0.38851828465795113</c:v>
                </c:pt>
                <c:pt idx="67">
                  <c:v>0.35595446074749143</c:v>
                </c:pt>
                <c:pt idx="68">
                  <c:v>0.32524762306138305</c:v>
                </c:pt>
                <c:pt idx="69">
                  <c:v>0.29687963085942087</c:v>
                </c:pt>
                <c:pt idx="70">
                  <c:v>0.27138745138867892</c:v>
                </c:pt>
                <c:pt idx="71">
                  <c:v>0.24843996775063357</c:v>
                </c:pt>
                <c:pt idx="72">
                  <c:v>0.22716416976272102</c:v>
                </c:pt>
                <c:pt idx="73">
                  <c:v>0.20844324325430205</c:v>
                </c:pt>
                <c:pt idx="74">
                  <c:v>0.19015880923708778</c:v>
                </c:pt>
                <c:pt idx="75">
                  <c:v>0.17362325900355724</c:v>
                </c:pt>
                <c:pt idx="76">
                  <c:v>0.15864255196335478</c:v>
                </c:pt>
                <c:pt idx="77">
                  <c:v>0.1448327806209472</c:v>
                </c:pt>
                <c:pt idx="78">
                  <c:v>0.13256886182273064</c:v>
                </c:pt>
                <c:pt idx="79">
                  <c:v>0.12080568727565126</c:v>
                </c:pt>
                <c:pt idx="80">
                  <c:v>0.11046896707458037</c:v>
                </c:pt>
                <c:pt idx="81">
                  <c:v>0.10119804089343636</c:v>
                </c:pt>
                <c:pt idx="82">
                  <c:v>9.2251953710472165E-2</c:v>
                </c:pt>
                <c:pt idx="83">
                  <c:v>8.4416806104326544E-2</c:v>
                </c:pt>
                <c:pt idx="84">
                  <c:v>7.7268900189446738E-2</c:v>
                </c:pt>
                <c:pt idx="85">
                  <c:v>7.0489110786991202E-2</c:v>
                </c:pt>
                <c:pt idx="86">
                  <c:v>6.4472390141762231E-2</c:v>
                </c:pt>
                <c:pt idx="87">
                  <c:v>5.8902945097547225E-2</c:v>
                </c:pt>
                <c:pt idx="88">
                  <c:v>5.3877801262783818E-2</c:v>
                </c:pt>
                <c:pt idx="89">
                  <c:v>4.9262789420628332E-2</c:v>
                </c:pt>
                <c:pt idx="90">
                  <c:v>4.5096237708292963E-2</c:v>
                </c:pt>
                <c:pt idx="91">
                  <c:v>4.1173843783507517E-2</c:v>
                </c:pt>
                <c:pt idx="92">
                  <c:v>3.7637874901191352E-2</c:v>
                </c:pt>
                <c:pt idx="93">
                  <c:v>3.4374050882239993E-2</c:v>
                </c:pt>
                <c:pt idx="94">
                  <c:v>3.144832563795677E-2</c:v>
                </c:pt>
                <c:pt idx="95">
                  <c:v>2.87273701083883E-2</c:v>
                </c:pt>
                <c:pt idx="96">
                  <c:v>2.6271802201487286E-2</c:v>
                </c:pt>
                <c:pt idx="97">
                  <c:v>2.4020896618025925E-2</c:v>
                </c:pt>
                <c:pt idx="98">
                  <c:v>2.1944774769664332E-2</c:v>
                </c:pt>
                <c:pt idx="99">
                  <c:v>2.0052099443507027E-2</c:v>
                </c:pt>
                <c:pt idx="100">
                  <c:v>1.8364859927848542E-2</c:v>
                </c:pt>
                <c:pt idx="101">
                  <c:v>1.6811457367643147E-2</c:v>
                </c:pt>
                <c:pt idx="102">
                  <c:v>1.5284140892199432E-2</c:v>
                </c:pt>
                <c:pt idx="103">
                  <c:v>1.4011897054467266E-2</c:v>
                </c:pt>
                <c:pt idx="104">
                  <c:v>1.2778600273527221E-2</c:v>
                </c:pt>
                <c:pt idx="105">
                  <c:v>1.168554855748216E-2</c:v>
                </c:pt>
                <c:pt idx="106">
                  <c:v>1.0712974941409936E-2</c:v>
                </c:pt>
                <c:pt idx="107">
                  <c:v>9.7996259639727482E-3</c:v>
                </c:pt>
                <c:pt idx="108">
                  <c:v>8.9550145908580334E-3</c:v>
                </c:pt>
                <c:pt idx="109">
                  <c:v>8.1829560805698406E-3</c:v>
                </c:pt>
                <c:pt idx="110">
                  <c:v>7.4575804062751673E-3</c:v>
                </c:pt>
                <c:pt idx="111">
                  <c:v>6.8274632214607237E-3</c:v>
                </c:pt>
                <c:pt idx="112">
                  <c:v>6.242643527183447E-3</c:v>
                </c:pt>
                <c:pt idx="113">
                  <c:v>5.7073559869172822E-3</c:v>
                </c:pt>
                <c:pt idx="114">
                  <c:v>5.2168881633724426E-3</c:v>
                </c:pt>
                <c:pt idx="115">
                  <c:v>4.7721098843158142E-3</c:v>
                </c:pt>
                <c:pt idx="116">
                  <c:v>4.3624346570011246E-3</c:v>
                </c:pt>
                <c:pt idx="117">
                  <c:v>3.988267934964115E-3</c:v>
                </c:pt>
                <c:pt idx="118">
                  <c:v>3.6731459169987856E-3</c:v>
                </c:pt>
              </c:numCache>
            </c:numRef>
          </c:xVal>
          <c:yVal>
            <c:numRef>
              <c:f>Table!$H$18:$H$136</c:f>
              <c:numCache>
                <c:formatCode>????0.00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0.12134968752424143</c:v>
                </c:pt>
                <c:pt idx="26">
                  <c:v>0.22025350177100861</c:v>
                </c:pt>
                <c:pt idx="27">
                  <c:v>0.3641094695470587</c:v>
                </c:pt>
                <c:pt idx="28">
                  <c:v>0.88119327275573778</c:v>
                </c:pt>
                <c:pt idx="29">
                  <c:v>1.1148686485208046</c:v>
                </c:pt>
                <c:pt idx="30">
                  <c:v>1.26330144795531</c:v>
                </c:pt>
                <c:pt idx="31">
                  <c:v>2.2028453881267676</c:v>
                </c:pt>
                <c:pt idx="32">
                  <c:v>4.729518261452287</c:v>
                </c:pt>
                <c:pt idx="33">
                  <c:v>4.4690178669483895</c:v>
                </c:pt>
                <c:pt idx="34">
                  <c:v>4.2650720297165812</c:v>
                </c:pt>
                <c:pt idx="35">
                  <c:v>3.8784902174820637</c:v>
                </c:pt>
                <c:pt idx="36">
                  <c:v>3.513847020444107</c:v>
                </c:pt>
                <c:pt idx="37">
                  <c:v>3.2157223660603087</c:v>
                </c:pt>
                <c:pt idx="38">
                  <c:v>2.7081901712618084</c:v>
                </c:pt>
                <c:pt idx="39">
                  <c:v>2.1735248512829912</c:v>
                </c:pt>
                <c:pt idx="40">
                  <c:v>1.7827083984307563</c:v>
                </c:pt>
                <c:pt idx="41">
                  <c:v>1.6526162678101173</c:v>
                </c:pt>
                <c:pt idx="42">
                  <c:v>1.4417981913589628</c:v>
                </c:pt>
                <c:pt idx="43">
                  <c:v>1.2952276144245474</c:v>
                </c:pt>
                <c:pt idx="44">
                  <c:v>1.1538073752268829</c:v>
                </c:pt>
                <c:pt idx="45">
                  <c:v>1.1876533926555481</c:v>
                </c:pt>
                <c:pt idx="46">
                  <c:v>1.0427688597883886</c:v>
                </c:pt>
                <c:pt idx="47">
                  <c:v>0.9675653668891826</c:v>
                </c:pt>
                <c:pt idx="48">
                  <c:v>1.042344055716768</c:v>
                </c:pt>
                <c:pt idx="49">
                  <c:v>0.88111609178341155</c:v>
                </c:pt>
                <c:pt idx="50">
                  <c:v>0.7744606323088945</c:v>
                </c:pt>
                <c:pt idx="51">
                  <c:v>0.86523368839186787</c:v>
                </c:pt>
                <c:pt idx="52">
                  <c:v>0.90689741796058598</c:v>
                </c:pt>
                <c:pt idx="53">
                  <c:v>0.90713122485272635</c:v>
                </c:pt>
                <c:pt idx="54">
                  <c:v>0.85863769958960745</c:v>
                </c:pt>
                <c:pt idx="55">
                  <c:v>0.90180306215574291</c:v>
                </c:pt>
                <c:pt idx="56">
                  <c:v>0.9431835890100615</c:v>
                </c:pt>
                <c:pt idx="57">
                  <c:v>0.94428676237437514</c:v>
                </c:pt>
                <c:pt idx="58">
                  <c:v>0.87037744001897721</c:v>
                </c:pt>
                <c:pt idx="59">
                  <c:v>0.96982110944012589</c:v>
                </c:pt>
                <c:pt idx="60">
                  <c:v>0.97684190231402113</c:v>
                </c:pt>
                <c:pt idx="61">
                  <c:v>1.0184397707863866</c:v>
                </c:pt>
                <c:pt idx="62">
                  <c:v>1.0689190081052686</c:v>
                </c:pt>
                <c:pt idx="63">
                  <c:v>1.1380435218088181</c:v>
                </c:pt>
                <c:pt idx="64">
                  <c:v>1.1409973919813581</c:v>
                </c:pt>
                <c:pt idx="65">
                  <c:v>1.2138661090139991</c:v>
                </c:pt>
                <c:pt idx="66">
                  <c:v>1.3020607031737512</c:v>
                </c:pt>
                <c:pt idx="67">
                  <c:v>1.3346026708941281</c:v>
                </c:pt>
                <c:pt idx="68">
                  <c:v>1.4181342994303634</c:v>
                </c:pt>
                <c:pt idx="69">
                  <c:v>1.4988536591512087</c:v>
                </c:pt>
                <c:pt idx="70">
                  <c:v>1.5071192267466671</c:v>
                </c:pt>
                <c:pt idx="71">
                  <c:v>1.5099314955620002</c:v>
                </c:pt>
                <c:pt idx="72">
                  <c:v>1.5433362436449301</c:v>
                </c:pt>
                <c:pt idx="73">
                  <c:v>1.4617672757807725</c:v>
                </c:pt>
                <c:pt idx="74">
                  <c:v>1.5581484042203328</c:v>
                </c:pt>
                <c:pt idx="75">
                  <c:v>1.511920500672602</c:v>
                </c:pt>
                <c:pt idx="76">
                  <c:v>1.4660219026067978</c:v>
                </c:pt>
                <c:pt idx="77">
                  <c:v>1.38960985858904</c:v>
                </c:pt>
                <c:pt idx="78">
                  <c:v>1.2771783809621553</c:v>
                </c:pt>
                <c:pt idx="79">
                  <c:v>1.298405412324783</c:v>
                </c:pt>
                <c:pt idx="80">
                  <c:v>1.1596097378177888</c:v>
                </c:pt>
                <c:pt idx="81">
                  <c:v>1.0622604512614657</c:v>
                </c:pt>
                <c:pt idx="82">
                  <c:v>1.0604229266725298</c:v>
                </c:pt>
                <c:pt idx="83">
                  <c:v>0.96846766390954997</c:v>
                </c:pt>
                <c:pt idx="84">
                  <c:v>0.92463051816037023</c:v>
                </c:pt>
                <c:pt idx="85">
                  <c:v>0.89818070185495458</c:v>
                </c:pt>
                <c:pt idx="86">
                  <c:v>0.81611118965834351</c:v>
                </c:pt>
                <c:pt idx="87">
                  <c:v>0.79259219214173982</c:v>
                </c:pt>
                <c:pt idx="88">
                  <c:v>0.7167794841010533</c:v>
                </c:pt>
                <c:pt idx="89">
                  <c:v>0.66445942913834699</c:v>
                </c:pt>
                <c:pt idx="90">
                  <c:v>0.63611939936691897</c:v>
                </c:pt>
                <c:pt idx="91">
                  <c:v>0.64232351464569604</c:v>
                </c:pt>
                <c:pt idx="92">
                  <c:v>0.56517382634852709</c:v>
                </c:pt>
                <c:pt idx="93">
                  <c:v>0.57993988415647379</c:v>
                </c:pt>
                <c:pt idx="94">
                  <c:v>0.50412059000611009</c:v>
                </c:pt>
                <c:pt idx="95">
                  <c:v>0.51941353658509115</c:v>
                </c:pt>
                <c:pt idx="96">
                  <c:v>0.46831191190537425</c:v>
                </c:pt>
                <c:pt idx="97">
                  <c:v>0.44939660502565459</c:v>
                </c:pt>
                <c:pt idx="98">
                  <c:v>0.43484130272608468</c:v>
                </c:pt>
                <c:pt idx="99">
                  <c:v>0.3953707476667887</c:v>
                </c:pt>
                <c:pt idx="100">
                  <c:v>0.3642777240666959</c:v>
                </c:pt>
                <c:pt idx="101">
                  <c:v>0.33153817305721134</c:v>
                </c:pt>
                <c:pt idx="102">
                  <c:v>0.32848880429492056</c:v>
                </c:pt>
                <c:pt idx="103">
                  <c:v>0.2884123271488761</c:v>
                </c:pt>
                <c:pt idx="104">
                  <c:v>0.25435555421182698</c:v>
                </c:pt>
                <c:pt idx="105">
                  <c:v>0.2173218597184956</c:v>
                </c:pt>
                <c:pt idx="106">
                  <c:v>0.17896435718792247</c:v>
                </c:pt>
                <c:pt idx="107">
                  <c:v>0</c:v>
                </c:pt>
                <c:pt idx="108">
                  <c:v>0.11204289715827542</c:v>
                </c:pt>
                <c:pt idx="109">
                  <c:v>7.0846781373802514E-2</c:v>
                </c:pt>
                <c:pt idx="110">
                  <c:v>8.3986070101218502E-2</c:v>
                </c:pt>
                <c:pt idx="111">
                  <c:v>3.3846017428658115E-2</c:v>
                </c:pt>
                <c:pt idx="112">
                  <c:v>6.2963208137361448E-2</c:v>
                </c:pt>
                <c:pt idx="113">
                  <c:v>2.5402624873009927E-2</c:v>
                </c:pt>
                <c:pt idx="114">
                  <c:v>1.5167810495853473E-2</c:v>
                </c:pt>
                <c:pt idx="115">
                  <c:v>0.12522170254348453</c:v>
                </c:pt>
                <c:pt idx="116">
                  <c:v>0</c:v>
                </c:pt>
                <c:pt idx="117">
                  <c:v>0</c:v>
                </c:pt>
                <c:pt idx="118">
                  <c:v>0.10369829624714555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12384"/>
        <c:axId val="106923136"/>
      </c:scatterChart>
      <c:valAx>
        <c:axId val="106912384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gradFill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Pore Aperture Diameter (microns)</a:t>
                </a:r>
              </a:p>
            </c:rich>
          </c:tx>
          <c:layout>
            <c:manualLayout>
              <c:xMode val="edge"/>
              <c:yMode val="edge"/>
              <c:x val="0.36675497039079008"/>
              <c:y val="0.92355761574540307"/>
            </c:manualLayout>
          </c:layout>
          <c:overlay val="0"/>
          <c:spPr>
            <a:noFill/>
            <a:ln w="25400">
              <a:noFill/>
            </a:ln>
          </c:spPr>
        </c:title>
        <c:numFmt formatCode="??0.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/>
            </a:pPr>
            <a:endParaRPr lang="en-US"/>
          </a:p>
        </c:txPr>
        <c:crossAx val="106923136"/>
        <c:crosses val="autoZero"/>
        <c:crossBetween val="midCat"/>
        <c:majorUnit val="10"/>
        <c:minorUnit val="10"/>
      </c:valAx>
      <c:valAx>
        <c:axId val="1069231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Incremental Intrusion as Percent of Pore Volume</a:t>
                </a:r>
              </a:p>
            </c:rich>
          </c:tx>
          <c:layout>
            <c:manualLayout>
              <c:xMode val="edge"/>
              <c:yMode val="edge"/>
              <c:x val="1.0568979145875295E-2"/>
              <c:y val="0.21251221534951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/>
            </a:pPr>
            <a:endParaRPr lang="en-US"/>
          </a:p>
        </c:txPr>
        <c:crossAx val="106912384"/>
        <c:crossesAt val="1.0000000000000041E-3"/>
        <c:crossBetween val="midCat"/>
      </c:valAx>
      <c:spPr>
        <a:noFill/>
        <a:ln w="3175">
          <a:solidFill>
            <a:srgbClr val="000000"/>
          </a:solidFill>
        </a:ln>
      </c:spPr>
    </c:plotArea>
    <c:plotVisOnly val="0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0.75000000000000955" l="0.70000000000000062" r="0.70000000000000062" t="0.750000000000009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image" Target="../media/image1.jpeg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2</xdr:row>
      <xdr:rowOff>135890</xdr:rowOff>
    </xdr:to>
    <xdr:pic>
      <xdr:nvPicPr>
        <xdr:cNvPr id="4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161924</xdr:rowOff>
    </xdr:from>
    <xdr:to>
      <xdr:col>5</xdr:col>
      <xdr:colOff>19812</xdr:colOff>
      <xdr:row>26</xdr:row>
      <xdr:rowOff>2666</xdr:rowOff>
    </xdr:to>
    <xdr:graphicFrame macro="">
      <xdr:nvGraphicFramePr>
        <xdr:cNvPr id="27923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</xdr:colOff>
      <xdr:row>8</xdr:row>
      <xdr:rowOff>2666</xdr:rowOff>
    </xdr:from>
    <xdr:to>
      <xdr:col>10</xdr:col>
      <xdr:colOff>11049</xdr:colOff>
      <xdr:row>26</xdr:row>
      <xdr:rowOff>5333</xdr:rowOff>
    </xdr:to>
    <xdr:graphicFrame macro="">
      <xdr:nvGraphicFramePr>
        <xdr:cNvPr id="1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8</xdr:row>
      <xdr:rowOff>0</xdr:rowOff>
    </xdr:from>
    <xdr:to>
      <xdr:col>14</xdr:col>
      <xdr:colOff>540444</xdr:colOff>
      <xdr:row>26</xdr:row>
      <xdr:rowOff>2667</xdr:rowOff>
    </xdr:to>
    <xdr:graphicFrame macro="">
      <xdr:nvGraphicFramePr>
        <xdr:cNvPr id="2792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25</xdr:row>
      <xdr:rowOff>147759</xdr:rowOff>
    </xdr:from>
    <xdr:to>
      <xdr:col>5</xdr:col>
      <xdr:colOff>19812</xdr:colOff>
      <xdr:row>43</xdr:row>
      <xdr:rowOff>161924</xdr:rowOff>
    </xdr:to>
    <xdr:graphicFrame macro="">
      <xdr:nvGraphicFramePr>
        <xdr:cNvPr id="2792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540445</xdr:colOff>
      <xdr:row>25</xdr:row>
      <xdr:rowOff>147761</xdr:rowOff>
    </xdr:from>
    <xdr:to>
      <xdr:col>15</xdr:col>
      <xdr:colOff>0</xdr:colOff>
      <xdr:row>44</xdr:row>
      <xdr:rowOff>0</xdr:rowOff>
    </xdr:to>
    <xdr:graphicFrame macro="">
      <xdr:nvGraphicFramePr>
        <xdr:cNvPr id="10" name="Distribut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2</xdr:row>
      <xdr:rowOff>97790</xdr:rowOff>
    </xdr:to>
    <xdr:pic>
      <xdr:nvPicPr>
        <xdr:cNvPr id="8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14</xdr:col>
      <xdr:colOff>862742</xdr:colOff>
      <xdr:row>30</xdr:row>
      <xdr:rowOff>159258</xdr:rowOff>
    </xdr:to>
    <xdr:graphicFrame macro="">
      <xdr:nvGraphicFramePr>
        <xdr:cNvPr id="2983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2983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320802</xdr:colOff>
      <xdr:row>53</xdr:row>
      <xdr:rowOff>159258</xdr:rowOff>
    </xdr:to>
    <xdr:graphicFrame macro="">
      <xdr:nvGraphicFramePr>
        <xdr:cNvPr id="9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3048</xdr:colOff>
      <xdr:row>31</xdr:row>
      <xdr:rowOff>0</xdr:rowOff>
    </xdr:from>
    <xdr:to>
      <xdr:col>14</xdr:col>
      <xdr:colOff>866775</xdr:colOff>
      <xdr:row>53</xdr:row>
      <xdr:rowOff>159258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523875</xdr:colOff>
      <xdr:row>2</xdr:row>
      <xdr:rowOff>97790</xdr:rowOff>
    </xdr:to>
    <xdr:pic>
      <xdr:nvPicPr>
        <xdr:cNvPr id="8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2</xdr:row>
      <xdr:rowOff>135890</xdr:rowOff>
    </xdr:to>
    <xdr:pic>
      <xdr:nvPicPr>
        <xdr:cNvPr id="4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N141"/>
  <sheetViews>
    <sheetView showGridLines="0" tabSelected="1" workbookViewId="0">
      <pane xSplit="2" ySplit="17" topLeftCell="C18" activePane="bottomRight" state="frozen"/>
      <selection activeCell="E35" sqref="E35"/>
      <selection pane="topRight" activeCell="E35" sqref="E35"/>
      <selection pane="bottomLeft" activeCell="E35" sqref="E35"/>
      <selection pane="bottomRight" activeCell="A11" sqref="A11"/>
    </sheetView>
  </sheetViews>
  <sheetFormatPr defaultColWidth="8.85546875" defaultRowHeight="12.75" x14ac:dyDescent="0.2"/>
  <cols>
    <col min="1" max="13" width="10.28515625" style="156" customWidth="1"/>
    <col min="14" max="14" width="9.5703125" style="156" customWidth="1"/>
    <col min="15" max="15" width="8.85546875" style="156"/>
    <col min="16" max="17" width="10.7109375" style="156" customWidth="1"/>
    <col min="18" max="19" width="8.85546875" style="156"/>
    <col min="20" max="20" width="9.5703125" style="156" bestFit="1" customWidth="1"/>
    <col min="21" max="21" width="8.85546875" style="156"/>
    <col min="22" max="22" width="7.5703125" style="156" customWidth="1"/>
    <col min="23" max="23" width="11.5703125" style="82" bestFit="1" customWidth="1"/>
    <col min="24" max="24" width="13" style="82" customWidth="1"/>
    <col min="25" max="37" width="8.85546875" style="82"/>
    <col min="38" max="38" width="15.85546875" style="82" customWidth="1"/>
    <col min="39" max="16384" width="8.85546875" style="82"/>
  </cols>
  <sheetData>
    <row r="1" spans="1:40" x14ac:dyDescent="0.2">
      <c r="X1" s="127"/>
      <c r="Y1" s="88"/>
      <c r="Z1" s="88"/>
      <c r="AA1" s="100"/>
      <c r="AB1" s="100"/>
    </row>
    <row r="2" spans="1:40" x14ac:dyDescent="0.2">
      <c r="X2" s="142"/>
      <c r="Y2" s="142"/>
      <c r="Z2" s="97"/>
      <c r="AA2" s="97"/>
      <c r="AB2" s="113"/>
      <c r="AC2" s="113"/>
    </row>
    <row r="3" spans="1:40" x14ac:dyDescent="0.2">
      <c r="X3" s="147"/>
      <c r="Y3" s="161"/>
      <c r="Z3" s="37"/>
      <c r="AA3" s="113"/>
      <c r="AB3" s="34"/>
      <c r="AC3" s="34"/>
    </row>
    <row r="4" spans="1:40" x14ac:dyDescent="0.2">
      <c r="X4" s="147"/>
      <c r="Y4" s="161"/>
      <c r="Z4" s="37"/>
      <c r="AA4" s="113"/>
      <c r="AB4" s="34"/>
      <c r="AC4" s="34"/>
      <c r="AL4" s="103"/>
      <c r="AM4" s="103"/>
      <c r="AN4" s="103"/>
    </row>
    <row r="5" spans="1:40" ht="15.75" x14ac:dyDescent="0.25">
      <c r="A5" s="165" t="s">
        <v>11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56"/>
      <c r="O5" s="56"/>
      <c r="P5" s="56"/>
      <c r="Q5" s="56"/>
      <c r="R5" s="56"/>
      <c r="S5" s="56"/>
      <c r="T5" s="5"/>
      <c r="U5" s="75"/>
      <c r="V5" s="75"/>
      <c r="W5" s="161"/>
      <c r="X5" s="147"/>
      <c r="Y5" s="161"/>
      <c r="Z5" s="113"/>
      <c r="AA5" s="121"/>
      <c r="AB5" s="121"/>
      <c r="AC5" s="121"/>
      <c r="AL5" s="103"/>
      <c r="AM5" s="103"/>
      <c r="AN5" s="103"/>
    </row>
    <row r="6" spans="1:40" x14ac:dyDescent="0.2">
      <c r="A6" s="55"/>
      <c r="B6" s="75"/>
      <c r="C6" s="75"/>
      <c r="D6" s="75"/>
      <c r="E6" s="55"/>
      <c r="F6" s="55"/>
      <c r="G6" s="55"/>
      <c r="H6" s="55"/>
      <c r="I6" s="55"/>
      <c r="J6" s="55"/>
      <c r="K6" s="55"/>
      <c r="L6" s="55"/>
      <c r="M6" s="55"/>
      <c r="N6" s="55"/>
      <c r="O6" s="75"/>
      <c r="P6" s="75"/>
      <c r="Q6" s="75"/>
      <c r="R6" s="55"/>
      <c r="S6" s="75"/>
      <c r="T6" s="75"/>
      <c r="U6" s="75"/>
      <c r="V6" s="75"/>
      <c r="W6" s="161"/>
      <c r="X6" s="147"/>
      <c r="Y6" s="161"/>
      <c r="Z6" s="113"/>
      <c r="AA6" s="28"/>
      <c r="AB6" s="37"/>
      <c r="AC6" s="37"/>
      <c r="AL6" s="103"/>
      <c r="AM6" s="103"/>
      <c r="AN6" s="103"/>
    </row>
    <row r="7" spans="1:40" ht="12.4" customHeight="1" x14ac:dyDescent="0.2">
      <c r="A7" s="8" t="str">
        <f>Table!A7</f>
        <v>Shell Exploration &amp; Production Company</v>
      </c>
      <c r="B7" s="55"/>
      <c r="C7" s="55"/>
      <c r="D7" s="55"/>
      <c r="E7" s="75"/>
      <c r="F7" s="75"/>
      <c r="G7" s="75"/>
      <c r="H7" s="75"/>
      <c r="I7" s="156" t="str">
        <f>Table!L7</f>
        <v>Sample Number:</v>
      </c>
      <c r="M7" s="53" t="str">
        <f>Table!P7</f>
        <v>MC 23</v>
      </c>
      <c r="N7" s="75"/>
      <c r="O7" s="8"/>
      <c r="P7" s="90"/>
      <c r="Q7" s="142"/>
      <c r="R7" s="142"/>
      <c r="S7" s="97"/>
      <c r="T7" s="28"/>
      <c r="U7" s="145"/>
      <c r="V7" s="37"/>
      <c r="AE7" s="52"/>
      <c r="AF7" s="42"/>
      <c r="AG7" s="42"/>
    </row>
    <row r="8" spans="1:40" ht="12.4" customHeight="1" x14ac:dyDescent="0.2">
      <c r="A8" s="8" t="str">
        <f>Table!A8</f>
        <v>OCS-Y-2321 Burger J 001</v>
      </c>
      <c r="B8" s="55"/>
      <c r="C8" s="55"/>
      <c r="D8" s="55"/>
      <c r="E8" s="55"/>
      <c r="F8" s="55"/>
      <c r="G8" s="55"/>
      <c r="H8" s="55"/>
      <c r="I8" s="156" t="str">
        <f>Table!L8</f>
        <v>Sample Depth, feet:</v>
      </c>
      <c r="M8" s="54">
        <f>Table!P8</f>
        <v>0</v>
      </c>
      <c r="N8" s="75"/>
      <c r="O8" s="8"/>
      <c r="P8" s="90"/>
      <c r="Q8" s="142"/>
      <c r="R8" s="142"/>
      <c r="S8" s="97"/>
      <c r="T8" s="28"/>
      <c r="U8" s="145"/>
      <c r="V8" s="37"/>
      <c r="AE8" s="152"/>
      <c r="AF8" s="42"/>
      <c r="AG8" s="42"/>
    </row>
    <row r="9" spans="1:40" ht="12.4" customHeight="1" x14ac:dyDescent="0.2">
      <c r="A9" s="8" t="str">
        <f>Table!A9</f>
        <v>Offshore</v>
      </c>
      <c r="B9" s="55"/>
      <c r="C9" s="55"/>
      <c r="D9" s="55"/>
      <c r="E9" s="55"/>
      <c r="F9" s="55"/>
      <c r="G9" s="55"/>
      <c r="H9" s="55"/>
      <c r="I9" s="60" t="str">
        <f>Table!L9</f>
        <v>Permeability to Air (calc), mD:</v>
      </c>
      <c r="K9" s="55"/>
      <c r="L9" s="55"/>
      <c r="M9" s="163">
        <f>Table!P9</f>
        <v>20.182213411296051</v>
      </c>
      <c r="N9" s="75"/>
      <c r="O9" s="8" t="s">
        <v>38</v>
      </c>
      <c r="P9" s="90"/>
      <c r="Q9" s="161"/>
      <c r="R9" s="142"/>
      <c r="S9" s="142"/>
      <c r="T9" s="47"/>
      <c r="U9" s="47"/>
      <c r="V9" s="66"/>
      <c r="AE9" s="152"/>
      <c r="AF9" s="42"/>
      <c r="AG9" s="42"/>
    </row>
    <row r="10" spans="1:40" ht="12.4" customHeight="1" x14ac:dyDescent="0.2">
      <c r="A10" s="8" t="str">
        <f>Table!A10</f>
        <v>HH-77445</v>
      </c>
      <c r="B10" s="55"/>
      <c r="C10" s="55"/>
      <c r="D10" s="55"/>
      <c r="E10" s="75"/>
      <c r="F10" s="75"/>
      <c r="G10" s="75"/>
      <c r="H10" s="75"/>
      <c r="I10" s="60" t="str">
        <f>Table!L10</f>
        <v>Porosity, fraction:</v>
      </c>
      <c r="K10" s="55"/>
      <c r="L10" s="55"/>
      <c r="M10" s="92">
        <f>K23</f>
        <v>0.23063301949749149</v>
      </c>
      <c r="N10" s="75"/>
      <c r="O10" s="14" t="s">
        <v>38</v>
      </c>
      <c r="P10" s="98"/>
      <c r="Q10" s="161"/>
      <c r="R10" s="142"/>
      <c r="S10" s="142"/>
      <c r="T10" s="47"/>
      <c r="U10" s="97"/>
      <c r="V10" s="66"/>
      <c r="AE10" s="152"/>
      <c r="AF10" s="42"/>
      <c r="AG10" s="42"/>
    </row>
    <row r="11" spans="1:40" ht="12.4" customHeight="1" x14ac:dyDescent="0.2">
      <c r="A11" s="174" t="s">
        <v>96</v>
      </c>
      <c r="B11" s="55"/>
      <c r="C11" s="55"/>
      <c r="D11" s="55"/>
      <c r="E11" s="75"/>
      <c r="F11" s="75"/>
      <c r="G11" s="75"/>
      <c r="H11" s="55"/>
      <c r="I11" s="156" t="str">
        <f>Table!L11</f>
        <v>Grain Density, grams/cc:</v>
      </c>
      <c r="M11" s="137">
        <f>L23</f>
        <v>2.6498834970880143</v>
      </c>
      <c r="N11" s="75"/>
      <c r="O11" s="14" t="s">
        <v>38</v>
      </c>
      <c r="P11" s="98"/>
      <c r="Q11" s="142"/>
      <c r="R11" s="127"/>
      <c r="S11" s="88"/>
      <c r="T11" s="88"/>
      <c r="U11" s="104"/>
      <c r="V11" s="82"/>
      <c r="AE11" s="152"/>
      <c r="AF11" s="42"/>
      <c r="AG11" s="42"/>
    </row>
    <row r="12" spans="1:40" ht="12.4" customHeight="1" x14ac:dyDescent="0.2">
      <c r="A12" s="8"/>
      <c r="B12" s="55"/>
      <c r="C12" s="55"/>
      <c r="D12" s="55"/>
      <c r="E12" s="55"/>
      <c r="F12" s="55"/>
      <c r="G12" s="55"/>
      <c r="H12" s="55"/>
      <c r="I12" s="55"/>
      <c r="J12" s="60"/>
      <c r="K12" s="55"/>
      <c r="L12" s="55"/>
      <c r="M12" s="92"/>
      <c r="N12" s="75"/>
      <c r="O12" s="27"/>
      <c r="P12" s="113"/>
      <c r="Q12" s="142"/>
      <c r="R12" s="161"/>
      <c r="S12" s="142"/>
      <c r="T12" s="16"/>
      <c r="U12" s="161"/>
      <c r="V12" s="82"/>
      <c r="AE12" s="42"/>
      <c r="AF12" s="42"/>
      <c r="AG12" s="42"/>
    </row>
    <row r="13" spans="1:40" ht="12.4" customHeight="1" x14ac:dyDescent="0.2">
      <c r="A13" s="30"/>
      <c r="B13" s="30" t="s">
        <v>57</v>
      </c>
      <c r="C13" s="30" t="s">
        <v>56</v>
      </c>
      <c r="D13" s="30" t="s">
        <v>57</v>
      </c>
      <c r="E13" s="30" t="s">
        <v>56</v>
      </c>
      <c r="F13" s="30" t="s">
        <v>90</v>
      </c>
      <c r="G13" s="146"/>
      <c r="H13" s="146"/>
      <c r="N13" s="75"/>
      <c r="O13" s="27"/>
      <c r="P13" s="113"/>
      <c r="Q13" s="142"/>
      <c r="R13" s="142"/>
      <c r="S13" s="142"/>
      <c r="T13" s="16"/>
      <c r="U13" s="142"/>
      <c r="V13" s="82"/>
      <c r="AE13" s="42"/>
      <c r="AF13" s="42"/>
      <c r="AG13" s="42"/>
    </row>
    <row r="14" spans="1:40" ht="12.4" customHeight="1" x14ac:dyDescent="0.2">
      <c r="A14" s="93" t="s">
        <v>84</v>
      </c>
      <c r="B14" s="93" t="s">
        <v>62</v>
      </c>
      <c r="C14" s="93" t="s">
        <v>62</v>
      </c>
      <c r="D14" s="93" t="s">
        <v>62</v>
      </c>
      <c r="E14" s="93" t="s">
        <v>62</v>
      </c>
      <c r="F14" s="93" t="s">
        <v>49</v>
      </c>
      <c r="G14" s="146"/>
      <c r="H14" s="146"/>
      <c r="I14" s="132"/>
      <c r="J14" s="132"/>
      <c r="K14" s="132"/>
      <c r="L14" s="132"/>
      <c r="M14" s="132"/>
      <c r="N14" s="75"/>
      <c r="O14" s="27"/>
      <c r="P14" s="113"/>
      <c r="Q14" s="142"/>
      <c r="R14" s="142"/>
      <c r="S14" s="142"/>
      <c r="T14" s="16"/>
      <c r="U14" s="142"/>
      <c r="V14" s="82"/>
      <c r="AE14" s="42"/>
      <c r="AF14" s="42"/>
      <c r="AG14" s="42"/>
    </row>
    <row r="15" spans="1:40" ht="12.4" customHeight="1" x14ac:dyDescent="0.2">
      <c r="A15" s="93" t="s">
        <v>77</v>
      </c>
      <c r="B15" s="93" t="s">
        <v>3</v>
      </c>
      <c r="C15" s="93" t="s">
        <v>3</v>
      </c>
      <c r="D15" s="93" t="s">
        <v>5</v>
      </c>
      <c r="E15" s="93" t="s">
        <v>5</v>
      </c>
      <c r="F15" s="93" t="s">
        <v>5</v>
      </c>
      <c r="G15" s="146"/>
      <c r="H15" s="146"/>
      <c r="I15" s="146"/>
      <c r="J15" s="146"/>
      <c r="K15" s="146"/>
      <c r="L15" s="132"/>
      <c r="M15" s="132"/>
      <c r="N15" s="55"/>
      <c r="O15" s="27"/>
      <c r="P15" s="113"/>
      <c r="Q15" s="142"/>
      <c r="R15" s="142"/>
      <c r="S15" s="142"/>
      <c r="T15" s="16"/>
      <c r="U15" s="142"/>
      <c r="V15" s="82"/>
      <c r="AE15" s="42"/>
      <c r="AF15" s="42"/>
      <c r="AG15" s="42"/>
    </row>
    <row r="16" spans="1:40" ht="12.4" customHeight="1" x14ac:dyDescent="0.2">
      <c r="A16" s="138" t="s">
        <v>48</v>
      </c>
      <c r="B16" s="138" t="s">
        <v>35</v>
      </c>
      <c r="C16" s="138" t="s">
        <v>35</v>
      </c>
      <c r="D16" s="138" t="s">
        <v>25</v>
      </c>
      <c r="E16" s="138" t="s">
        <v>25</v>
      </c>
      <c r="F16" s="138" t="s">
        <v>25</v>
      </c>
      <c r="G16" s="146"/>
      <c r="H16" s="146"/>
      <c r="I16" s="146"/>
      <c r="J16" s="146"/>
      <c r="K16" s="146"/>
      <c r="L16" s="146"/>
      <c r="M16" s="146"/>
      <c r="N16" s="55"/>
      <c r="O16" s="113"/>
      <c r="P16" s="113"/>
      <c r="Q16" s="161"/>
      <c r="R16" s="82"/>
      <c r="S16" s="82"/>
      <c r="T16" s="82"/>
      <c r="U16" s="82"/>
      <c r="V16" s="82"/>
      <c r="AE16" s="42"/>
      <c r="AF16" s="42"/>
      <c r="AG16" s="42"/>
    </row>
    <row r="17" spans="1:35" ht="12.4" customHeight="1" x14ac:dyDescent="0.2">
      <c r="A17" s="75"/>
      <c r="B17" s="75"/>
      <c r="E17" s="75"/>
      <c r="F17" s="75"/>
      <c r="G17" s="75"/>
      <c r="H17" s="75"/>
      <c r="I17" s="75"/>
      <c r="J17" s="75"/>
      <c r="K17" s="75"/>
      <c r="L17" s="75"/>
      <c r="M17" s="75"/>
      <c r="N17" s="55"/>
      <c r="O17" s="113"/>
      <c r="P17" s="113"/>
      <c r="Q17" s="147"/>
      <c r="R17" s="161"/>
      <c r="S17" s="161"/>
      <c r="T17" s="123"/>
      <c r="U17" s="82"/>
      <c r="V17" s="82"/>
      <c r="AE17" s="42"/>
      <c r="AF17" s="42"/>
      <c r="AG17" s="42"/>
    </row>
    <row r="18" spans="1:35" ht="12.4" customHeight="1" x14ac:dyDescent="0.2">
      <c r="A18" s="49">
        <v>1.5111188888549805</v>
      </c>
      <c r="B18" s="69">
        <v>0</v>
      </c>
      <c r="C18" s="150">
        <f t="shared" ref="C18:C49" si="0">IF(B18-I$27&lt;0,0,B18-I$27)</f>
        <v>0</v>
      </c>
      <c r="D18" s="150">
        <f t="shared" ref="D18:D136" si="1">B18/$B$136</f>
        <v>0</v>
      </c>
      <c r="E18" s="150">
        <f t="shared" ref="E18:E49" si="2">C18/$H$23</f>
        <v>0</v>
      </c>
      <c r="F18" s="150">
        <f t="shared" ref="F18:F136" si="3">E18-E17</f>
        <v>0</v>
      </c>
      <c r="G18" s="150"/>
      <c r="H18" s="126" t="s">
        <v>76</v>
      </c>
      <c r="I18" s="141"/>
      <c r="J18" s="141"/>
      <c r="K18" s="141"/>
      <c r="L18" s="141"/>
      <c r="M18" s="48"/>
      <c r="O18" s="49"/>
      <c r="P18" s="113"/>
      <c r="Q18" s="83"/>
      <c r="R18" s="118"/>
      <c r="S18" s="149"/>
      <c r="T18" s="124"/>
      <c r="U18" s="124"/>
      <c r="V18" s="124"/>
      <c r="W18" s="135"/>
      <c r="X18" s="83"/>
      <c r="AG18" s="42"/>
      <c r="AH18" s="42"/>
      <c r="AI18" s="42"/>
    </row>
    <row r="19" spans="1:35" ht="12.4" customHeight="1" x14ac:dyDescent="0.2">
      <c r="A19" s="49">
        <v>1.5927377939224243</v>
      </c>
      <c r="B19" s="69">
        <v>0</v>
      </c>
      <c r="C19" s="150">
        <f t="shared" si="0"/>
        <v>0</v>
      </c>
      <c r="D19" s="150">
        <f t="shared" si="1"/>
        <v>0</v>
      </c>
      <c r="E19" s="150">
        <f t="shared" si="2"/>
        <v>0</v>
      </c>
      <c r="F19" s="150">
        <f t="shared" si="3"/>
        <v>0</v>
      </c>
      <c r="G19" s="150"/>
      <c r="H19" s="30" t="s">
        <v>88</v>
      </c>
      <c r="I19" s="30" t="s">
        <v>2</v>
      </c>
      <c r="J19" s="30" t="s">
        <v>83</v>
      </c>
      <c r="K19" s="30"/>
      <c r="L19" s="30" t="s">
        <v>83</v>
      </c>
      <c r="M19" s="30" t="s">
        <v>15</v>
      </c>
      <c r="O19" s="49"/>
      <c r="P19" s="113"/>
      <c r="Q19" s="83"/>
      <c r="R19" s="118"/>
      <c r="S19" s="146"/>
      <c r="T19" s="146"/>
      <c r="U19" s="146"/>
      <c r="V19" s="146"/>
      <c r="W19" s="135"/>
      <c r="X19" s="83"/>
      <c r="AG19" s="42"/>
      <c r="AH19" s="42"/>
      <c r="AI19" s="42"/>
    </row>
    <row r="20" spans="1:35" ht="12.4" customHeight="1" x14ac:dyDescent="0.2">
      <c r="A20" s="49">
        <v>1.8091528415679932</v>
      </c>
      <c r="B20" s="69">
        <v>9.883681128922035E-4</v>
      </c>
      <c r="C20" s="150">
        <f t="shared" si="0"/>
        <v>0</v>
      </c>
      <c r="D20" s="150">
        <f t="shared" si="1"/>
        <v>8.8073190086813459E-4</v>
      </c>
      <c r="E20" s="150">
        <f t="shared" si="2"/>
        <v>0</v>
      </c>
      <c r="F20" s="150">
        <f t="shared" si="3"/>
        <v>0</v>
      </c>
      <c r="G20" s="150"/>
      <c r="H20" s="93" t="s">
        <v>3</v>
      </c>
      <c r="I20" s="93" t="s">
        <v>3</v>
      </c>
      <c r="J20" s="93" t="s">
        <v>3</v>
      </c>
      <c r="K20" s="93" t="s">
        <v>61</v>
      </c>
      <c r="L20" s="93" t="s">
        <v>39</v>
      </c>
      <c r="M20" s="93" t="s">
        <v>9</v>
      </c>
      <c r="O20" s="49"/>
      <c r="P20" s="113"/>
      <c r="Q20" s="83"/>
      <c r="R20" s="118"/>
      <c r="S20" s="146"/>
      <c r="T20" s="146"/>
      <c r="U20" s="146"/>
      <c r="V20" s="146"/>
      <c r="W20" s="135"/>
      <c r="X20" s="83"/>
      <c r="AG20" s="42"/>
      <c r="AH20" s="42"/>
      <c r="AI20" s="42"/>
    </row>
    <row r="21" spans="1:35" ht="12.4" customHeight="1" x14ac:dyDescent="0.2">
      <c r="A21" s="49">
        <v>2.0080840587615967</v>
      </c>
      <c r="B21" s="69">
        <v>2.1827788660739316E-3</v>
      </c>
      <c r="C21" s="150">
        <f t="shared" si="0"/>
        <v>0</v>
      </c>
      <c r="D21" s="150">
        <f t="shared" si="1"/>
        <v>1.9450677888287525E-3</v>
      </c>
      <c r="E21" s="150">
        <f t="shared" si="2"/>
        <v>0</v>
      </c>
      <c r="F21" s="150">
        <f t="shared" si="3"/>
        <v>0</v>
      </c>
      <c r="G21" s="150"/>
      <c r="H21" s="138" t="s">
        <v>35</v>
      </c>
      <c r="I21" s="138" t="s">
        <v>35</v>
      </c>
      <c r="J21" s="138" t="s">
        <v>35</v>
      </c>
      <c r="K21" s="138" t="s">
        <v>25</v>
      </c>
      <c r="L21" s="138" t="s">
        <v>26</v>
      </c>
      <c r="M21" s="138" t="s">
        <v>18</v>
      </c>
      <c r="O21" s="49"/>
      <c r="P21" s="113"/>
      <c r="Q21" s="83"/>
      <c r="R21" s="118"/>
      <c r="S21" s="146"/>
      <c r="T21" s="146"/>
      <c r="U21" s="146"/>
      <c r="V21" s="146"/>
      <c r="W21" s="135"/>
      <c r="X21" s="83"/>
      <c r="AG21" s="87"/>
      <c r="AH21" s="42"/>
      <c r="AI21" s="42"/>
    </row>
    <row r="22" spans="1:35" ht="12.4" customHeight="1" x14ac:dyDescent="0.2">
      <c r="A22" s="49">
        <v>2.1665682792663574</v>
      </c>
      <c r="B22" s="69">
        <v>2.9810555302246938E-3</v>
      </c>
      <c r="C22" s="150">
        <f t="shared" si="0"/>
        <v>0</v>
      </c>
      <c r="D22" s="150">
        <f t="shared" si="1"/>
        <v>2.6564097621941504E-3</v>
      </c>
      <c r="E22" s="150">
        <f t="shared" si="2"/>
        <v>0</v>
      </c>
      <c r="F22" s="150">
        <f t="shared" si="3"/>
        <v>0</v>
      </c>
      <c r="G22" s="150"/>
      <c r="H22" s="78"/>
      <c r="I22" s="49"/>
      <c r="J22" s="49"/>
      <c r="K22" s="49"/>
      <c r="L22" s="49"/>
      <c r="M22" s="49"/>
      <c r="O22" s="49"/>
      <c r="P22" s="113"/>
      <c r="Q22" s="83"/>
      <c r="R22" s="118"/>
      <c r="S22" s="3"/>
      <c r="T22" s="135"/>
      <c r="U22" s="135"/>
      <c r="V22" s="135"/>
      <c r="W22" s="135"/>
      <c r="X22" s="83"/>
      <c r="AG22" s="87"/>
      <c r="AH22" s="42"/>
      <c r="AI22" s="42"/>
    </row>
    <row r="23" spans="1:35" ht="12.4" customHeight="1" x14ac:dyDescent="0.2">
      <c r="A23" s="49">
        <v>2.3601815700531006</v>
      </c>
      <c r="B23" s="69">
        <v>5.270732315315399E-3</v>
      </c>
      <c r="C23" s="150">
        <f t="shared" si="0"/>
        <v>0</v>
      </c>
      <c r="D23" s="150">
        <f t="shared" si="1"/>
        <v>4.6967339703533383E-3</v>
      </c>
      <c r="E23" s="150">
        <f t="shared" si="2"/>
        <v>0</v>
      </c>
      <c r="F23" s="150">
        <f t="shared" si="3"/>
        <v>0</v>
      </c>
      <c r="G23" s="150"/>
      <c r="H23" s="11">
        <f>C136</f>
        <v>1.10738717504331</v>
      </c>
      <c r="I23" s="11">
        <f>(Table!AJ5-(Table!AJ4-Table!AJ2-'Raw Data'!M23)/Table!AJ3)-'Raw Data'!I27</f>
        <v>4.8015118453381502</v>
      </c>
      <c r="J23" s="11">
        <f>I23-H23</f>
        <v>3.6941246702948405</v>
      </c>
      <c r="K23" s="133">
        <f>H23/I23</f>
        <v>0.23063301949749149</v>
      </c>
      <c r="L23" s="11">
        <f>M23/J23</f>
        <v>2.6498834970880143</v>
      </c>
      <c r="M23" s="11">
        <v>9.7889999999999997</v>
      </c>
      <c r="O23" s="99"/>
      <c r="P23" s="113"/>
      <c r="Q23" s="83"/>
      <c r="R23" s="118"/>
      <c r="S23" s="154"/>
      <c r="T23" s="154"/>
      <c r="U23" s="154"/>
      <c r="V23" s="154"/>
      <c r="W23" s="135"/>
      <c r="X23" s="83"/>
      <c r="AG23" s="87"/>
      <c r="AH23" s="42"/>
      <c r="AI23" s="42"/>
    </row>
    <row r="24" spans="1:35" ht="12.4" customHeight="1" x14ac:dyDescent="0.2">
      <c r="A24" s="49">
        <v>2.5801417827606201</v>
      </c>
      <c r="B24" s="69">
        <v>6.0647886518854647E-3</v>
      </c>
      <c r="C24" s="150">
        <f t="shared" si="0"/>
        <v>0</v>
      </c>
      <c r="D24" s="150">
        <f t="shared" si="1"/>
        <v>5.404315222299309E-3</v>
      </c>
      <c r="E24" s="150">
        <f t="shared" si="2"/>
        <v>0</v>
      </c>
      <c r="F24" s="150">
        <f t="shared" si="3"/>
        <v>0</v>
      </c>
      <c r="G24" s="150"/>
      <c r="H24" s="78"/>
      <c r="I24" s="49"/>
      <c r="J24" s="49"/>
      <c r="K24" s="49"/>
      <c r="L24" s="49"/>
      <c r="M24" s="160"/>
      <c r="O24" s="49"/>
      <c r="P24" s="113"/>
      <c r="Q24" s="83"/>
      <c r="R24" s="118"/>
      <c r="S24" s="82"/>
      <c r="T24" s="82"/>
      <c r="U24" s="82"/>
      <c r="V24" s="82"/>
      <c r="W24" s="135"/>
      <c r="X24" s="83"/>
      <c r="AG24" s="87"/>
      <c r="AH24" s="42"/>
      <c r="AI24" s="42"/>
    </row>
    <row r="25" spans="1:35" ht="12.4" customHeight="1" x14ac:dyDescent="0.2">
      <c r="A25" s="49">
        <v>2.8124294281005859</v>
      </c>
      <c r="B25" s="69">
        <v>6.9120592637336815E-3</v>
      </c>
      <c r="C25" s="150">
        <f t="shared" si="0"/>
        <v>0</v>
      </c>
      <c r="D25" s="150">
        <f t="shared" si="1"/>
        <v>6.1593155574873517E-3</v>
      </c>
      <c r="E25" s="150">
        <f t="shared" si="2"/>
        <v>0</v>
      </c>
      <c r="F25" s="150">
        <f t="shared" si="3"/>
        <v>0</v>
      </c>
      <c r="G25" s="150"/>
      <c r="I25" s="166" t="s">
        <v>36</v>
      </c>
      <c r="J25" s="167"/>
      <c r="K25" s="166" t="s">
        <v>64</v>
      </c>
      <c r="L25" s="167"/>
      <c r="M25" s="3"/>
      <c r="O25" s="49"/>
      <c r="P25" s="113"/>
      <c r="Q25" s="83"/>
      <c r="R25" s="118"/>
      <c r="S25" s="149"/>
      <c r="T25" s="124"/>
      <c r="U25" s="124"/>
      <c r="V25" s="124"/>
      <c r="W25" s="135"/>
      <c r="X25" s="83"/>
      <c r="AG25" s="72"/>
      <c r="AH25" s="42"/>
      <c r="AI25" s="42"/>
    </row>
    <row r="26" spans="1:35" ht="12.4" customHeight="1" x14ac:dyDescent="0.2">
      <c r="A26" s="49">
        <v>3.0823440551757812</v>
      </c>
      <c r="B26" s="69">
        <v>7.7623167398851367E-3</v>
      </c>
      <c r="C26" s="150">
        <f t="shared" si="0"/>
        <v>0</v>
      </c>
      <c r="D26" s="150">
        <f t="shared" si="1"/>
        <v>6.9169774786180336E-3</v>
      </c>
      <c r="E26" s="150">
        <f t="shared" si="2"/>
        <v>0</v>
      </c>
      <c r="F26" s="150">
        <f t="shared" si="3"/>
        <v>0</v>
      </c>
      <c r="G26" s="150"/>
      <c r="I26" s="168" t="s">
        <v>35</v>
      </c>
      <c r="J26" s="169"/>
      <c r="K26" s="168" t="s">
        <v>48</v>
      </c>
      <c r="L26" s="169"/>
      <c r="M26" s="82"/>
      <c r="O26" s="49"/>
      <c r="P26" s="113"/>
      <c r="Q26" s="83"/>
      <c r="R26" s="118"/>
      <c r="S26" s="146"/>
      <c r="T26" s="146"/>
      <c r="U26" s="146"/>
      <c r="V26" s="146"/>
      <c r="W26" s="135"/>
      <c r="X26" s="83"/>
      <c r="AG26" s="72"/>
      <c r="AH26" s="42"/>
      <c r="AI26" s="42"/>
    </row>
    <row r="27" spans="1:35" ht="12.4" customHeight="1" x14ac:dyDescent="0.2">
      <c r="A27" s="49">
        <v>3.380378246307373</v>
      </c>
      <c r="B27" s="69">
        <v>8.2575880716321982E-3</v>
      </c>
      <c r="C27" s="150">
        <f t="shared" si="0"/>
        <v>0</v>
      </c>
      <c r="D27" s="150">
        <f t="shared" si="1"/>
        <v>7.3583122968555953E-3</v>
      </c>
      <c r="E27" s="150">
        <f t="shared" si="2"/>
        <v>0</v>
      </c>
      <c r="F27" s="150">
        <f t="shared" si="3"/>
        <v>0</v>
      </c>
      <c r="G27" s="150"/>
      <c r="I27" s="125">
        <v>1.4825057666748761E-2</v>
      </c>
      <c r="J27" s="105"/>
      <c r="K27" s="59">
        <f ca="1">LOOKUP(I27,B$18:B$136,OFFSET(A$18:A$136,1,0))</f>
        <v>14.174222946166992</v>
      </c>
      <c r="L27" s="105"/>
      <c r="M27" s="32"/>
      <c r="O27" s="49"/>
      <c r="P27" s="113"/>
      <c r="Q27" s="83"/>
      <c r="R27" s="118"/>
      <c r="S27" s="146"/>
      <c r="T27" s="146"/>
      <c r="U27" s="146"/>
      <c r="V27" s="146"/>
      <c r="W27" s="135"/>
      <c r="X27" s="83"/>
      <c r="AG27" s="72"/>
      <c r="AH27" s="42"/>
      <c r="AI27" s="42"/>
    </row>
    <row r="28" spans="1:35" ht="12.4" customHeight="1" x14ac:dyDescent="0.2">
      <c r="A28" s="49">
        <v>3.6872751712799072</v>
      </c>
      <c r="B28" s="69">
        <v>8.804676541825757E-3</v>
      </c>
      <c r="C28" s="150">
        <f t="shared" si="0"/>
        <v>0</v>
      </c>
      <c r="D28" s="150">
        <f t="shared" si="1"/>
        <v>7.845821213838599E-3</v>
      </c>
      <c r="E28" s="150">
        <f t="shared" si="2"/>
        <v>0</v>
      </c>
      <c r="F28" s="150">
        <f t="shared" si="3"/>
        <v>0</v>
      </c>
      <c r="G28" s="150"/>
      <c r="O28" s="49"/>
      <c r="P28" s="113"/>
      <c r="Q28" s="83"/>
      <c r="R28" s="118"/>
      <c r="S28" s="146"/>
      <c r="T28" s="146"/>
      <c r="U28" s="146"/>
      <c r="V28" s="146"/>
      <c r="W28" s="135"/>
      <c r="X28" s="83"/>
      <c r="AG28" s="72"/>
      <c r="AH28" s="42"/>
      <c r="AI28" s="42"/>
    </row>
    <row r="29" spans="1:35" ht="12.4" customHeight="1" x14ac:dyDescent="0.2">
      <c r="A29" s="49">
        <v>4.0374388694763184</v>
      </c>
      <c r="B29" s="69">
        <v>9.0528518033679579E-3</v>
      </c>
      <c r="C29" s="150">
        <f t="shared" si="0"/>
        <v>0</v>
      </c>
      <c r="D29" s="150">
        <f t="shared" si="1"/>
        <v>8.0669694550610949E-3</v>
      </c>
      <c r="E29" s="150">
        <f t="shared" si="2"/>
        <v>0</v>
      </c>
      <c r="F29" s="150">
        <f t="shared" si="3"/>
        <v>0</v>
      </c>
      <c r="G29" s="150"/>
      <c r="O29" s="49"/>
      <c r="P29" s="113"/>
      <c r="Q29" s="83"/>
      <c r="R29" s="118"/>
      <c r="S29" s="3"/>
      <c r="T29" s="135"/>
      <c r="U29" s="135"/>
      <c r="V29" s="135"/>
      <c r="W29" s="135"/>
      <c r="X29" s="83"/>
      <c r="AG29" s="122"/>
      <c r="AH29" s="42"/>
      <c r="AI29" s="42"/>
    </row>
    <row r="30" spans="1:35" ht="12.4" customHeight="1" x14ac:dyDescent="0.2">
      <c r="A30" s="49">
        <v>4.4162859916687012</v>
      </c>
      <c r="B30" s="69">
        <v>9.2997444568318315E-3</v>
      </c>
      <c r="C30" s="150">
        <f t="shared" si="0"/>
        <v>0</v>
      </c>
      <c r="D30" s="150">
        <f t="shared" si="1"/>
        <v>8.2869747680201656E-3</v>
      </c>
      <c r="E30" s="150">
        <f t="shared" si="2"/>
        <v>0</v>
      </c>
      <c r="F30" s="150">
        <f t="shared" si="3"/>
        <v>0</v>
      </c>
      <c r="G30" s="150"/>
      <c r="N30" s="112"/>
      <c r="O30" s="150"/>
      <c r="P30" s="113"/>
      <c r="Q30" s="82"/>
      <c r="R30" s="118"/>
      <c r="S30" s="154"/>
      <c r="T30" s="154"/>
      <c r="U30" s="154"/>
      <c r="V30" s="154"/>
      <c r="W30" s="35"/>
      <c r="X30" s="74"/>
    </row>
    <row r="31" spans="1:35" ht="12.4" customHeight="1" x14ac:dyDescent="0.2">
      <c r="A31" s="49">
        <v>4.8212385177612305</v>
      </c>
      <c r="B31" s="69">
        <v>9.6478178508114069E-3</v>
      </c>
      <c r="C31" s="150">
        <f t="shared" si="0"/>
        <v>0</v>
      </c>
      <c r="D31" s="150">
        <f t="shared" si="1"/>
        <v>8.5971419394642017E-3</v>
      </c>
      <c r="E31" s="150">
        <f t="shared" si="2"/>
        <v>0</v>
      </c>
      <c r="F31" s="150">
        <f t="shared" si="3"/>
        <v>0</v>
      </c>
      <c r="G31" s="150"/>
      <c r="O31" s="33"/>
      <c r="P31" s="113"/>
      <c r="Q31" s="154"/>
      <c r="R31" s="82"/>
      <c r="S31" s="82"/>
      <c r="T31" s="82"/>
      <c r="U31" s="82"/>
      <c r="V31" s="82"/>
    </row>
    <row r="32" spans="1:35" ht="12.4" customHeight="1" x14ac:dyDescent="0.2">
      <c r="A32" s="49">
        <v>5.2617230415344238</v>
      </c>
      <c r="B32" s="69">
        <v>9.9465270729269823E-3</v>
      </c>
      <c r="C32" s="150">
        <f t="shared" si="0"/>
        <v>0</v>
      </c>
      <c r="D32" s="150">
        <f t="shared" si="1"/>
        <v>8.8633208434262586E-3</v>
      </c>
      <c r="E32" s="150">
        <f t="shared" si="2"/>
        <v>0</v>
      </c>
      <c r="F32" s="150">
        <f t="shared" si="3"/>
        <v>0</v>
      </c>
      <c r="G32" s="150"/>
      <c r="N32" s="160"/>
      <c r="O32" s="33"/>
      <c r="P32" s="113"/>
      <c r="Q32" s="154"/>
      <c r="R32" s="82"/>
      <c r="S32" s="82"/>
      <c r="T32" s="82"/>
      <c r="U32" s="82"/>
      <c r="V32" s="82"/>
    </row>
    <row r="33" spans="1:22" ht="12.4" customHeight="1" x14ac:dyDescent="0.2">
      <c r="A33" s="49">
        <v>5.769646167755127</v>
      </c>
      <c r="B33" s="69">
        <v>1.0195072701084428E-2</v>
      </c>
      <c r="C33" s="150">
        <f t="shared" si="0"/>
        <v>0</v>
      </c>
      <c r="D33" s="150">
        <f t="shared" si="1"/>
        <v>9.0847991172437036E-3</v>
      </c>
      <c r="E33" s="150">
        <f t="shared" si="2"/>
        <v>0</v>
      </c>
      <c r="F33" s="150">
        <f t="shared" si="3"/>
        <v>0</v>
      </c>
      <c r="G33" s="150"/>
      <c r="N33" s="160"/>
      <c r="O33" s="33"/>
      <c r="P33" s="113"/>
      <c r="Q33" s="154"/>
      <c r="R33" s="82"/>
      <c r="S33" s="82"/>
      <c r="T33" s="82"/>
      <c r="U33" s="82"/>
      <c r="V33" s="82"/>
    </row>
    <row r="34" spans="1:22" ht="12.4" customHeight="1" x14ac:dyDescent="0.2">
      <c r="A34" s="49">
        <v>6.3070578575134277</v>
      </c>
      <c r="B34" s="69">
        <v>1.0593431055312975E-2</v>
      </c>
      <c r="C34" s="150">
        <f t="shared" si="0"/>
        <v>0</v>
      </c>
      <c r="D34" s="150">
        <f t="shared" si="1"/>
        <v>9.4397750679750033E-3</v>
      </c>
      <c r="E34" s="150">
        <f t="shared" si="2"/>
        <v>0</v>
      </c>
      <c r="F34" s="150">
        <f t="shared" si="3"/>
        <v>0</v>
      </c>
      <c r="G34" s="150"/>
      <c r="N34" s="160"/>
      <c r="O34" s="33"/>
      <c r="P34" s="113"/>
      <c r="Q34" s="154"/>
      <c r="R34" s="82"/>
      <c r="S34" s="82"/>
      <c r="T34" s="82"/>
      <c r="U34" s="82"/>
      <c r="V34" s="82"/>
    </row>
    <row r="35" spans="1:22" ht="12.4" customHeight="1" x14ac:dyDescent="0.2">
      <c r="A35" s="49">
        <v>6.8961162567138672</v>
      </c>
      <c r="B35" s="69">
        <v>1.0892275888589211E-2</v>
      </c>
      <c r="C35" s="150">
        <f t="shared" si="0"/>
        <v>0</v>
      </c>
      <c r="D35" s="150">
        <f t="shared" si="1"/>
        <v>9.706074814641058E-3</v>
      </c>
      <c r="E35" s="150">
        <f t="shared" si="2"/>
        <v>0</v>
      </c>
      <c r="F35" s="150">
        <f t="shared" si="3"/>
        <v>0</v>
      </c>
      <c r="G35" s="150"/>
      <c r="H35" s="78"/>
      <c r="I35" s="49"/>
      <c r="J35" s="49"/>
      <c r="K35" s="135"/>
      <c r="L35" s="135"/>
      <c r="M35" s="135"/>
      <c r="N35" s="160"/>
      <c r="O35" s="33"/>
      <c r="P35" s="113"/>
      <c r="Q35" s="154"/>
      <c r="R35" s="82"/>
      <c r="S35" s="82"/>
      <c r="T35" s="82"/>
      <c r="U35" s="82"/>
      <c r="V35" s="82"/>
    </row>
    <row r="36" spans="1:22" ht="12.4" customHeight="1" x14ac:dyDescent="0.2">
      <c r="A36" s="49">
        <v>7.5426220893859863</v>
      </c>
      <c r="B36" s="69">
        <v>1.1091227717581205E-2</v>
      </c>
      <c r="C36" s="150">
        <f t="shared" si="0"/>
        <v>0</v>
      </c>
      <c r="D36" s="150">
        <f t="shared" si="1"/>
        <v>9.883360200767655E-3</v>
      </c>
      <c r="E36" s="150">
        <f t="shared" si="2"/>
        <v>0</v>
      </c>
      <c r="F36" s="150">
        <f t="shared" si="3"/>
        <v>0</v>
      </c>
      <c r="G36" s="150"/>
      <c r="H36" s="78"/>
      <c r="I36" s="49"/>
      <c r="J36" s="49"/>
      <c r="K36" s="49"/>
      <c r="L36" s="49"/>
      <c r="M36" s="49"/>
      <c r="N36" s="160"/>
      <c r="O36" s="33"/>
      <c r="P36" s="113"/>
      <c r="Q36" s="154"/>
      <c r="R36" s="82"/>
      <c r="S36" s="82"/>
      <c r="T36" s="82"/>
      <c r="U36" s="82"/>
      <c r="V36" s="82"/>
    </row>
    <row r="37" spans="1:22" ht="12.4" customHeight="1" x14ac:dyDescent="0.2">
      <c r="A37" s="49">
        <v>8.2507648468017578</v>
      </c>
      <c r="B37" s="69">
        <v>1.1489396899938583E-2</v>
      </c>
      <c r="C37" s="150">
        <f t="shared" si="0"/>
        <v>0</v>
      </c>
      <c r="D37" s="150">
        <f t="shared" si="1"/>
        <v>1.0238167581004305E-2</v>
      </c>
      <c r="E37" s="150">
        <f t="shared" si="2"/>
        <v>0</v>
      </c>
      <c r="F37" s="150">
        <f t="shared" si="3"/>
        <v>0</v>
      </c>
      <c r="G37" s="150"/>
      <c r="H37" s="78"/>
      <c r="I37" s="49"/>
      <c r="J37" s="49"/>
      <c r="K37" s="49"/>
      <c r="L37" s="49"/>
      <c r="M37" s="49"/>
      <c r="N37" s="160"/>
      <c r="O37" s="33"/>
      <c r="P37" s="113"/>
      <c r="Q37" s="154"/>
      <c r="R37" s="82"/>
      <c r="S37" s="82"/>
      <c r="T37" s="82"/>
      <c r="U37" s="82"/>
      <c r="V37" s="82"/>
    </row>
    <row r="38" spans="1:22" ht="12.4" customHeight="1" x14ac:dyDescent="0.2">
      <c r="A38" s="49">
        <v>9.032470703125</v>
      </c>
      <c r="B38" s="69">
        <v>1.19379860839108E-2</v>
      </c>
      <c r="C38" s="150">
        <f t="shared" si="0"/>
        <v>0</v>
      </c>
      <c r="D38" s="150">
        <f t="shared" si="1"/>
        <v>1.0637904075489762E-2</v>
      </c>
      <c r="E38" s="150">
        <f t="shared" si="2"/>
        <v>0</v>
      </c>
      <c r="F38" s="150">
        <f t="shared" si="3"/>
        <v>0</v>
      </c>
      <c r="G38" s="150"/>
      <c r="N38" s="160"/>
      <c r="O38" s="33"/>
      <c r="P38" s="113"/>
      <c r="Q38" s="154"/>
      <c r="R38" s="82"/>
      <c r="S38" s="82"/>
      <c r="T38" s="82"/>
      <c r="U38" s="82"/>
      <c r="V38" s="82"/>
    </row>
    <row r="39" spans="1:22" ht="12.4" customHeight="1" x14ac:dyDescent="0.2">
      <c r="A39" s="49">
        <v>9.8776664733886719</v>
      </c>
      <c r="B39" s="69">
        <v>1.2237130629247986E-2</v>
      </c>
      <c r="C39" s="150">
        <f t="shared" si="0"/>
        <v>0</v>
      </c>
      <c r="D39" s="150">
        <f t="shared" si="1"/>
        <v>1.0904470894686496E-2</v>
      </c>
      <c r="E39" s="150">
        <f t="shared" si="2"/>
        <v>0</v>
      </c>
      <c r="F39" s="150">
        <f t="shared" si="3"/>
        <v>0</v>
      </c>
      <c r="G39" s="150"/>
      <c r="N39" s="160"/>
      <c r="O39" s="33"/>
      <c r="P39" s="113"/>
      <c r="Q39" s="154"/>
      <c r="R39" s="82"/>
      <c r="S39" s="82"/>
      <c r="T39" s="82"/>
      <c r="U39" s="82"/>
      <c r="V39" s="82"/>
    </row>
    <row r="40" spans="1:22" ht="12.4" customHeight="1" x14ac:dyDescent="0.2">
      <c r="A40" s="49">
        <v>10.784820556640625</v>
      </c>
      <c r="B40" s="69">
        <v>1.268486512103118E-2</v>
      </c>
      <c r="C40" s="150">
        <f t="shared" si="0"/>
        <v>0</v>
      </c>
      <c r="D40" s="150">
        <f t="shared" si="1"/>
        <v>1.1303445775491305E-2</v>
      </c>
      <c r="E40" s="150">
        <f t="shared" si="2"/>
        <v>0</v>
      </c>
      <c r="F40" s="150">
        <f t="shared" si="3"/>
        <v>0</v>
      </c>
      <c r="G40" s="150"/>
      <c r="N40" s="160"/>
      <c r="O40" s="33"/>
      <c r="P40" s="113"/>
      <c r="Q40" s="154"/>
      <c r="R40" s="82"/>
      <c r="S40" s="82"/>
      <c r="T40" s="82"/>
      <c r="U40" s="82"/>
      <c r="V40" s="82"/>
    </row>
    <row r="41" spans="1:22" ht="12.4" customHeight="1" x14ac:dyDescent="0.2">
      <c r="A41" s="49">
        <v>11.881881713867188</v>
      </c>
      <c r="B41" s="69">
        <v>1.3033108883653766E-2</v>
      </c>
      <c r="C41" s="150">
        <f t="shared" si="0"/>
        <v>0</v>
      </c>
      <c r="D41" s="150">
        <f t="shared" si="1"/>
        <v>1.1613764761929017E-2</v>
      </c>
      <c r="E41" s="150">
        <f t="shared" si="2"/>
        <v>0</v>
      </c>
      <c r="F41" s="150">
        <f t="shared" si="3"/>
        <v>0</v>
      </c>
      <c r="G41" s="150"/>
      <c r="N41" s="160"/>
      <c r="O41" s="33"/>
      <c r="P41" s="113"/>
      <c r="Q41" s="154"/>
      <c r="R41" s="82"/>
      <c r="S41" s="82"/>
      <c r="T41" s="82"/>
      <c r="U41" s="82"/>
      <c r="V41" s="82"/>
    </row>
    <row r="42" spans="1:22" ht="12.4" customHeight="1" x14ac:dyDescent="0.2">
      <c r="A42" s="49">
        <v>12.879276275634766</v>
      </c>
      <c r="B42" s="69">
        <v>1.4825057666748761E-2</v>
      </c>
      <c r="C42" s="150">
        <f t="shared" si="0"/>
        <v>0</v>
      </c>
      <c r="D42" s="150">
        <f t="shared" si="1"/>
        <v>1.3210565020261232E-2</v>
      </c>
      <c r="E42" s="150">
        <f t="shared" si="2"/>
        <v>0</v>
      </c>
      <c r="F42" s="150">
        <f t="shared" si="3"/>
        <v>0</v>
      </c>
      <c r="G42" s="150"/>
      <c r="H42" s="78"/>
      <c r="I42" s="49"/>
      <c r="J42" s="49"/>
      <c r="K42" s="49"/>
      <c r="L42" s="49"/>
      <c r="M42" s="49"/>
      <c r="N42" s="160"/>
      <c r="O42" s="33"/>
      <c r="P42" s="113"/>
      <c r="Q42" s="154"/>
      <c r="R42" s="82"/>
      <c r="S42" s="82"/>
      <c r="T42" s="82"/>
      <c r="U42" s="82"/>
      <c r="V42" s="82"/>
    </row>
    <row r="43" spans="1:22" ht="12.4" customHeight="1" x14ac:dyDescent="0.2">
      <c r="A43" s="49">
        <v>14.174222946166992</v>
      </c>
      <c r="B43" s="69">
        <v>1.6168868543347342E-2</v>
      </c>
      <c r="C43" s="150">
        <f t="shared" si="0"/>
        <v>1.343810876598581E-3</v>
      </c>
      <c r="D43" s="150">
        <f t="shared" si="1"/>
        <v>1.4408030916131374E-2</v>
      </c>
      <c r="E43" s="150">
        <f t="shared" si="2"/>
        <v>1.2134968752424142E-3</v>
      </c>
      <c r="F43" s="150">
        <f t="shared" si="3"/>
        <v>1.2134968752424142E-3</v>
      </c>
      <c r="G43" s="150"/>
      <c r="H43" s="78"/>
      <c r="I43" s="49"/>
      <c r="J43" s="49"/>
      <c r="K43" s="49"/>
      <c r="L43" s="49"/>
      <c r="M43" s="22"/>
      <c r="N43" s="160"/>
      <c r="O43" s="33"/>
      <c r="P43" s="113"/>
      <c r="Q43" s="154"/>
      <c r="R43" s="82"/>
      <c r="S43" s="82"/>
      <c r="T43" s="82"/>
      <c r="U43" s="82"/>
      <c r="V43" s="82"/>
    </row>
    <row r="44" spans="1:22" ht="12.4" customHeight="1" x14ac:dyDescent="0.2">
      <c r="A44" s="49">
        <v>15.475774765014648</v>
      </c>
      <c r="B44" s="69">
        <v>1.8607927574543281E-2</v>
      </c>
      <c r="C44" s="150">
        <f t="shared" si="0"/>
        <v>3.7828699077945196E-3</v>
      </c>
      <c r="D44" s="150">
        <f t="shared" si="1"/>
        <v>1.6581469201780597E-2</v>
      </c>
      <c r="E44" s="150">
        <f t="shared" si="2"/>
        <v>3.4160318929525001E-3</v>
      </c>
      <c r="F44" s="150">
        <f t="shared" si="3"/>
        <v>2.2025350177100858E-3</v>
      </c>
      <c r="G44" s="150"/>
      <c r="H44" s="78"/>
      <c r="I44" s="49"/>
      <c r="J44" s="49"/>
      <c r="K44" s="49"/>
      <c r="L44" s="49"/>
      <c r="M44" s="22"/>
      <c r="N44" s="160"/>
      <c r="O44" s="33"/>
      <c r="P44" s="113"/>
      <c r="Q44" s="154"/>
      <c r="R44" s="82"/>
      <c r="S44" s="82"/>
      <c r="T44" s="82"/>
      <c r="U44" s="82"/>
      <c r="V44" s="82"/>
    </row>
    <row r="45" spans="1:22" ht="12.4" customHeight="1" x14ac:dyDescent="0.2">
      <c r="A45" s="49">
        <v>16.869663238525391</v>
      </c>
      <c r="B45" s="69">
        <v>2.2640029143425635E-2</v>
      </c>
      <c r="C45" s="150">
        <f t="shared" si="0"/>
        <v>7.8149714766768737E-3</v>
      </c>
      <c r="D45" s="150">
        <f t="shared" si="1"/>
        <v>2.0174462979031742E-2</v>
      </c>
      <c r="E45" s="150">
        <f t="shared" si="2"/>
        <v>7.0571265884230867E-3</v>
      </c>
      <c r="F45" s="150">
        <f t="shared" si="3"/>
        <v>3.6410946954705866E-3</v>
      </c>
      <c r="G45" s="150"/>
      <c r="H45" s="78"/>
      <c r="I45" s="49"/>
      <c r="J45" s="49"/>
      <c r="K45" s="49"/>
      <c r="L45" s="49"/>
      <c r="M45" s="22"/>
      <c r="N45" s="160"/>
      <c r="O45" s="33"/>
      <c r="P45" s="113"/>
      <c r="Q45" s="154"/>
      <c r="R45" s="82"/>
      <c r="S45" s="82"/>
      <c r="T45" s="82"/>
      <c r="U45" s="82"/>
      <c r="V45" s="82"/>
    </row>
    <row r="46" spans="1:22" ht="12.4" customHeight="1" x14ac:dyDescent="0.2">
      <c r="A46" s="49">
        <v>18.461271286010742</v>
      </c>
      <c r="B46" s="69">
        <v>3.2398250433267092E-2</v>
      </c>
      <c r="C46" s="150">
        <f t="shared" si="0"/>
        <v>1.7573192766518329E-2</v>
      </c>
      <c r="D46" s="150">
        <f t="shared" si="1"/>
        <v>2.8869985096337557E-2</v>
      </c>
      <c r="E46" s="150">
        <f t="shared" si="2"/>
        <v>1.5869059315980465E-2</v>
      </c>
      <c r="F46" s="150">
        <f t="shared" si="3"/>
        <v>8.8119327275573787E-3</v>
      </c>
      <c r="G46" s="150"/>
      <c r="H46" s="78"/>
      <c r="I46" s="49"/>
      <c r="J46" s="49"/>
      <c r="K46" s="49"/>
      <c r="L46" s="49"/>
      <c r="M46" s="22"/>
      <c r="N46" s="160"/>
      <c r="O46" s="33"/>
      <c r="P46" s="113"/>
      <c r="Q46" s="154"/>
      <c r="R46" s="82"/>
      <c r="S46" s="82"/>
      <c r="T46" s="82"/>
      <c r="U46" s="82"/>
      <c r="V46" s="82"/>
    </row>
    <row r="47" spans="1:22" ht="12.4" customHeight="1" x14ac:dyDescent="0.2">
      <c r="A47" s="49">
        <v>20.261240005493164</v>
      </c>
      <c r="B47" s="69">
        <v>4.4744162865565158E-2</v>
      </c>
      <c r="C47" s="150">
        <f t="shared" si="0"/>
        <v>2.9919105198816395E-2</v>
      </c>
      <c r="D47" s="150">
        <f t="shared" si="1"/>
        <v>3.9871391133842256E-2</v>
      </c>
      <c r="E47" s="150">
        <f t="shared" si="2"/>
        <v>2.7017745801188511E-2</v>
      </c>
      <c r="F47" s="150">
        <f t="shared" si="3"/>
        <v>1.1148686485208045E-2</v>
      </c>
      <c r="G47" s="150"/>
      <c r="H47" s="78"/>
      <c r="I47" s="49"/>
      <c r="J47" s="49"/>
      <c r="K47" s="49"/>
      <c r="L47" s="49"/>
      <c r="M47" s="22"/>
      <c r="N47" s="160"/>
      <c r="O47" s="33"/>
      <c r="P47" s="113"/>
      <c r="Q47" s="154"/>
      <c r="R47" s="82"/>
      <c r="S47" s="82"/>
      <c r="T47" s="82"/>
      <c r="U47" s="82"/>
      <c r="V47" s="82"/>
    </row>
    <row r="48" spans="1:22" ht="12.4" customHeight="1" x14ac:dyDescent="0.2">
      <c r="A48" s="49">
        <v>22.154106140136719</v>
      </c>
      <c r="B48" s="69">
        <v>5.8733801082358691E-2</v>
      </c>
      <c r="C48" s="150">
        <f t="shared" si="0"/>
        <v>4.3908743415609928E-2</v>
      </c>
      <c r="D48" s="150">
        <f t="shared" si="1"/>
        <v>5.2337516354211314E-2</v>
      </c>
      <c r="E48" s="150">
        <f t="shared" si="2"/>
        <v>3.9650760280741611E-2</v>
      </c>
      <c r="F48" s="150">
        <f t="shared" si="3"/>
        <v>1.26330144795531E-2</v>
      </c>
      <c r="G48" s="150"/>
      <c r="H48" s="78"/>
      <c r="I48" s="49"/>
      <c r="J48" s="49"/>
      <c r="K48" s="49"/>
      <c r="L48" s="49"/>
      <c r="M48" s="22"/>
      <c r="N48" s="160"/>
      <c r="O48" s="33"/>
      <c r="P48" s="113"/>
      <c r="Q48" s="154"/>
      <c r="R48" s="82"/>
      <c r="S48" s="82"/>
      <c r="T48" s="82"/>
      <c r="U48" s="82"/>
      <c r="V48" s="82"/>
    </row>
    <row r="49" spans="1:22" ht="12.4" customHeight="1" x14ac:dyDescent="0.2">
      <c r="A49" s="49">
        <v>24.297954559326172</v>
      </c>
      <c r="B49" s="69">
        <v>8.3127828396507536E-2</v>
      </c>
      <c r="C49" s="150">
        <f t="shared" si="0"/>
        <v>6.830277072975878E-2</v>
      </c>
      <c r="D49" s="150">
        <f t="shared" si="1"/>
        <v>7.4074961913184675E-2</v>
      </c>
      <c r="E49" s="150">
        <f t="shared" si="2"/>
        <v>6.1679214162009284E-2</v>
      </c>
      <c r="F49" s="150">
        <f t="shared" si="3"/>
        <v>2.2028453881267673E-2</v>
      </c>
      <c r="G49" s="150"/>
      <c r="H49" s="78"/>
      <c r="I49" s="49"/>
      <c r="J49" s="49"/>
      <c r="K49" s="49"/>
      <c r="L49" s="22"/>
      <c r="M49" s="22"/>
      <c r="N49" s="160"/>
      <c r="O49" s="33"/>
      <c r="P49" s="113"/>
      <c r="Q49" s="154"/>
      <c r="R49" s="82"/>
      <c r="S49" s="82"/>
      <c r="T49" s="82"/>
      <c r="U49" s="82"/>
      <c r="V49" s="82"/>
    </row>
    <row r="50" spans="1:22" ht="12.4" customHeight="1" x14ac:dyDescent="0.2">
      <c r="A50" s="49">
        <v>26.598430633544922</v>
      </c>
      <c r="B50" s="69">
        <v>0.13550190706516149</v>
      </c>
      <c r="C50" s="150">
        <f t="shared" ref="C50:C81" si="4">IF(B50-I$27&lt;0,0,B50-I$27)</f>
        <v>0.12067684939841274</v>
      </c>
      <c r="D50" s="150">
        <f t="shared" si="1"/>
        <v>0.12074534844263327</v>
      </c>
      <c r="E50" s="150">
        <f t="shared" ref="E50:E81" si="5">C50/$H$23</f>
        <v>0.10897439677653216</v>
      </c>
      <c r="F50" s="150">
        <f t="shared" si="3"/>
        <v>4.7295182614522875E-2</v>
      </c>
      <c r="G50" s="150"/>
      <c r="H50" s="78"/>
      <c r="I50" s="49"/>
      <c r="J50" s="49"/>
      <c r="K50" s="49"/>
      <c r="L50" s="22"/>
      <c r="M50" s="22"/>
      <c r="N50" s="160"/>
      <c r="O50" s="33"/>
      <c r="P50" s="113"/>
      <c r="Q50" s="154"/>
      <c r="R50" s="82"/>
      <c r="S50" s="82"/>
      <c r="T50" s="82"/>
      <c r="U50" s="82"/>
      <c r="V50" s="82"/>
    </row>
    <row r="51" spans="1:22" ht="12.4" customHeight="1" x14ac:dyDescent="0.2">
      <c r="A51" s="49">
        <v>28.984798431396484</v>
      </c>
      <c r="B51" s="69">
        <v>0.18499123777414206</v>
      </c>
      <c r="C51" s="150">
        <f t="shared" si="4"/>
        <v>0.17016618010739329</v>
      </c>
      <c r="D51" s="150">
        <f t="shared" si="1"/>
        <v>0.16484514460103686</v>
      </c>
      <c r="E51" s="150">
        <f t="shared" si="5"/>
        <v>0.15366457544601606</v>
      </c>
      <c r="F51" s="150">
        <f t="shared" si="3"/>
        <v>4.4690178669483896E-2</v>
      </c>
      <c r="G51" s="150"/>
      <c r="H51" s="78"/>
      <c r="I51" s="49"/>
      <c r="J51" s="49"/>
      <c r="K51" s="49"/>
      <c r="L51" s="22"/>
      <c r="M51" s="22"/>
      <c r="N51" s="160"/>
      <c r="O51" s="33"/>
      <c r="P51" s="113"/>
      <c r="Q51" s="154"/>
      <c r="R51" s="82"/>
      <c r="S51" s="82"/>
      <c r="T51" s="82"/>
      <c r="U51" s="82"/>
      <c r="V51" s="82"/>
    </row>
    <row r="52" spans="1:22" ht="12.4" customHeight="1" x14ac:dyDescent="0.2">
      <c r="A52" s="49">
        <v>30.067842483520508</v>
      </c>
      <c r="B52" s="69">
        <v>0.23222209843758285</v>
      </c>
      <c r="C52" s="150">
        <f t="shared" si="4"/>
        <v>0.21739704077083408</v>
      </c>
      <c r="D52" s="150">
        <f t="shared" si="1"/>
        <v>0.20693242478455595</v>
      </c>
      <c r="E52" s="150">
        <f t="shared" si="5"/>
        <v>0.19631529574318185</v>
      </c>
      <c r="F52" s="150">
        <f t="shared" si="3"/>
        <v>4.2650720297165795E-2</v>
      </c>
      <c r="G52" s="150"/>
      <c r="H52" s="78"/>
      <c r="I52" s="49"/>
      <c r="J52" s="49"/>
      <c r="K52" s="49"/>
      <c r="L52" s="22"/>
      <c r="M52" s="22"/>
      <c r="N52" s="160"/>
      <c r="O52" s="33"/>
      <c r="P52" s="113"/>
      <c r="Q52" s="154"/>
      <c r="R52" s="82"/>
      <c r="S52" s="82"/>
      <c r="T52" s="82"/>
      <c r="U52" s="82"/>
      <c r="V52" s="82"/>
    </row>
    <row r="53" spans="1:22" ht="12.4" customHeight="1" x14ac:dyDescent="0.2">
      <c r="A53" s="49">
        <v>33.794597625732422</v>
      </c>
      <c r="B53" s="69">
        <v>0.27517200169128858</v>
      </c>
      <c r="C53" s="150">
        <f t="shared" si="4"/>
        <v>0.26034694402453984</v>
      </c>
      <c r="D53" s="150">
        <f t="shared" si="1"/>
        <v>0.24520495648739163</v>
      </c>
      <c r="E53" s="150">
        <f t="shared" si="5"/>
        <v>0.23510019791800249</v>
      </c>
      <c r="F53" s="150">
        <f t="shared" si="3"/>
        <v>3.878490217482064E-2</v>
      </c>
      <c r="G53" s="150"/>
      <c r="H53" s="78"/>
      <c r="I53" s="49"/>
      <c r="J53" s="49"/>
      <c r="K53" s="49"/>
      <c r="L53" s="22"/>
      <c r="M53" s="22"/>
      <c r="N53" s="160"/>
      <c r="O53" s="33"/>
      <c r="P53" s="113"/>
      <c r="Q53" s="154"/>
      <c r="R53" s="82"/>
      <c r="S53" s="82"/>
      <c r="T53" s="82"/>
      <c r="U53" s="82"/>
      <c r="V53" s="82"/>
    </row>
    <row r="54" spans="1:22" ht="12.4" customHeight="1" x14ac:dyDescent="0.2">
      <c r="A54" s="49">
        <v>37.1572265625</v>
      </c>
      <c r="B54" s="69">
        <v>0.3140838929463281</v>
      </c>
      <c r="C54" s="150">
        <f t="shared" si="4"/>
        <v>0.29925883527957936</v>
      </c>
      <c r="D54" s="150">
        <f t="shared" si="1"/>
        <v>0.27987922764648443</v>
      </c>
      <c r="E54" s="150">
        <f t="shared" si="5"/>
        <v>0.27023866812244357</v>
      </c>
      <c r="F54" s="150">
        <f t="shared" si="3"/>
        <v>3.513847020444108E-2</v>
      </c>
      <c r="G54" s="150"/>
      <c r="H54" s="78"/>
      <c r="I54" s="49"/>
      <c r="J54" s="49"/>
      <c r="K54" s="49"/>
      <c r="L54" s="22"/>
      <c r="M54" s="22"/>
      <c r="N54" s="160"/>
      <c r="O54" s="33"/>
      <c r="P54" s="113"/>
      <c r="Q54" s="154"/>
      <c r="R54" s="82"/>
      <c r="S54" s="82"/>
      <c r="T54" s="82"/>
      <c r="U54" s="82"/>
      <c r="V54" s="82"/>
    </row>
    <row r="55" spans="1:22" ht="12.4" customHeight="1" x14ac:dyDescent="0.2">
      <c r="A55" s="49">
        <v>41.041534423828125</v>
      </c>
      <c r="B55" s="69">
        <v>0.34969439001307923</v>
      </c>
      <c r="C55" s="150">
        <f t="shared" si="4"/>
        <v>0.33486933234633048</v>
      </c>
      <c r="D55" s="150">
        <f t="shared" si="1"/>
        <v>0.31161163621304805</v>
      </c>
      <c r="E55" s="150">
        <f t="shared" si="5"/>
        <v>0.30239589178304666</v>
      </c>
      <c r="F55" s="150">
        <f t="shared" si="3"/>
        <v>3.2157223660603085E-2</v>
      </c>
      <c r="G55" s="150"/>
      <c r="H55" s="78"/>
      <c r="I55" s="49"/>
      <c r="J55" s="49"/>
      <c r="K55" s="49"/>
      <c r="L55" s="22"/>
      <c r="M55" s="22"/>
      <c r="N55" s="160"/>
      <c r="O55" s="33"/>
      <c r="P55" s="113"/>
      <c r="Q55" s="154"/>
      <c r="R55" s="82"/>
      <c r="S55" s="82"/>
      <c r="T55" s="82"/>
      <c r="U55" s="82"/>
      <c r="V55" s="82"/>
    </row>
    <row r="56" spans="1:22" ht="12.4" customHeight="1" x14ac:dyDescent="0.2">
      <c r="A56" s="49">
        <v>44.37725830078125</v>
      </c>
      <c r="B56" s="69">
        <v>0.37968454064541596</v>
      </c>
      <c r="C56" s="150">
        <f t="shared" si="4"/>
        <v>0.36485948297866722</v>
      </c>
      <c r="D56" s="150">
        <f t="shared" si="1"/>
        <v>0.33833577070221926</v>
      </c>
      <c r="E56" s="150">
        <f t="shared" si="5"/>
        <v>0.32947779349566475</v>
      </c>
      <c r="F56" s="150">
        <f t="shared" si="3"/>
        <v>2.7081901712618095E-2</v>
      </c>
      <c r="G56" s="150"/>
      <c r="H56" s="78"/>
      <c r="I56" s="49"/>
      <c r="J56" s="49"/>
      <c r="K56" s="49"/>
      <c r="L56" s="22"/>
      <c r="M56" s="22"/>
      <c r="N56" s="160"/>
      <c r="O56" s="33"/>
      <c r="P56" s="113"/>
      <c r="Q56" s="154"/>
      <c r="R56" s="82"/>
      <c r="S56" s="82"/>
      <c r="T56" s="82"/>
      <c r="U56" s="82"/>
      <c r="V56" s="82"/>
    </row>
    <row r="57" spans="1:22" ht="12.4" customHeight="1" x14ac:dyDescent="0.2">
      <c r="A57" s="49">
        <v>48.903038024902344</v>
      </c>
      <c r="B57" s="69">
        <v>0.40375387609490293</v>
      </c>
      <c r="C57" s="150">
        <f t="shared" si="4"/>
        <v>0.38892881842815419</v>
      </c>
      <c r="D57" s="150">
        <f t="shared" si="1"/>
        <v>0.35978388430133884</v>
      </c>
      <c r="E57" s="150">
        <f t="shared" si="5"/>
        <v>0.35121304200849462</v>
      </c>
      <c r="F57" s="150">
        <f t="shared" si="3"/>
        <v>2.1735248512829874E-2</v>
      </c>
      <c r="G57" s="150"/>
      <c r="H57" s="78"/>
      <c r="I57" s="22"/>
      <c r="J57" s="49"/>
      <c r="K57" s="49"/>
      <c r="L57" s="22"/>
      <c r="M57" s="22"/>
      <c r="N57" s="160"/>
      <c r="O57" s="33"/>
      <c r="P57" s="113"/>
      <c r="Q57" s="154"/>
      <c r="R57" s="82"/>
      <c r="S57" s="82"/>
      <c r="T57" s="82"/>
      <c r="U57" s="82"/>
      <c r="V57" s="82"/>
    </row>
    <row r="58" spans="1:22" ht="12.4" customHeight="1" x14ac:dyDescent="0.2">
      <c r="A58" s="49">
        <v>53.485099792480469</v>
      </c>
      <c r="B58" s="69">
        <v>0.4234953602675452</v>
      </c>
      <c r="C58" s="150">
        <f t="shared" si="4"/>
        <v>0.40867030260079645</v>
      </c>
      <c r="D58" s="150">
        <f t="shared" si="1"/>
        <v>0.37737546243355014</v>
      </c>
      <c r="E58" s="150">
        <f t="shared" si="5"/>
        <v>0.36904012599280223</v>
      </c>
      <c r="F58" s="150">
        <f t="shared" si="3"/>
        <v>1.7827083984307601E-2</v>
      </c>
      <c r="G58" s="150"/>
      <c r="H58" s="78"/>
      <c r="I58" s="22"/>
      <c r="J58" s="49"/>
      <c r="K58" s="49"/>
      <c r="L58" s="22"/>
      <c r="M58" s="22"/>
      <c r="N58" s="160"/>
      <c r="O58" s="33"/>
      <c r="P58" s="113"/>
      <c r="Q58" s="154"/>
      <c r="R58" s="82"/>
      <c r="S58" s="82"/>
      <c r="T58" s="82"/>
      <c r="U58" s="82"/>
      <c r="V58" s="82"/>
    </row>
    <row r="59" spans="1:22" ht="12.4" customHeight="1" x14ac:dyDescent="0.2">
      <c r="A59" s="49">
        <v>59.041698455810547</v>
      </c>
      <c r="B59" s="69">
        <v>0.44179622086995385</v>
      </c>
      <c r="C59" s="150">
        <f t="shared" si="4"/>
        <v>0.42697116320320511</v>
      </c>
      <c r="D59" s="150">
        <f t="shared" si="1"/>
        <v>0.39368330516505684</v>
      </c>
      <c r="E59" s="150">
        <f t="shared" si="5"/>
        <v>0.38556628867090342</v>
      </c>
      <c r="F59" s="150">
        <f t="shared" si="3"/>
        <v>1.6526162678101197E-2</v>
      </c>
      <c r="G59" s="150"/>
      <c r="H59" s="78"/>
      <c r="I59" s="22"/>
      <c r="J59" s="49"/>
      <c r="K59" s="49"/>
      <c r="L59" s="22"/>
      <c r="M59" s="22"/>
      <c r="N59" s="160"/>
      <c r="O59" s="33"/>
      <c r="P59" s="113"/>
      <c r="Q59" s="154"/>
      <c r="R59" s="82"/>
      <c r="S59" s="82"/>
      <c r="T59" s="82"/>
      <c r="U59" s="82"/>
      <c r="V59" s="82"/>
    </row>
    <row r="60" spans="1:22" ht="12.4" customHeight="1" x14ac:dyDescent="0.2">
      <c r="A60" s="49">
        <v>64.144638061523438</v>
      </c>
      <c r="B60" s="69">
        <v>0.45776250913106936</v>
      </c>
      <c r="C60" s="150">
        <f t="shared" si="4"/>
        <v>0.44293745146432062</v>
      </c>
      <c r="D60" s="150">
        <f t="shared" si="1"/>
        <v>0.40791081739111601</v>
      </c>
      <c r="E60" s="150">
        <f t="shared" si="5"/>
        <v>0.39998427058449298</v>
      </c>
      <c r="F60" s="150">
        <f t="shared" si="3"/>
        <v>1.4417981913589561E-2</v>
      </c>
      <c r="G60" s="150"/>
      <c r="H60" s="78"/>
      <c r="I60" s="22"/>
      <c r="J60" s="49"/>
      <c r="K60" s="49"/>
      <c r="L60" s="22"/>
      <c r="M60" s="22"/>
      <c r="N60" s="160"/>
      <c r="O60" s="33"/>
      <c r="P60" s="113"/>
      <c r="Q60" s="154"/>
      <c r="R60" s="82"/>
      <c r="S60" s="82"/>
      <c r="T60" s="82"/>
      <c r="U60" s="82"/>
      <c r="V60" s="82"/>
    </row>
    <row r="61" spans="1:22" ht="12.4" customHeight="1" x14ac:dyDescent="0.2">
      <c r="A61" s="49">
        <v>70.58990478515625</v>
      </c>
      <c r="B61" s="69">
        <v>0.47210569362082622</v>
      </c>
      <c r="C61" s="150">
        <f t="shared" si="4"/>
        <v>0.45728063595407747</v>
      </c>
      <c r="D61" s="150">
        <f t="shared" si="1"/>
        <v>0.42069198664919755</v>
      </c>
      <c r="E61" s="150">
        <f t="shared" si="5"/>
        <v>0.41293654672873847</v>
      </c>
      <c r="F61" s="150">
        <f t="shared" si="3"/>
        <v>1.2952276144245489E-2</v>
      </c>
      <c r="G61" s="150"/>
      <c r="H61" s="78"/>
      <c r="I61" s="22"/>
      <c r="J61" s="49"/>
      <c r="K61" s="49"/>
      <c r="L61" s="22"/>
      <c r="M61" s="22"/>
      <c r="N61" s="160"/>
      <c r="O61" s="33"/>
      <c r="P61" s="113"/>
      <c r="Q61" s="154"/>
      <c r="R61" s="82"/>
      <c r="S61" s="82"/>
      <c r="T61" s="82"/>
      <c r="U61" s="82"/>
      <c r="V61" s="82"/>
    </row>
    <row r="62" spans="1:22" ht="12.4" customHeight="1" x14ac:dyDescent="0.2">
      <c r="A62" s="49">
        <v>77.080558776855469</v>
      </c>
      <c r="B62" s="69">
        <v>0.48488280851879256</v>
      </c>
      <c r="C62" s="150">
        <f t="shared" si="4"/>
        <v>0.47005775085204382</v>
      </c>
      <c r="D62" s="150">
        <f t="shared" si="1"/>
        <v>0.43207763592795345</v>
      </c>
      <c r="E62" s="150">
        <f t="shared" si="5"/>
        <v>0.42447462048100731</v>
      </c>
      <c r="F62" s="150">
        <f t="shared" si="3"/>
        <v>1.153807375226884E-2</v>
      </c>
      <c r="G62" s="150"/>
      <c r="H62" s="78"/>
      <c r="I62" s="22"/>
      <c r="J62" s="49"/>
      <c r="K62" s="49"/>
      <c r="L62" s="22"/>
      <c r="M62" s="22"/>
      <c r="N62" s="160"/>
      <c r="O62" s="33"/>
      <c r="P62" s="113"/>
      <c r="Q62" s="154"/>
      <c r="R62" s="82"/>
      <c r="S62" s="82"/>
      <c r="T62" s="82"/>
      <c r="U62" s="82"/>
      <c r="V62" s="82"/>
    </row>
    <row r="63" spans="1:22" ht="12.4" customHeight="1" x14ac:dyDescent="0.2">
      <c r="A63" s="49">
        <v>84.577743530273438</v>
      </c>
      <c r="B63" s="69">
        <v>0.49803472987302683</v>
      </c>
      <c r="C63" s="150">
        <f t="shared" si="4"/>
        <v>0.48320967220627808</v>
      </c>
      <c r="D63" s="150">
        <f t="shared" si="1"/>
        <v>0.44379727413085679</v>
      </c>
      <c r="E63" s="150">
        <f t="shared" si="5"/>
        <v>0.43635115440756278</v>
      </c>
      <c r="F63" s="150">
        <f t="shared" si="3"/>
        <v>1.1876533926555466E-2</v>
      </c>
      <c r="G63" s="150"/>
      <c r="H63" s="78"/>
      <c r="I63" s="22"/>
      <c r="J63" s="49"/>
      <c r="K63" s="49"/>
      <c r="L63" s="22"/>
      <c r="M63" s="22"/>
      <c r="N63" s="160"/>
      <c r="O63" s="33"/>
      <c r="P63" s="113"/>
      <c r="Q63" s="154"/>
      <c r="R63" s="82"/>
      <c r="S63" s="82"/>
      <c r="T63" s="82"/>
      <c r="U63" s="82"/>
      <c r="V63" s="82"/>
    </row>
    <row r="64" spans="1:22" x14ac:dyDescent="0.2">
      <c r="A64" s="49">
        <v>92.85308837890625</v>
      </c>
      <c r="B64" s="69">
        <v>0.50958221849166885</v>
      </c>
      <c r="C64" s="150">
        <f t="shared" si="4"/>
        <v>0.49475716082492011</v>
      </c>
      <c r="D64" s="150">
        <f t="shared" si="1"/>
        <v>0.45408720707050737</v>
      </c>
      <c r="E64" s="150">
        <f t="shared" si="5"/>
        <v>0.44677884300544668</v>
      </c>
      <c r="F64" s="150">
        <f t="shared" si="3"/>
        <v>1.04276885978839E-2</v>
      </c>
      <c r="G64" s="150"/>
      <c r="H64" s="78"/>
      <c r="I64" s="22"/>
      <c r="J64" s="49"/>
      <c r="K64" s="49"/>
      <c r="L64" s="22"/>
      <c r="M64" s="22"/>
      <c r="N64" s="160"/>
      <c r="O64" s="33"/>
      <c r="P64" s="113"/>
      <c r="Q64" s="154"/>
      <c r="R64" s="82"/>
      <c r="S64" s="82"/>
      <c r="T64" s="82"/>
      <c r="U64" s="82"/>
      <c r="V64" s="82"/>
    </row>
    <row r="65" spans="1:22" x14ac:dyDescent="0.2">
      <c r="A65" s="49">
        <v>101.34757995605469</v>
      </c>
      <c r="B65" s="69">
        <v>0.52029691327476046</v>
      </c>
      <c r="C65" s="150">
        <f t="shared" si="4"/>
        <v>0.50547185560801167</v>
      </c>
      <c r="D65" s="150">
        <f t="shared" si="1"/>
        <v>0.46363503988749283</v>
      </c>
      <c r="E65" s="150">
        <f t="shared" si="5"/>
        <v>0.45645449667433852</v>
      </c>
      <c r="F65" s="150">
        <f t="shared" si="3"/>
        <v>9.6756536688918371E-3</v>
      </c>
      <c r="G65" s="150"/>
      <c r="H65" s="78"/>
      <c r="I65" s="22"/>
      <c r="J65" s="49"/>
      <c r="K65" s="49"/>
      <c r="L65" s="22"/>
      <c r="M65" s="22"/>
      <c r="N65" s="160"/>
      <c r="O65" s="33"/>
      <c r="P65" s="113"/>
      <c r="Q65" s="154"/>
      <c r="R65" s="82"/>
      <c r="S65" s="82"/>
      <c r="T65" s="82"/>
      <c r="U65" s="82"/>
      <c r="V65" s="82"/>
    </row>
    <row r="66" spans="1:22" x14ac:dyDescent="0.2">
      <c r="A66" s="49">
        <v>111.17726135253906</v>
      </c>
      <c r="B66" s="69">
        <v>0.5318396976675942</v>
      </c>
      <c r="C66" s="150">
        <f t="shared" si="4"/>
        <v>0.5170146400008454</v>
      </c>
      <c r="D66" s="150">
        <f t="shared" si="1"/>
        <v>0.47392078090544515</v>
      </c>
      <c r="E66" s="150">
        <f t="shared" si="5"/>
        <v>0.46687793723150617</v>
      </c>
      <c r="F66" s="150">
        <f t="shared" si="3"/>
        <v>1.0423440557167651E-2</v>
      </c>
      <c r="G66" s="150"/>
      <c r="H66" s="78"/>
      <c r="I66" s="22"/>
      <c r="J66" s="49"/>
      <c r="K66" s="49"/>
      <c r="L66" s="22"/>
      <c r="M66" s="22"/>
      <c r="N66" s="160"/>
      <c r="O66" s="33"/>
      <c r="P66" s="113"/>
      <c r="Q66" s="154"/>
      <c r="R66" s="82"/>
      <c r="S66" s="82"/>
      <c r="T66" s="82"/>
      <c r="U66" s="82"/>
      <c r="V66" s="82"/>
    </row>
    <row r="67" spans="1:22" x14ac:dyDescent="0.2">
      <c r="A67" s="49">
        <v>121.20176696777344</v>
      </c>
      <c r="B67" s="69">
        <v>0.54159706426524656</v>
      </c>
      <c r="C67" s="150">
        <f t="shared" si="4"/>
        <v>0.52677200659849777</v>
      </c>
      <c r="D67" s="150">
        <f t="shared" si="1"/>
        <v>0.48261554140907026</v>
      </c>
      <c r="E67" s="150">
        <f t="shared" si="5"/>
        <v>0.47568909814934029</v>
      </c>
      <c r="F67" s="150">
        <f t="shared" si="3"/>
        <v>8.8111609178341266E-3</v>
      </c>
      <c r="G67" s="150"/>
      <c r="H67" s="78"/>
      <c r="I67" s="22"/>
      <c r="J67" s="49"/>
      <c r="K67" s="22"/>
      <c r="L67" s="22"/>
      <c r="M67" s="22"/>
      <c r="N67" s="160"/>
      <c r="O67" s="33"/>
      <c r="P67" s="113"/>
      <c r="Q67" s="154"/>
      <c r="R67" s="82"/>
      <c r="S67" s="82"/>
      <c r="T67" s="82"/>
      <c r="U67" s="82"/>
      <c r="V67" s="82"/>
    </row>
    <row r="68" spans="1:22" x14ac:dyDescent="0.2">
      <c r="A68" s="49">
        <v>133.02616882324219</v>
      </c>
      <c r="B68" s="69">
        <v>0.55017334198319456</v>
      </c>
      <c r="C68" s="150">
        <f t="shared" si="4"/>
        <v>0.53534828431644577</v>
      </c>
      <c r="D68" s="150">
        <f t="shared" si="1"/>
        <v>0.49025783710677168</v>
      </c>
      <c r="E68" s="150">
        <f t="shared" si="5"/>
        <v>0.48343370447242923</v>
      </c>
      <c r="F68" s="150">
        <f t="shared" si="3"/>
        <v>7.7446063230889317E-3</v>
      </c>
      <c r="G68" s="150"/>
      <c r="H68" s="78"/>
      <c r="I68" s="22"/>
      <c r="J68" s="49"/>
      <c r="K68" s="22"/>
      <c r="L68" s="22"/>
      <c r="M68" s="22"/>
      <c r="N68" s="160"/>
      <c r="O68" s="33"/>
      <c r="P68" s="113"/>
      <c r="Q68" s="82"/>
      <c r="R68" s="82"/>
      <c r="S68" s="82"/>
      <c r="T68" s="82"/>
      <c r="U68" s="82"/>
      <c r="V68" s="82"/>
    </row>
    <row r="69" spans="1:22" x14ac:dyDescent="0.2">
      <c r="A69" s="49">
        <v>145.13165283203125</v>
      </c>
      <c r="B69" s="69">
        <v>0.55975482888260031</v>
      </c>
      <c r="C69" s="150">
        <f t="shared" si="4"/>
        <v>0.54492977121585151</v>
      </c>
      <c r="D69" s="150">
        <f t="shared" si="1"/>
        <v>0.49879587173170814</v>
      </c>
      <c r="E69" s="150">
        <f t="shared" si="5"/>
        <v>0.49208604135634793</v>
      </c>
      <c r="F69" s="150">
        <f t="shared" si="3"/>
        <v>8.6523368839186987E-3</v>
      </c>
      <c r="G69" s="150"/>
      <c r="H69" s="78"/>
      <c r="I69" s="22"/>
      <c r="J69" s="107"/>
      <c r="K69" s="22"/>
      <c r="L69" s="22"/>
      <c r="M69" s="107"/>
      <c r="N69" s="160"/>
      <c r="O69" s="33"/>
      <c r="P69" s="113"/>
      <c r="Q69" s="82"/>
      <c r="R69" s="82"/>
      <c r="S69" s="82"/>
      <c r="T69" s="82"/>
      <c r="U69" s="82"/>
      <c r="V69" s="82"/>
    </row>
    <row r="70" spans="1:22" x14ac:dyDescent="0.2">
      <c r="A70" s="49">
        <v>158.62014770507812</v>
      </c>
      <c r="B70" s="69">
        <v>0.56979769457989471</v>
      </c>
      <c r="C70" s="150">
        <f t="shared" si="4"/>
        <v>0.55497263691314591</v>
      </c>
      <c r="D70" s="150">
        <f t="shared" si="1"/>
        <v>0.50774503963824724</v>
      </c>
      <c r="E70" s="150">
        <f t="shared" si="5"/>
        <v>0.50115501553595376</v>
      </c>
      <c r="F70" s="150">
        <f t="shared" si="3"/>
        <v>9.0689741796058376E-3</v>
      </c>
      <c r="G70" s="150"/>
      <c r="H70" s="78"/>
      <c r="I70" s="22"/>
      <c r="J70" s="107"/>
      <c r="K70" s="22"/>
      <c r="L70" s="22"/>
      <c r="M70" s="107"/>
      <c r="N70" s="160"/>
      <c r="O70" s="33"/>
      <c r="P70" s="113"/>
      <c r="Q70" s="82"/>
      <c r="R70" s="82"/>
      <c r="S70" s="82"/>
      <c r="T70" s="82"/>
      <c r="U70" s="82"/>
      <c r="V70" s="82"/>
    </row>
    <row r="71" spans="1:22" x14ac:dyDescent="0.2">
      <c r="A71" s="49">
        <v>174.36824035644531</v>
      </c>
      <c r="B71" s="69">
        <v>0.57984314942472714</v>
      </c>
      <c r="C71" s="150">
        <f t="shared" si="4"/>
        <v>0.56501809175797835</v>
      </c>
      <c r="D71" s="150">
        <f t="shared" si="1"/>
        <v>0.51669651472649625</v>
      </c>
      <c r="E71" s="150">
        <f t="shared" si="5"/>
        <v>0.51022632778448107</v>
      </c>
      <c r="F71" s="150">
        <f t="shared" si="3"/>
        <v>9.0713122485273079E-3</v>
      </c>
      <c r="G71" s="150"/>
      <c r="H71" s="78"/>
      <c r="I71" s="22"/>
      <c r="J71" s="107"/>
      <c r="K71" s="22"/>
      <c r="L71" s="22"/>
      <c r="M71" s="107"/>
      <c r="N71" s="160"/>
      <c r="O71" s="33"/>
      <c r="P71" s="113"/>
      <c r="Q71" s="82"/>
      <c r="R71" s="82"/>
      <c r="S71" s="82"/>
      <c r="T71" s="82"/>
      <c r="U71" s="82"/>
      <c r="V71" s="82"/>
    </row>
    <row r="72" spans="1:22" x14ac:dyDescent="0.2">
      <c r="A72" s="49">
        <v>190.11256408691406</v>
      </c>
      <c r="B72" s="69">
        <v>0.58935159319006936</v>
      </c>
      <c r="C72" s="150">
        <f t="shared" si="4"/>
        <v>0.57452653552332056</v>
      </c>
      <c r="D72" s="150">
        <f t="shared" si="1"/>
        <v>0.52516946083079963</v>
      </c>
      <c r="E72" s="150">
        <f t="shared" si="5"/>
        <v>0.51881270478037711</v>
      </c>
      <c r="F72" s="150">
        <f t="shared" si="3"/>
        <v>8.586376995896039E-3</v>
      </c>
      <c r="G72" s="150"/>
      <c r="H72" s="78"/>
      <c r="I72" s="22"/>
      <c r="J72" s="107"/>
      <c r="K72" s="22"/>
      <c r="L72" s="22"/>
      <c r="M72" s="107"/>
      <c r="N72" s="160"/>
      <c r="O72" s="33"/>
      <c r="P72" s="113"/>
      <c r="Q72" s="82"/>
      <c r="R72" s="82"/>
      <c r="S72" s="82"/>
      <c r="T72" s="82"/>
      <c r="U72" s="82"/>
      <c r="V72" s="82"/>
    </row>
    <row r="73" spans="1:22" x14ac:dyDescent="0.2">
      <c r="A73" s="49">
        <v>208.03059387207031</v>
      </c>
      <c r="B73" s="69">
        <v>0.59933804464453</v>
      </c>
      <c r="C73" s="150">
        <f t="shared" si="4"/>
        <v>0.5845129869777812</v>
      </c>
      <c r="D73" s="150">
        <f t="shared" si="1"/>
        <v>0.53406835817247633</v>
      </c>
      <c r="E73" s="150">
        <f t="shared" si="5"/>
        <v>0.52783073540193459</v>
      </c>
      <c r="F73" s="150">
        <f t="shared" si="3"/>
        <v>9.0180306215574824E-3</v>
      </c>
      <c r="G73" s="150"/>
      <c r="H73" s="78"/>
      <c r="I73" s="22"/>
      <c r="J73" s="107"/>
      <c r="K73" s="22"/>
      <c r="L73" s="22"/>
      <c r="M73" s="107"/>
      <c r="N73" s="160"/>
      <c r="O73" s="33"/>
      <c r="P73" s="113"/>
      <c r="Q73" s="82"/>
      <c r="R73" s="82"/>
      <c r="S73" s="82"/>
      <c r="T73" s="82"/>
      <c r="U73" s="82"/>
      <c r="V73" s="82"/>
    </row>
    <row r="74" spans="1:22" x14ac:dyDescent="0.2">
      <c r="A74" s="49">
        <v>228.60191345214844</v>
      </c>
      <c r="B74" s="69">
        <v>0.60978273874634048</v>
      </c>
      <c r="C74" s="150">
        <f t="shared" si="4"/>
        <v>0.59495768107959168</v>
      </c>
      <c r="D74" s="150">
        <f t="shared" si="1"/>
        <v>0.54337559418129022</v>
      </c>
      <c r="E74" s="150">
        <f t="shared" si="5"/>
        <v>0.53726257129203514</v>
      </c>
      <c r="F74" s="150">
        <f t="shared" si="3"/>
        <v>9.4318358901005483E-3</v>
      </c>
      <c r="G74" s="150"/>
      <c r="H74" s="78"/>
      <c r="I74" s="22"/>
      <c r="J74" s="107"/>
      <c r="K74" s="22"/>
      <c r="L74" s="107"/>
      <c r="M74" s="107"/>
      <c r="N74" s="160"/>
      <c r="O74" s="33"/>
      <c r="P74" s="113"/>
      <c r="Q74" s="82"/>
      <c r="R74" s="82"/>
      <c r="S74" s="82"/>
      <c r="T74" s="82"/>
      <c r="U74" s="82"/>
      <c r="V74" s="82"/>
    </row>
    <row r="75" spans="1:22" x14ac:dyDescent="0.2">
      <c r="A75" s="49">
        <v>250.67134094238281</v>
      </c>
      <c r="B75" s="69">
        <v>0.62023964924850605</v>
      </c>
      <c r="C75" s="150">
        <f t="shared" si="4"/>
        <v>0.60541459158175726</v>
      </c>
      <c r="D75" s="150">
        <f t="shared" si="1"/>
        <v>0.55269371618831276</v>
      </c>
      <c r="E75" s="150">
        <f t="shared" si="5"/>
        <v>0.54670543891577894</v>
      </c>
      <c r="F75" s="150">
        <f t="shared" si="3"/>
        <v>9.4428676237438003E-3</v>
      </c>
      <c r="G75" s="150"/>
      <c r="H75" s="78"/>
      <c r="I75" s="22"/>
      <c r="J75" s="107"/>
      <c r="K75" s="22"/>
      <c r="L75" s="107"/>
      <c r="M75" s="107"/>
      <c r="N75" s="160"/>
      <c r="O75" s="33"/>
      <c r="P75" s="113"/>
      <c r="Q75" s="82"/>
      <c r="R75" s="82"/>
      <c r="S75" s="82"/>
      <c r="T75" s="82"/>
      <c r="U75" s="82"/>
      <c r="V75" s="82"/>
    </row>
    <row r="76" spans="1:22" x14ac:dyDescent="0.2">
      <c r="A76" s="49">
        <v>272.77731323242187</v>
      </c>
      <c r="B76" s="69">
        <v>0.62987809739374656</v>
      </c>
      <c r="C76" s="150">
        <f t="shared" si="4"/>
        <v>0.61505303972699776</v>
      </c>
      <c r="D76" s="150">
        <f t="shared" si="1"/>
        <v>0.56128250881086728</v>
      </c>
      <c r="E76" s="150">
        <f t="shared" si="5"/>
        <v>0.55540921331596871</v>
      </c>
      <c r="F76" s="150">
        <f t="shared" si="3"/>
        <v>8.7037744001897677E-3</v>
      </c>
      <c r="G76" s="150"/>
      <c r="H76" s="78"/>
      <c r="I76" s="22"/>
      <c r="J76" s="107"/>
      <c r="K76" s="22"/>
      <c r="L76" s="107"/>
      <c r="M76" s="107"/>
      <c r="N76" s="160"/>
      <c r="O76" s="33"/>
      <c r="P76" s="113"/>
      <c r="Q76" s="82"/>
      <c r="R76" s="82"/>
      <c r="S76" s="82"/>
      <c r="T76" s="82"/>
      <c r="U76" s="82"/>
      <c r="V76" s="82"/>
    </row>
    <row r="77" spans="1:22" x14ac:dyDescent="0.2">
      <c r="A77" s="49">
        <v>299.3406982421875</v>
      </c>
      <c r="B77" s="69">
        <v>0.64061777198054926</v>
      </c>
      <c r="C77" s="150">
        <f t="shared" si="4"/>
        <v>0.62579271431380046</v>
      </c>
      <c r="D77" s="150">
        <f t="shared" si="1"/>
        <v>0.57085260105702573</v>
      </c>
      <c r="E77" s="150">
        <f t="shared" si="5"/>
        <v>0.56510742441036999</v>
      </c>
      <c r="F77" s="150">
        <f t="shared" si="3"/>
        <v>9.6982110944012767E-3</v>
      </c>
      <c r="G77" s="150"/>
      <c r="H77" s="78"/>
      <c r="I77" s="22"/>
      <c r="J77" s="107"/>
      <c r="K77" s="22"/>
      <c r="L77" s="107"/>
      <c r="M77" s="107"/>
      <c r="N77" s="160"/>
      <c r="O77" s="33"/>
      <c r="P77" s="113"/>
      <c r="Q77" s="82"/>
      <c r="R77" s="82"/>
      <c r="S77" s="82"/>
      <c r="T77" s="82"/>
      <c r="U77" s="82"/>
      <c r="V77" s="82"/>
    </row>
    <row r="78" spans="1:22" x14ac:dyDescent="0.2">
      <c r="A78" s="49">
        <v>326.94403076171875</v>
      </c>
      <c r="B78" s="69">
        <v>0.65143519392722382</v>
      </c>
      <c r="C78" s="150">
        <f t="shared" si="4"/>
        <v>0.63661013626047502</v>
      </c>
      <c r="D78" s="150">
        <f t="shared" si="1"/>
        <v>0.58049197374551553</v>
      </c>
      <c r="E78" s="150">
        <f t="shared" si="5"/>
        <v>0.57487584343351017</v>
      </c>
      <c r="F78" s="150">
        <f t="shared" si="3"/>
        <v>9.7684190231401846E-3</v>
      </c>
      <c r="G78" s="150"/>
      <c r="H78" s="78"/>
      <c r="I78" s="22"/>
      <c r="J78" s="107"/>
      <c r="K78" s="22"/>
      <c r="L78" s="107"/>
      <c r="M78" s="107"/>
      <c r="N78" s="160"/>
      <c r="O78" s="33"/>
      <c r="P78" s="113"/>
      <c r="Q78" s="82"/>
      <c r="R78" s="82"/>
      <c r="S78" s="82"/>
      <c r="T78" s="82"/>
      <c r="U78" s="82"/>
      <c r="V78" s="82"/>
    </row>
    <row r="79" spans="1:22" x14ac:dyDescent="0.2">
      <c r="A79" s="49">
        <v>358.00738525390625</v>
      </c>
      <c r="B79" s="69">
        <v>0.66271326533445263</v>
      </c>
      <c r="C79" s="150">
        <f t="shared" si="4"/>
        <v>0.64788820766770383</v>
      </c>
      <c r="D79" s="150">
        <f t="shared" si="1"/>
        <v>0.59054182980526737</v>
      </c>
      <c r="E79" s="150">
        <f t="shared" si="5"/>
        <v>0.585060241141374</v>
      </c>
      <c r="F79" s="150">
        <f t="shared" si="3"/>
        <v>1.0184397707863835E-2</v>
      </c>
      <c r="G79" s="150"/>
      <c r="H79" s="78"/>
      <c r="I79" s="22"/>
      <c r="J79" s="107"/>
      <c r="K79" s="22"/>
      <c r="L79" s="107"/>
      <c r="M79" s="107"/>
      <c r="N79" s="160"/>
      <c r="O79" s="33"/>
      <c r="P79" s="113"/>
      <c r="Q79" s="82"/>
      <c r="R79" s="82"/>
      <c r="S79" s="82"/>
      <c r="T79" s="82"/>
      <c r="U79" s="82"/>
      <c r="V79" s="82"/>
    </row>
    <row r="80" spans="1:22" x14ac:dyDescent="0.2">
      <c r="A80" s="49">
        <v>392.74526977539062</v>
      </c>
      <c r="B80" s="69">
        <v>0.67455033734181069</v>
      </c>
      <c r="C80" s="150">
        <f t="shared" si="4"/>
        <v>0.65972527967506189</v>
      </c>
      <c r="D80" s="150">
        <f t="shared" si="1"/>
        <v>0.60108980964574055</v>
      </c>
      <c r="E80" s="150">
        <f t="shared" si="5"/>
        <v>0.59574943122242674</v>
      </c>
      <c r="F80" s="150">
        <f t="shared" si="3"/>
        <v>1.0689190081052735E-2</v>
      </c>
      <c r="G80" s="150"/>
      <c r="H80" s="78"/>
      <c r="I80" s="22"/>
      <c r="J80" s="107"/>
      <c r="K80" s="22"/>
      <c r="L80" s="107"/>
      <c r="M80" s="107"/>
      <c r="N80" s="160"/>
      <c r="O80" s="33"/>
      <c r="P80" s="113"/>
      <c r="Q80" s="82"/>
      <c r="R80" s="82"/>
      <c r="S80" s="82"/>
      <c r="T80" s="82"/>
      <c r="U80" s="82"/>
      <c r="V80" s="82"/>
    </row>
    <row r="81" spans="1:22" x14ac:dyDescent="0.2">
      <c r="A81" s="49">
        <v>429.1458740234375</v>
      </c>
      <c r="B81" s="69">
        <v>0.68715288534873264</v>
      </c>
      <c r="C81" s="150">
        <f t="shared" si="4"/>
        <v>0.67232782768198385</v>
      </c>
      <c r="D81" s="150">
        <f t="shared" si="1"/>
        <v>0.61231990288442117</v>
      </c>
      <c r="E81" s="150">
        <f t="shared" si="5"/>
        <v>0.60712986644051492</v>
      </c>
      <c r="F81" s="150">
        <f t="shared" si="3"/>
        <v>1.1380435218088181E-2</v>
      </c>
      <c r="G81" s="150"/>
      <c r="H81" s="78"/>
      <c r="I81" s="22"/>
      <c r="J81" s="107"/>
      <c r="K81" s="22"/>
      <c r="L81" s="107"/>
      <c r="M81" s="107"/>
      <c r="N81" s="160"/>
      <c r="O81" s="33"/>
      <c r="P81" s="113"/>
      <c r="Q81" s="82"/>
      <c r="R81" s="82"/>
      <c r="S81" s="82"/>
      <c r="T81" s="82"/>
      <c r="U81" s="82"/>
      <c r="V81" s="82"/>
    </row>
    <row r="82" spans="1:22" x14ac:dyDescent="0.2">
      <c r="A82" s="49">
        <v>469.15017700195312</v>
      </c>
      <c r="B82" s="69">
        <v>0.69978814413511292</v>
      </c>
      <c r="C82" s="150">
        <f t="shared" ref="C82:C113" si="6">IF(B82-I$27&lt;0,0,B82-I$27)</f>
        <v>0.68496308646836412</v>
      </c>
      <c r="D82" s="150">
        <f t="shared" si="1"/>
        <v>0.62357914460188768</v>
      </c>
      <c r="E82" s="150">
        <f t="shared" ref="E82:E113" si="7">C82/$H$23</f>
        <v>0.6185398403603285</v>
      </c>
      <c r="F82" s="150">
        <f t="shared" si="3"/>
        <v>1.1409973919813576E-2</v>
      </c>
      <c r="G82" s="150"/>
      <c r="H82" s="78"/>
      <c r="I82" s="22"/>
      <c r="J82" s="107"/>
      <c r="K82" s="22"/>
      <c r="L82" s="107"/>
      <c r="M82" s="107"/>
      <c r="N82" s="160"/>
      <c r="O82" s="33"/>
      <c r="P82" s="113"/>
      <c r="Q82" s="82"/>
      <c r="R82" s="82"/>
      <c r="S82" s="82"/>
      <c r="T82" s="82"/>
      <c r="U82" s="82"/>
      <c r="V82" s="82"/>
    </row>
    <row r="83" spans="1:22" x14ac:dyDescent="0.2">
      <c r="A83" s="49">
        <v>513.83038330078125</v>
      </c>
      <c r="B83" s="69">
        <v>0.71323034174853106</v>
      </c>
      <c r="C83" s="150">
        <f t="shared" si="6"/>
        <v>0.69840528408178226</v>
      </c>
      <c r="D83" s="150">
        <f t="shared" si="1"/>
        <v>0.63555744712043727</v>
      </c>
      <c r="E83" s="150">
        <f t="shared" si="7"/>
        <v>0.63067850145046844</v>
      </c>
      <c r="F83" s="150">
        <f t="shared" si="3"/>
        <v>1.2138661090139946E-2</v>
      </c>
      <c r="G83" s="150"/>
      <c r="H83" s="78"/>
      <c r="I83" s="107"/>
      <c r="J83" s="107"/>
      <c r="K83" s="22"/>
      <c r="L83" s="107"/>
      <c r="M83" s="107"/>
      <c r="N83" s="160"/>
      <c r="O83" s="33"/>
      <c r="P83" s="113"/>
      <c r="Q83" s="82"/>
      <c r="R83" s="82"/>
      <c r="S83" s="82"/>
      <c r="T83" s="82"/>
      <c r="U83" s="82"/>
      <c r="V83" s="82"/>
    </row>
    <row r="84" spans="1:22" x14ac:dyDescent="0.2">
      <c r="A84" s="49">
        <v>562.29156494140625</v>
      </c>
      <c r="B84" s="69">
        <v>0.72764919498675606</v>
      </c>
      <c r="C84" s="150">
        <f t="shared" si="6"/>
        <v>0.71282413732000727</v>
      </c>
      <c r="D84" s="150">
        <f t="shared" si="1"/>
        <v>0.64840604457637896</v>
      </c>
      <c r="E84" s="150">
        <f t="shared" si="7"/>
        <v>0.64369910848220602</v>
      </c>
      <c r="F84" s="150">
        <f t="shared" si="3"/>
        <v>1.3020607031737574E-2</v>
      </c>
      <c r="G84" s="150"/>
      <c r="H84" s="78"/>
      <c r="I84" s="107"/>
      <c r="J84" s="107"/>
      <c r="K84" s="22"/>
      <c r="L84" s="107"/>
      <c r="M84" s="107"/>
      <c r="N84" s="160"/>
      <c r="O84" s="33"/>
      <c r="P84" s="113"/>
      <c r="Q84" s="82"/>
      <c r="R84" s="82"/>
      <c r="S84" s="82"/>
      <c r="T84" s="82"/>
      <c r="U84" s="82"/>
      <c r="V84" s="82"/>
    </row>
    <row r="85" spans="1:22" x14ac:dyDescent="0.2">
      <c r="A85" s="49">
        <v>613.73175048828125</v>
      </c>
      <c r="B85" s="69">
        <v>0.74242841380202307</v>
      </c>
      <c r="C85" s="150">
        <f t="shared" si="6"/>
        <v>0.72760335613527427</v>
      </c>
      <c r="D85" s="150">
        <f t="shared" si="1"/>
        <v>0.66157576273171959</v>
      </c>
      <c r="E85" s="150">
        <f t="shared" si="7"/>
        <v>0.65704513519114727</v>
      </c>
      <c r="F85" s="150">
        <f t="shared" si="3"/>
        <v>1.334602670894125E-2</v>
      </c>
      <c r="G85" s="150"/>
      <c r="H85" s="78"/>
      <c r="I85" s="107"/>
      <c r="J85" s="107"/>
      <c r="K85" s="22"/>
      <c r="L85" s="107"/>
      <c r="M85" s="107"/>
      <c r="N85" s="160"/>
      <c r="O85" s="33"/>
      <c r="P85" s="113"/>
      <c r="Q85" s="82"/>
      <c r="R85" s="82"/>
      <c r="S85" s="82"/>
      <c r="T85" s="82"/>
      <c r="U85" s="82"/>
      <c r="V85" s="82"/>
    </row>
    <row r="86" spans="1:22" x14ac:dyDescent="0.2">
      <c r="A86" s="49">
        <v>671.674560546875</v>
      </c>
      <c r="B86" s="69">
        <v>0.75813265115880513</v>
      </c>
      <c r="C86" s="150">
        <f t="shared" si="6"/>
        <v>0.74330759349205633</v>
      </c>
      <c r="D86" s="150">
        <f t="shared" si="1"/>
        <v>0.67556976217232223</v>
      </c>
      <c r="E86" s="150">
        <f t="shared" si="7"/>
        <v>0.67122647818545089</v>
      </c>
      <c r="F86" s="150">
        <f t="shared" si="3"/>
        <v>1.4181342994303625E-2</v>
      </c>
      <c r="G86" s="150"/>
      <c r="H86" s="78"/>
      <c r="I86" s="107"/>
      <c r="J86" s="107"/>
      <c r="K86" s="22"/>
      <c r="L86" s="107"/>
      <c r="M86" s="107"/>
      <c r="N86" s="160"/>
      <c r="O86" s="33"/>
      <c r="P86" s="113"/>
      <c r="Q86" s="82"/>
      <c r="R86" s="82"/>
      <c r="S86" s="82"/>
      <c r="T86" s="82"/>
      <c r="U86" s="82"/>
      <c r="V86" s="82"/>
    </row>
    <row r="87" spans="1:22" x14ac:dyDescent="0.2">
      <c r="A87" s="49">
        <v>735.85565185546875</v>
      </c>
      <c r="B87" s="69">
        <v>0.7747307643529131</v>
      </c>
      <c r="C87" s="150">
        <f t="shared" si="6"/>
        <v>0.75990570668616431</v>
      </c>
      <c r="D87" s="150">
        <f t="shared" si="1"/>
        <v>0.69036029172663371</v>
      </c>
      <c r="E87" s="150">
        <f t="shared" si="7"/>
        <v>0.68621501477696301</v>
      </c>
      <c r="F87" s="150">
        <f t="shared" si="3"/>
        <v>1.4988536591512114E-2</v>
      </c>
      <c r="G87" s="150"/>
      <c r="H87" s="78"/>
      <c r="I87" s="107"/>
      <c r="J87" s="107"/>
      <c r="K87" s="22"/>
      <c r="L87" s="107"/>
      <c r="M87" s="107"/>
      <c r="N87" s="160"/>
      <c r="O87" s="33"/>
      <c r="P87" s="113"/>
      <c r="Q87" s="82"/>
      <c r="R87" s="82"/>
      <c r="S87" s="82"/>
      <c r="T87" s="82"/>
      <c r="U87" s="82"/>
      <c r="V87" s="82"/>
    </row>
    <row r="88" spans="1:22" x14ac:dyDescent="0.2">
      <c r="A88" s="49">
        <v>804.97662353515625</v>
      </c>
      <c r="B88" s="69">
        <v>0.79142040938251756</v>
      </c>
      <c r="C88" s="150">
        <f t="shared" si="6"/>
        <v>0.77659535171576877</v>
      </c>
      <c r="D88" s="150">
        <f t="shared" si="1"/>
        <v>0.7052323850287181</v>
      </c>
      <c r="E88" s="150">
        <f t="shared" si="7"/>
        <v>0.70128620704442968</v>
      </c>
      <c r="F88" s="150">
        <f t="shared" si="3"/>
        <v>1.5071192267466671E-2</v>
      </c>
      <c r="G88" s="150"/>
      <c r="H88" s="78"/>
      <c r="I88" s="107"/>
      <c r="J88" s="107"/>
      <c r="K88" s="22"/>
      <c r="L88" s="107"/>
      <c r="M88" s="107"/>
      <c r="N88" s="160"/>
      <c r="O88" s="33"/>
      <c r="P88" s="113"/>
      <c r="Q88" s="82"/>
      <c r="R88" s="82"/>
      <c r="S88" s="82"/>
      <c r="T88" s="82"/>
      <c r="U88" s="82"/>
      <c r="V88" s="82"/>
    </row>
    <row r="89" spans="1:22" x14ac:dyDescent="0.2">
      <c r="A89" s="49">
        <v>879.329345703125</v>
      </c>
      <c r="B89" s="69">
        <v>0.80814119711631083</v>
      </c>
      <c r="C89" s="150">
        <f t="shared" si="6"/>
        <v>0.79331613944956203</v>
      </c>
      <c r="D89" s="150">
        <f t="shared" si="1"/>
        <v>0.72013222950235556</v>
      </c>
      <c r="E89" s="150">
        <f t="shared" si="7"/>
        <v>0.71638552200004968</v>
      </c>
      <c r="F89" s="150">
        <f t="shared" si="3"/>
        <v>1.5099314955620002E-2</v>
      </c>
      <c r="G89" s="150"/>
      <c r="H89" s="78"/>
      <c r="I89" s="107"/>
      <c r="J89" s="107"/>
      <c r="K89" s="22"/>
      <c r="L89" s="107"/>
      <c r="M89" s="107"/>
      <c r="N89" s="160"/>
      <c r="O89" s="33"/>
      <c r="P89" s="113"/>
      <c r="Q89" s="82"/>
      <c r="R89" s="82"/>
      <c r="S89" s="82"/>
      <c r="T89" s="82"/>
      <c r="U89" s="82"/>
      <c r="V89" s="82"/>
    </row>
    <row r="90" spans="1:22" x14ac:dyDescent="0.2">
      <c r="A90" s="49">
        <v>961.685791015625</v>
      </c>
      <c r="B90" s="69">
        <v>0.82523190474622987</v>
      </c>
      <c r="C90" s="150">
        <f t="shared" si="6"/>
        <v>0.81040684707948107</v>
      </c>
      <c r="D90" s="150">
        <f t="shared" si="1"/>
        <v>0.7353617085008568</v>
      </c>
      <c r="E90" s="150">
        <f t="shared" si="7"/>
        <v>0.7318188844364989</v>
      </c>
      <c r="F90" s="150">
        <f t="shared" si="3"/>
        <v>1.5433362436449216E-2</v>
      </c>
      <c r="G90" s="150"/>
      <c r="H90" s="78"/>
      <c r="I90" s="107"/>
      <c r="J90" s="107"/>
      <c r="K90" s="22"/>
      <c r="L90" s="107"/>
      <c r="M90" s="107"/>
      <c r="N90" s="160"/>
      <c r="O90" s="33"/>
      <c r="P90" s="113"/>
      <c r="Q90" s="82"/>
      <c r="R90" s="82"/>
      <c r="S90" s="82"/>
      <c r="T90" s="82"/>
      <c r="U90" s="82"/>
      <c r="V90" s="82"/>
    </row>
    <row r="91" spans="1:22" x14ac:dyDescent="0.2">
      <c r="A91" s="49">
        <v>1048.0577392578125</v>
      </c>
      <c r="B91" s="69">
        <v>0.8414193280872061</v>
      </c>
      <c r="C91" s="150">
        <f t="shared" si="6"/>
        <v>0.8265942704204573</v>
      </c>
      <c r="D91" s="150">
        <f t="shared" si="1"/>
        <v>0.74978627354225258</v>
      </c>
      <c r="E91" s="150">
        <f t="shared" si="7"/>
        <v>0.74643655719430668</v>
      </c>
      <c r="F91" s="150">
        <f t="shared" si="3"/>
        <v>1.4617672757807787E-2</v>
      </c>
      <c r="G91" s="150"/>
      <c r="H91" s="78"/>
      <c r="I91" s="107"/>
      <c r="J91" s="107"/>
      <c r="K91" s="22"/>
      <c r="L91" s="107"/>
      <c r="M91" s="107"/>
      <c r="N91" s="160"/>
      <c r="O91" s="33"/>
      <c r="P91" s="113"/>
      <c r="Q91" s="82"/>
      <c r="R91" s="82"/>
      <c r="S91" s="82"/>
      <c r="T91" s="82"/>
      <c r="U91" s="82"/>
      <c r="V91" s="82"/>
    </row>
    <row r="92" spans="1:22" x14ac:dyDescent="0.2">
      <c r="A92" s="49">
        <v>1148.8321533203125</v>
      </c>
      <c r="B92" s="69">
        <v>0.85867406368368404</v>
      </c>
      <c r="C92" s="150">
        <f t="shared" si="6"/>
        <v>0.84384900601693524</v>
      </c>
      <c r="D92" s="150">
        <f t="shared" si="1"/>
        <v>0.76516191737640415</v>
      </c>
      <c r="E92" s="150">
        <f t="shared" si="7"/>
        <v>0.76201804123650996</v>
      </c>
      <c r="F92" s="150">
        <f t="shared" si="3"/>
        <v>1.5581484042203275E-2</v>
      </c>
      <c r="G92" s="150"/>
      <c r="H92" s="78"/>
      <c r="I92" s="107"/>
      <c r="J92" s="107"/>
      <c r="K92" s="107"/>
      <c r="L92" s="107"/>
      <c r="M92" s="107"/>
      <c r="N92" s="160"/>
      <c r="O92" s="33"/>
      <c r="P92" s="113"/>
      <c r="Q92" s="82"/>
      <c r="R92" s="82"/>
      <c r="S92" s="82"/>
      <c r="T92" s="82"/>
      <c r="U92" s="82"/>
      <c r="V92" s="82"/>
    </row>
    <row r="93" spans="1:22" x14ac:dyDescent="0.2">
      <c r="A93" s="49">
        <v>1258.2447509765625</v>
      </c>
      <c r="B93" s="69">
        <v>0.8754168774049832</v>
      </c>
      <c r="C93" s="150">
        <f t="shared" si="6"/>
        <v>0.8605918197382344</v>
      </c>
      <c r="D93" s="150">
        <f t="shared" si="1"/>
        <v>0.78008138914233427</v>
      </c>
      <c r="E93" s="150">
        <f t="shared" si="7"/>
        <v>0.7771372462432361</v>
      </c>
      <c r="F93" s="150">
        <f t="shared" si="3"/>
        <v>1.5119205006726144E-2</v>
      </c>
      <c r="G93" s="150"/>
      <c r="H93" s="78"/>
      <c r="I93" s="107"/>
      <c r="J93" s="107"/>
      <c r="K93" s="107"/>
      <c r="L93" s="107"/>
      <c r="M93" s="107"/>
      <c r="N93" s="160"/>
      <c r="O93" s="33"/>
      <c r="P93" s="113"/>
      <c r="Q93" s="82"/>
      <c r="R93" s="82"/>
      <c r="S93" s="82"/>
      <c r="T93" s="82"/>
      <c r="U93" s="82"/>
      <c r="V93" s="82"/>
    </row>
    <row r="94" spans="1:22" x14ac:dyDescent="0.2">
      <c r="A94" s="49">
        <v>1377.0615234375</v>
      </c>
      <c r="B94" s="69">
        <v>0.89165141593777675</v>
      </c>
      <c r="C94" s="150">
        <f t="shared" si="6"/>
        <v>0.87682635827102795</v>
      </c>
      <c r="D94" s="150">
        <f t="shared" si="1"/>
        <v>0.79454793839174709</v>
      </c>
      <c r="E94" s="150">
        <f t="shared" si="7"/>
        <v>0.79179746526930406</v>
      </c>
      <c r="F94" s="150">
        <f t="shared" si="3"/>
        <v>1.4660219026067955E-2</v>
      </c>
      <c r="G94" s="150"/>
      <c r="H94" s="78"/>
      <c r="I94" s="107"/>
      <c r="J94" s="107"/>
      <c r="K94" s="107"/>
      <c r="L94" s="107"/>
      <c r="M94" s="107"/>
      <c r="N94" s="160"/>
      <c r="O94" s="33"/>
      <c r="P94" s="113"/>
      <c r="Q94" s="82"/>
      <c r="R94" s="82"/>
      <c r="S94" s="82"/>
      <c r="T94" s="82"/>
      <c r="U94" s="82"/>
      <c r="V94" s="82"/>
    </row>
    <row r="95" spans="1:22" x14ac:dyDescent="0.2">
      <c r="A95" s="49">
        <v>1508.364013671875</v>
      </c>
      <c r="B95" s="69">
        <v>0.90703977729492924</v>
      </c>
      <c r="C95" s="150">
        <f t="shared" si="6"/>
        <v>0.89221471962818044</v>
      </c>
      <c r="D95" s="150">
        <f t="shared" si="1"/>
        <v>0.80826046166374066</v>
      </c>
      <c r="E95" s="150">
        <f t="shared" si="7"/>
        <v>0.80569356385519442</v>
      </c>
      <c r="F95" s="150">
        <f t="shared" si="3"/>
        <v>1.389609858589036E-2</v>
      </c>
      <c r="G95" s="150"/>
      <c r="H95" s="78"/>
      <c r="I95" s="107"/>
      <c r="J95" s="107"/>
      <c r="K95" s="107"/>
      <c r="L95" s="107"/>
      <c r="M95" s="107"/>
      <c r="N95" s="160"/>
      <c r="O95" s="33"/>
      <c r="P95" s="113"/>
      <c r="Q95" s="82"/>
      <c r="R95" s="82"/>
      <c r="S95" s="82"/>
      <c r="T95" s="82"/>
      <c r="U95" s="82"/>
      <c r="V95" s="82"/>
    </row>
    <row r="96" spans="1:22" x14ac:dyDescent="0.2">
      <c r="A96" s="49">
        <v>1647.9024658203125</v>
      </c>
      <c r="B96" s="69">
        <v>0.92118308688812989</v>
      </c>
      <c r="C96" s="150">
        <f t="shared" si="6"/>
        <v>0.90635802922138109</v>
      </c>
      <c r="D96" s="150">
        <f t="shared" si="1"/>
        <v>0.82086352299292042</v>
      </c>
      <c r="E96" s="150">
        <f t="shared" si="7"/>
        <v>0.81846534766481593</v>
      </c>
      <c r="F96" s="150">
        <f t="shared" si="3"/>
        <v>1.2771783809621517E-2</v>
      </c>
      <c r="G96" s="150"/>
      <c r="H96" s="78"/>
      <c r="I96" s="107"/>
      <c r="J96" s="107"/>
      <c r="K96" s="107"/>
      <c r="L96" s="107"/>
      <c r="M96" s="107"/>
      <c r="N96" s="160"/>
      <c r="O96" s="33"/>
      <c r="P96" s="113"/>
      <c r="Q96" s="82"/>
      <c r="R96" s="82"/>
      <c r="S96" s="82"/>
      <c r="T96" s="82"/>
      <c r="U96" s="82"/>
      <c r="V96" s="82"/>
    </row>
    <row r="97" spans="1:22" x14ac:dyDescent="0.2">
      <c r="A97" s="49">
        <v>1808.3631591796875</v>
      </c>
      <c r="B97" s="69">
        <v>0.9355614619042828</v>
      </c>
      <c r="C97" s="150">
        <f t="shared" si="6"/>
        <v>0.920736404237534</v>
      </c>
      <c r="D97" s="150">
        <f t="shared" si="1"/>
        <v>0.83367605042494652</v>
      </c>
      <c r="E97" s="150">
        <f t="shared" si="7"/>
        <v>0.83144940178806381</v>
      </c>
      <c r="F97" s="150">
        <f t="shared" si="3"/>
        <v>1.2984054123247879E-2</v>
      </c>
      <c r="G97" s="150"/>
      <c r="H97" s="78"/>
      <c r="I97" s="107"/>
      <c r="J97" s="107"/>
      <c r="K97" s="107"/>
      <c r="L97" s="107"/>
      <c r="M97" s="107"/>
      <c r="N97" s="160"/>
      <c r="O97" s="33"/>
      <c r="P97" s="113"/>
      <c r="Q97" s="82"/>
      <c r="R97" s="82"/>
      <c r="S97" s="82"/>
      <c r="T97" s="82"/>
      <c r="U97" s="82"/>
      <c r="V97" s="82"/>
    </row>
    <row r="98" spans="1:22" x14ac:dyDescent="0.2">
      <c r="A98" s="49">
        <v>1977.573974609375</v>
      </c>
      <c r="B98" s="69">
        <v>0.94840283142143034</v>
      </c>
      <c r="C98" s="150">
        <f t="shared" si="6"/>
        <v>0.93357777375468154</v>
      </c>
      <c r="D98" s="150">
        <f t="shared" si="1"/>
        <v>0.8451189568047287</v>
      </c>
      <c r="E98" s="150">
        <f t="shared" si="7"/>
        <v>0.84304549916624172</v>
      </c>
      <c r="F98" s="150">
        <f t="shared" si="3"/>
        <v>1.1596097378177905E-2</v>
      </c>
      <c r="G98" s="150"/>
      <c r="H98" s="78"/>
      <c r="I98" s="107"/>
      <c r="J98" s="107"/>
      <c r="K98" s="107"/>
      <c r="L98" s="107"/>
      <c r="M98" s="107"/>
      <c r="N98" s="160"/>
      <c r="O98" s="33"/>
      <c r="P98" s="113"/>
      <c r="Q98" s="82"/>
      <c r="R98" s="82"/>
      <c r="S98" s="82"/>
      <c r="T98" s="82"/>
      <c r="U98" s="82"/>
      <c r="V98" s="82"/>
    </row>
    <row r="99" spans="1:22" x14ac:dyDescent="0.2">
      <c r="A99" s="49">
        <v>2158.742919921875</v>
      </c>
      <c r="B99" s="69">
        <v>0.96016616742425698</v>
      </c>
      <c r="C99" s="150">
        <f t="shared" si="6"/>
        <v>0.94534110975750818</v>
      </c>
      <c r="D99" s="150">
        <f t="shared" si="1"/>
        <v>0.85560123070974492</v>
      </c>
      <c r="E99" s="150">
        <f t="shared" si="7"/>
        <v>0.85366810367885637</v>
      </c>
      <c r="F99" s="150">
        <f t="shared" si="3"/>
        <v>1.0622604512614653E-2</v>
      </c>
      <c r="G99" s="150"/>
      <c r="H99" s="78"/>
      <c r="I99" s="107"/>
      <c r="J99" s="107"/>
      <c r="K99" s="107"/>
      <c r="L99" s="107"/>
      <c r="M99" s="107"/>
      <c r="N99" s="160"/>
      <c r="O99" s="33"/>
      <c r="P99" s="113"/>
      <c r="Q99" s="82"/>
      <c r="R99" s="82"/>
      <c r="S99" s="82"/>
      <c r="T99" s="82"/>
      <c r="U99" s="82"/>
      <c r="V99" s="82"/>
    </row>
    <row r="100" spans="1:22" x14ac:dyDescent="0.2">
      <c r="A100" s="49">
        <v>2368.0859375</v>
      </c>
      <c r="B100" s="69">
        <v>0.97190915491544738</v>
      </c>
      <c r="C100" s="150">
        <f t="shared" si="6"/>
        <v>0.95708409724869858</v>
      </c>
      <c r="D100" s="150">
        <f t="shared" si="1"/>
        <v>0.86606537211625234</v>
      </c>
      <c r="E100" s="150">
        <f t="shared" si="7"/>
        <v>0.86427233294558159</v>
      </c>
      <c r="F100" s="150">
        <f t="shared" si="3"/>
        <v>1.0604229266725218E-2</v>
      </c>
      <c r="G100" s="150"/>
      <c r="H100" s="78"/>
      <c r="I100" s="107"/>
      <c r="J100" s="107"/>
      <c r="K100" s="107"/>
      <c r="L100" s="107"/>
      <c r="M100" s="107"/>
      <c r="N100" s="160"/>
      <c r="O100" s="33"/>
      <c r="P100" s="113"/>
      <c r="Q100" s="82"/>
      <c r="R100" s="82"/>
      <c r="S100" s="82"/>
      <c r="T100" s="82"/>
      <c r="U100" s="82"/>
      <c r="V100" s="82"/>
    </row>
    <row r="101" spans="1:22" x14ac:dyDescent="0.2">
      <c r="A101" s="49">
        <v>2587.8798828125</v>
      </c>
      <c r="B101" s="69">
        <v>0.98263384162002343</v>
      </c>
      <c r="C101" s="150">
        <f t="shared" si="6"/>
        <v>0.96780878395327463</v>
      </c>
      <c r="D101" s="150">
        <f t="shared" si="1"/>
        <v>0.87562210870490698</v>
      </c>
      <c r="E101" s="150">
        <f t="shared" si="7"/>
        <v>0.87395700958467715</v>
      </c>
      <c r="F101" s="150">
        <f t="shared" si="3"/>
        <v>9.6846766390955574E-3</v>
      </c>
      <c r="G101" s="150"/>
      <c r="H101" s="78"/>
      <c r="I101" s="107"/>
      <c r="J101" s="107"/>
      <c r="K101" s="107"/>
      <c r="L101" s="107"/>
      <c r="M101" s="107"/>
      <c r="N101" s="160"/>
      <c r="O101" s="33"/>
      <c r="P101" s="113"/>
      <c r="Q101" s="82"/>
      <c r="R101" s="82"/>
      <c r="S101" s="82"/>
      <c r="T101" s="82"/>
      <c r="U101" s="82"/>
      <c r="V101" s="82"/>
    </row>
    <row r="102" spans="1:22" x14ac:dyDescent="0.2">
      <c r="A102" s="49">
        <v>2827.276611328125</v>
      </c>
      <c r="B102" s="69">
        <v>0.99287308139466779</v>
      </c>
      <c r="C102" s="150">
        <f t="shared" si="6"/>
        <v>0.97804802372791899</v>
      </c>
      <c r="D102" s="150">
        <f t="shared" si="1"/>
        <v>0.88474626497071185</v>
      </c>
      <c r="E102" s="150">
        <f t="shared" si="7"/>
        <v>0.88320331476628078</v>
      </c>
      <c r="F102" s="150">
        <f t="shared" si="3"/>
        <v>9.2463051816036312E-3</v>
      </c>
      <c r="G102" s="150"/>
      <c r="H102" s="78"/>
      <c r="I102" s="107"/>
      <c r="J102" s="107"/>
      <c r="K102" s="107"/>
      <c r="L102" s="107"/>
      <c r="M102" s="107"/>
      <c r="N102" s="160"/>
      <c r="O102" s="33"/>
      <c r="P102" s="113"/>
      <c r="Q102" s="82"/>
      <c r="R102" s="82"/>
      <c r="S102" s="82"/>
      <c r="T102" s="82"/>
      <c r="U102" s="82"/>
      <c r="V102" s="82"/>
    </row>
    <row r="103" spans="1:22" x14ac:dyDescent="0.2">
      <c r="A103" s="49">
        <v>3099.2099609375</v>
      </c>
      <c r="B103" s="69">
        <v>1.0028194192957236</v>
      </c>
      <c r="C103" s="150">
        <f t="shared" si="6"/>
        <v>0.9879943616289748</v>
      </c>
      <c r="D103" s="150">
        <f t="shared" si="1"/>
        <v>0.8936094172436434</v>
      </c>
      <c r="E103" s="150">
        <f t="shared" si="7"/>
        <v>0.89218512178483045</v>
      </c>
      <c r="F103" s="150">
        <f t="shared" si="3"/>
        <v>8.9818070185496701E-3</v>
      </c>
      <c r="G103" s="150"/>
      <c r="H103" s="78"/>
      <c r="I103" s="107"/>
      <c r="J103" s="107"/>
      <c r="K103" s="107"/>
      <c r="L103" s="107"/>
      <c r="M103" s="107"/>
      <c r="N103" s="160"/>
      <c r="O103" s="33"/>
      <c r="P103" s="113"/>
      <c r="Q103" s="82"/>
      <c r="R103" s="82"/>
      <c r="S103" s="82"/>
      <c r="T103" s="82"/>
      <c r="U103" s="82"/>
      <c r="V103" s="82"/>
    </row>
    <row r="104" spans="1:22" x14ac:dyDescent="0.2">
      <c r="A104" s="49">
        <v>3388.435791015625</v>
      </c>
      <c r="B104" s="69">
        <v>1.0118569299440934</v>
      </c>
      <c r="C104" s="150">
        <f t="shared" si="6"/>
        <v>0.99703187227734458</v>
      </c>
      <c r="D104" s="150">
        <f t="shared" si="1"/>
        <v>0.90166271624087935</v>
      </c>
      <c r="E104" s="150">
        <f t="shared" si="7"/>
        <v>0.90034623368141375</v>
      </c>
      <c r="F104" s="150">
        <f t="shared" si="3"/>
        <v>8.1611118965833063E-3</v>
      </c>
      <c r="G104" s="150"/>
      <c r="H104" s="78"/>
      <c r="I104" s="107"/>
      <c r="J104" s="107"/>
      <c r="K104" s="107"/>
      <c r="L104" s="107"/>
      <c r="M104" s="107"/>
      <c r="N104" s="160"/>
      <c r="O104" s="33"/>
      <c r="P104" s="113"/>
      <c r="Q104" s="82"/>
      <c r="R104" s="82"/>
      <c r="S104" s="82"/>
      <c r="T104" s="82"/>
      <c r="U104" s="82"/>
      <c r="V104" s="82"/>
    </row>
    <row r="105" spans="1:22" x14ac:dyDescent="0.2">
      <c r="A105" s="49">
        <v>3708.822265625</v>
      </c>
      <c r="B105" s="69">
        <v>1.0206339942302658</v>
      </c>
      <c r="C105" s="150">
        <f t="shared" si="6"/>
        <v>1.005808936563517</v>
      </c>
      <c r="D105" s="150">
        <f t="shared" si="1"/>
        <v>0.90948393225540847</v>
      </c>
      <c r="E105" s="150">
        <f t="shared" si="7"/>
        <v>0.90827215560283125</v>
      </c>
      <c r="F105" s="150">
        <f t="shared" si="3"/>
        <v>7.9259219214175003E-3</v>
      </c>
      <c r="G105" s="150"/>
      <c r="H105" s="78"/>
      <c r="I105" s="107"/>
      <c r="J105" s="107"/>
      <c r="K105" s="107"/>
      <c r="L105" s="107"/>
      <c r="M105" s="107"/>
      <c r="N105" s="160"/>
      <c r="O105" s="33"/>
      <c r="P105" s="113"/>
      <c r="Q105" s="82"/>
      <c r="R105" s="82"/>
      <c r="S105" s="82"/>
      <c r="T105" s="82"/>
      <c r="U105" s="82"/>
      <c r="V105" s="82"/>
    </row>
    <row r="106" spans="1:22" x14ac:dyDescent="0.2">
      <c r="A106" s="49">
        <v>4054.741455078125</v>
      </c>
      <c r="B106" s="69">
        <v>1.0285715183105424</v>
      </c>
      <c r="C106" s="150">
        <f t="shared" si="6"/>
        <v>1.0137464606437936</v>
      </c>
      <c r="D106" s="150">
        <f t="shared" si="1"/>
        <v>0.9165570364766199</v>
      </c>
      <c r="E106" s="150">
        <f t="shared" si="7"/>
        <v>0.91543995044384174</v>
      </c>
      <c r="F106" s="150">
        <f t="shared" si="3"/>
        <v>7.1677948410104886E-3</v>
      </c>
      <c r="G106" s="150"/>
      <c r="H106" s="78"/>
      <c r="I106" s="107"/>
      <c r="J106" s="107"/>
      <c r="K106" s="107"/>
      <c r="L106" s="107"/>
      <c r="M106" s="107"/>
      <c r="N106" s="160"/>
      <c r="O106" s="33"/>
      <c r="P106" s="113"/>
      <c r="Q106" s="82"/>
      <c r="R106" s="82"/>
      <c r="S106" s="82"/>
      <c r="T106" s="82"/>
      <c r="U106" s="82"/>
      <c r="V106" s="82"/>
    </row>
    <row r="107" spans="1:22" x14ac:dyDescent="0.2">
      <c r="A107" s="49">
        <v>4434.595703125</v>
      </c>
      <c r="B107" s="69">
        <v>1.0359296568121865</v>
      </c>
      <c r="C107" s="150">
        <f t="shared" si="6"/>
        <v>1.0211045991454377</v>
      </c>
      <c r="D107" s="150">
        <f t="shared" si="1"/>
        <v>0.92311385192308382</v>
      </c>
      <c r="E107" s="150">
        <f t="shared" si="7"/>
        <v>0.92208454473522528</v>
      </c>
      <c r="F107" s="150">
        <f t="shared" si="3"/>
        <v>6.6445942913835321E-3</v>
      </c>
      <c r="G107" s="150"/>
      <c r="H107" s="78"/>
      <c r="I107" s="107"/>
      <c r="J107" s="107"/>
      <c r="K107" s="107"/>
      <c r="L107" s="107"/>
      <c r="M107" s="107"/>
      <c r="N107" s="160"/>
      <c r="O107" s="33"/>
      <c r="P107" s="113"/>
      <c r="Q107" s="82"/>
      <c r="R107" s="82"/>
      <c r="S107" s="82"/>
      <c r="T107" s="82"/>
      <c r="U107" s="82"/>
      <c r="V107" s="82"/>
    </row>
    <row r="108" spans="1:22" x14ac:dyDescent="0.2">
      <c r="A108" s="49">
        <v>4844.31884765625</v>
      </c>
      <c r="B108" s="69">
        <v>1.0429739614587381</v>
      </c>
      <c r="C108" s="150">
        <f t="shared" si="6"/>
        <v>1.0281489037919893</v>
      </c>
      <c r="D108" s="150">
        <f t="shared" si="1"/>
        <v>0.92939101094989296</v>
      </c>
      <c r="E108" s="150">
        <f t="shared" si="7"/>
        <v>0.92844573872889435</v>
      </c>
      <c r="F108" s="150">
        <f t="shared" si="3"/>
        <v>6.3611939936690787E-3</v>
      </c>
      <c r="G108" s="150"/>
      <c r="H108" s="78"/>
      <c r="I108" s="107"/>
      <c r="J108" s="107"/>
      <c r="K108" s="107"/>
      <c r="L108" s="107"/>
      <c r="M108" s="107"/>
      <c r="N108" s="160"/>
      <c r="O108" s="33"/>
      <c r="P108" s="113"/>
      <c r="Q108" s="82"/>
      <c r="R108" s="82"/>
      <c r="S108" s="82"/>
      <c r="T108" s="82"/>
      <c r="U108" s="82"/>
      <c r="V108" s="82"/>
    </row>
    <row r="109" spans="1:22" x14ac:dyDescent="0.2">
      <c r="A109" s="49">
        <v>5305.80908203125</v>
      </c>
      <c r="B109" s="69">
        <v>1.0500869696822122</v>
      </c>
      <c r="C109" s="150">
        <f t="shared" si="6"/>
        <v>1.0352619120154634</v>
      </c>
      <c r="D109" s="150">
        <f t="shared" si="1"/>
        <v>0.93572939153080747</v>
      </c>
      <c r="E109" s="150">
        <f t="shared" si="7"/>
        <v>0.93486897387535139</v>
      </c>
      <c r="F109" s="150">
        <f t="shared" si="3"/>
        <v>6.4232351464570403E-3</v>
      </c>
      <c r="G109" s="150"/>
      <c r="H109" s="78"/>
      <c r="I109" s="107"/>
      <c r="J109" s="107"/>
      <c r="K109" s="107"/>
      <c r="L109" s="107"/>
      <c r="M109" s="107"/>
      <c r="N109" s="160"/>
      <c r="O109" s="33"/>
      <c r="P109" s="113"/>
      <c r="Q109" s="82"/>
      <c r="R109" s="82"/>
      <c r="S109" s="82"/>
      <c r="T109" s="82"/>
      <c r="U109" s="82"/>
      <c r="V109" s="82"/>
    </row>
    <row r="110" spans="1:22" x14ac:dyDescent="0.2">
      <c r="A110" s="49">
        <v>5804.2744140625</v>
      </c>
      <c r="B110" s="69">
        <v>1.0563456321518971</v>
      </c>
      <c r="C110" s="150">
        <f t="shared" si="6"/>
        <v>1.0415205744851483</v>
      </c>
      <c r="D110" s="150">
        <f t="shared" si="1"/>
        <v>0.94130646713848531</v>
      </c>
      <c r="E110" s="150">
        <f t="shared" si="7"/>
        <v>0.94052071213883659</v>
      </c>
      <c r="F110" s="150">
        <f t="shared" si="3"/>
        <v>5.6517382634851954E-3</v>
      </c>
      <c r="G110" s="150"/>
      <c r="H110" s="78"/>
      <c r="I110" s="107"/>
      <c r="J110" s="107"/>
      <c r="K110" s="107"/>
      <c r="L110" s="107"/>
      <c r="M110" s="107"/>
      <c r="N110" s="160"/>
      <c r="O110" s="33"/>
      <c r="P110" s="113"/>
      <c r="Q110" s="82"/>
      <c r="R110" s="82"/>
      <c r="S110" s="82"/>
      <c r="T110" s="82"/>
      <c r="U110" s="82"/>
      <c r="V110" s="82"/>
    </row>
    <row r="111" spans="1:22" x14ac:dyDescent="0.2">
      <c r="A111" s="49">
        <v>6355.3916015625</v>
      </c>
      <c r="B111" s="69">
        <v>1.062767812052007</v>
      </c>
      <c r="C111" s="150">
        <f t="shared" si="6"/>
        <v>1.0479427543852582</v>
      </c>
      <c r="D111" s="150">
        <f t="shared" si="1"/>
        <v>0.94702925264457516</v>
      </c>
      <c r="E111" s="150">
        <f t="shared" si="7"/>
        <v>0.94632011098040136</v>
      </c>
      <c r="F111" s="150">
        <f t="shared" si="3"/>
        <v>5.7993988415647735E-3</v>
      </c>
      <c r="G111" s="150"/>
      <c r="H111" s="78"/>
      <c r="I111" s="107"/>
      <c r="J111" s="107"/>
      <c r="K111" s="107"/>
      <c r="L111" s="107"/>
      <c r="M111" s="107"/>
      <c r="N111" s="160"/>
      <c r="O111" s="33"/>
      <c r="P111" s="113"/>
      <c r="Q111" s="82"/>
      <c r="R111" s="82"/>
      <c r="S111" s="82"/>
      <c r="T111" s="82"/>
      <c r="U111" s="82"/>
      <c r="V111" s="82"/>
    </row>
    <row r="112" spans="1:22" x14ac:dyDescent="0.2">
      <c r="A112" s="49">
        <v>6946.6513671875</v>
      </c>
      <c r="B112" s="69">
        <v>1.0683503788124873</v>
      </c>
      <c r="C112" s="150">
        <f t="shared" si="6"/>
        <v>1.0535253211457385</v>
      </c>
      <c r="D112" s="150">
        <f t="shared" si="1"/>
        <v>0.95200386136631288</v>
      </c>
      <c r="E112" s="150">
        <f t="shared" si="7"/>
        <v>0.95136131688046244</v>
      </c>
      <c r="F112" s="150">
        <f t="shared" si="3"/>
        <v>5.0412059000610743E-3</v>
      </c>
      <c r="G112" s="150"/>
      <c r="H112" s="78"/>
      <c r="I112" s="107"/>
      <c r="J112" s="107"/>
      <c r="K112" s="107"/>
      <c r="L112" s="107"/>
      <c r="M112" s="107"/>
      <c r="N112" s="160"/>
      <c r="O112" s="33"/>
      <c r="P112" s="113"/>
      <c r="Q112" s="82"/>
      <c r="R112" s="82"/>
      <c r="S112" s="82"/>
      <c r="T112" s="82"/>
      <c r="U112" s="82"/>
      <c r="V112" s="82"/>
    </row>
    <row r="113" spans="1:22" x14ac:dyDescent="0.2">
      <c r="A113" s="49">
        <v>7604.61376953125</v>
      </c>
      <c r="B113" s="69">
        <v>1.0741022977020696</v>
      </c>
      <c r="C113" s="150">
        <f t="shared" si="6"/>
        <v>1.0592772400353208</v>
      </c>
      <c r="D113" s="150">
        <f t="shared" si="1"/>
        <v>0.95712937926918928</v>
      </c>
      <c r="E113" s="150">
        <f t="shared" si="7"/>
        <v>0.95655545224631333</v>
      </c>
      <c r="F113" s="150">
        <f t="shared" si="3"/>
        <v>5.1941353658508937E-3</v>
      </c>
      <c r="G113" s="150"/>
      <c r="H113" s="78"/>
      <c r="I113" s="107"/>
      <c r="J113" s="107"/>
      <c r="K113" s="107"/>
      <c r="L113" s="107"/>
      <c r="M113" s="107"/>
      <c r="N113" s="160"/>
      <c r="O113" s="33"/>
      <c r="P113" s="113"/>
      <c r="Q113" s="82"/>
      <c r="R113" s="82"/>
      <c r="S113" s="82"/>
      <c r="T113" s="82"/>
      <c r="U113" s="82"/>
      <c r="V113" s="82"/>
    </row>
    <row r="114" spans="1:22" x14ac:dyDescent="0.2">
      <c r="A114" s="49">
        <v>8315.400390625</v>
      </c>
      <c r="B114" s="69">
        <v>1.0792883237537099</v>
      </c>
      <c r="C114" s="150">
        <f t="shared" ref="C114:C136" si="8">IF(B114-I$27&lt;0,0,B114-I$27)</f>
        <v>1.0644632660869611</v>
      </c>
      <c r="D114" s="150">
        <f t="shared" si="1"/>
        <v>0.96175063173862319</v>
      </c>
      <c r="E114" s="150">
        <f t="shared" ref="E114:E136" si="9">C114/$H$23</f>
        <v>0.96123857136536717</v>
      </c>
      <c r="F114" s="150">
        <f t="shared" si="3"/>
        <v>4.6831191190538357E-3</v>
      </c>
      <c r="G114" s="150"/>
      <c r="H114" s="78"/>
      <c r="I114" s="107"/>
      <c r="J114" s="107"/>
      <c r="K114" s="107"/>
      <c r="L114" s="107"/>
      <c r="M114" s="107"/>
      <c r="N114" s="160"/>
      <c r="O114" s="33"/>
      <c r="P114" s="113"/>
      <c r="Q114" s="82"/>
      <c r="R114" s="82"/>
      <c r="S114" s="82"/>
      <c r="T114" s="82"/>
      <c r="U114" s="82"/>
      <c r="V114" s="82"/>
    </row>
    <row r="115" spans="1:22" x14ac:dyDescent="0.2">
      <c r="A115" s="49">
        <v>9094.6044921875</v>
      </c>
      <c r="B115" s="69">
        <v>1.0842648841228439</v>
      </c>
      <c r="C115" s="150">
        <f t="shared" si="8"/>
        <v>1.0694398264560951</v>
      </c>
      <c r="D115" s="150">
        <f t="shared" si="1"/>
        <v>0.96618522995817391</v>
      </c>
      <c r="E115" s="150">
        <f t="shared" si="9"/>
        <v>0.9657325374156237</v>
      </c>
      <c r="F115" s="150">
        <f t="shared" si="3"/>
        <v>4.4939660502565371E-3</v>
      </c>
      <c r="G115" s="150"/>
      <c r="H115" s="78"/>
      <c r="I115" s="107"/>
      <c r="J115" s="107"/>
      <c r="K115" s="107"/>
      <c r="L115" s="107"/>
      <c r="M115" s="107"/>
      <c r="N115" s="160"/>
      <c r="O115" s="33"/>
      <c r="P115" s="113"/>
      <c r="Q115" s="82"/>
      <c r="R115" s="82"/>
      <c r="S115" s="82"/>
      <c r="T115" s="82"/>
      <c r="U115" s="82"/>
      <c r="V115" s="82"/>
    </row>
    <row r="116" spans="1:22" x14ac:dyDescent="0.2">
      <c r="A116" s="49">
        <v>9955.0146484375</v>
      </c>
      <c r="B116" s="69">
        <v>1.0890802609410239</v>
      </c>
      <c r="C116" s="150">
        <f t="shared" si="8"/>
        <v>1.0742552032742751</v>
      </c>
      <c r="D116" s="150">
        <f t="shared" si="1"/>
        <v>0.97047619799240326</v>
      </c>
      <c r="E116" s="150">
        <f t="shared" si="9"/>
        <v>0.97008095044288456</v>
      </c>
      <c r="F116" s="150">
        <f t="shared" si="3"/>
        <v>4.3484130272608557E-3</v>
      </c>
      <c r="G116" s="150"/>
      <c r="H116" s="78"/>
      <c r="I116" s="107"/>
      <c r="J116" s="107"/>
      <c r="K116" s="107"/>
      <c r="L116" s="107"/>
      <c r="M116" s="107"/>
      <c r="N116" s="160"/>
      <c r="O116" s="33"/>
      <c r="P116" s="113"/>
      <c r="Q116" s="82"/>
      <c r="R116" s="82"/>
      <c r="S116" s="82"/>
      <c r="T116" s="82"/>
      <c r="U116" s="82"/>
      <c r="V116" s="82"/>
    </row>
    <row r="117" spans="1:22" x14ac:dyDescent="0.2">
      <c r="A117" s="49">
        <v>10894.6474609375</v>
      </c>
      <c r="B117" s="69">
        <v>1.0934585458945587</v>
      </c>
      <c r="C117" s="150">
        <f t="shared" si="8"/>
        <v>1.0786334882278099</v>
      </c>
      <c r="D117" s="150">
        <f t="shared" si="1"/>
        <v>0.97437767475937942</v>
      </c>
      <c r="E117" s="150">
        <f t="shared" si="9"/>
        <v>0.97403465791955235</v>
      </c>
      <c r="F117" s="150">
        <f t="shared" si="3"/>
        <v>3.9537074766677893E-3</v>
      </c>
      <c r="G117" s="150"/>
      <c r="H117" s="78"/>
      <c r="I117" s="107"/>
      <c r="J117" s="107"/>
      <c r="K117" s="107"/>
      <c r="L117" s="107"/>
      <c r="M117" s="107"/>
      <c r="N117" s="160"/>
      <c r="O117" s="33"/>
      <c r="P117" s="113"/>
      <c r="Q117" s="82"/>
      <c r="R117" s="82"/>
      <c r="S117" s="82"/>
      <c r="T117" s="82"/>
      <c r="U117" s="82"/>
      <c r="V117" s="82"/>
    </row>
    <row r="118" spans="1:22" x14ac:dyDescent="0.2">
      <c r="A118" s="49">
        <v>11895.57421875</v>
      </c>
      <c r="B118" s="69">
        <v>1.0974925106924129</v>
      </c>
      <c r="C118" s="150">
        <f t="shared" si="8"/>
        <v>1.0826674530256641</v>
      </c>
      <c r="D118" s="150">
        <f t="shared" si="1"/>
        <v>0.97797232885445429</v>
      </c>
      <c r="E118" s="150">
        <f t="shared" si="9"/>
        <v>0.97767743516021932</v>
      </c>
      <c r="F118" s="150">
        <f t="shared" si="3"/>
        <v>3.6427772406669723E-3</v>
      </c>
      <c r="G118" s="150"/>
      <c r="H118" s="78"/>
      <c r="I118" s="107"/>
      <c r="J118" s="107"/>
      <c r="K118" s="107"/>
      <c r="L118" s="107"/>
      <c r="M118" s="107"/>
      <c r="N118" s="160"/>
      <c r="O118" s="33"/>
      <c r="P118" s="113"/>
      <c r="Q118" s="82"/>
      <c r="R118" s="82"/>
      <c r="S118" s="82"/>
      <c r="T118" s="82"/>
      <c r="U118" s="82"/>
      <c r="V118" s="82"/>
    </row>
    <row r="119" spans="1:22" x14ac:dyDescent="0.2">
      <c r="A119" s="49">
        <v>12994.7421875</v>
      </c>
      <c r="B119" s="69">
        <v>1.1011639219012215</v>
      </c>
      <c r="C119" s="150">
        <f t="shared" si="8"/>
        <v>1.0863388642344727</v>
      </c>
      <c r="D119" s="150">
        <f t="shared" si="1"/>
        <v>0.9812439125191077</v>
      </c>
      <c r="E119" s="150">
        <f t="shared" si="9"/>
        <v>0.98099281689079154</v>
      </c>
      <c r="F119" s="150">
        <f t="shared" si="3"/>
        <v>3.31538173057222E-3</v>
      </c>
      <c r="G119" s="150"/>
      <c r="H119" s="78"/>
      <c r="I119" s="107"/>
      <c r="J119" s="107"/>
      <c r="K119" s="107"/>
      <c r="L119" s="107"/>
      <c r="M119" s="107"/>
      <c r="N119" s="160"/>
      <c r="O119" s="33"/>
      <c r="P119" s="113"/>
      <c r="Q119" s="82"/>
      <c r="R119" s="82"/>
      <c r="S119" s="82"/>
      <c r="T119" s="82"/>
      <c r="U119" s="82"/>
      <c r="V119" s="82"/>
    </row>
    <row r="120" spans="1:22" x14ac:dyDescent="0.2">
      <c r="A120" s="49">
        <v>14293.283203125</v>
      </c>
      <c r="B120" s="69">
        <v>1.1048015647914364</v>
      </c>
      <c r="C120" s="150">
        <f t="shared" si="8"/>
        <v>1.0899765071246876</v>
      </c>
      <c r="D120" s="150">
        <f t="shared" si="1"/>
        <v>0.98448540533498119</v>
      </c>
      <c r="E120" s="150">
        <f t="shared" si="9"/>
        <v>0.98427770493374067</v>
      </c>
      <c r="F120" s="150">
        <f t="shared" si="3"/>
        <v>3.2848880429491301E-3</v>
      </c>
      <c r="G120" s="150"/>
      <c r="H120" s="78"/>
      <c r="I120" s="107"/>
      <c r="J120" s="107"/>
      <c r="K120" s="107"/>
      <c r="L120" s="107"/>
      <c r="M120" s="107"/>
      <c r="N120" s="160"/>
      <c r="O120" s="33"/>
      <c r="P120" s="113"/>
      <c r="Q120" s="82"/>
      <c r="R120" s="82"/>
      <c r="S120" s="82"/>
      <c r="T120" s="82"/>
      <c r="U120" s="82"/>
      <c r="V120" s="82"/>
    </row>
    <row r="121" spans="1:22" x14ac:dyDescent="0.2">
      <c r="A121" s="49">
        <v>15591.076171875</v>
      </c>
      <c r="B121" s="69">
        <v>1.1079954059135271</v>
      </c>
      <c r="C121" s="150">
        <f t="shared" si="8"/>
        <v>1.0931703482467783</v>
      </c>
      <c r="D121" s="150">
        <f t="shared" si="1"/>
        <v>0.98733142770846549</v>
      </c>
      <c r="E121" s="150">
        <f t="shared" si="9"/>
        <v>0.98716182820522946</v>
      </c>
      <c r="F121" s="150">
        <f t="shared" si="3"/>
        <v>2.8841232714887921E-3</v>
      </c>
      <c r="G121" s="150"/>
      <c r="H121" s="78"/>
      <c r="I121" s="107"/>
      <c r="J121" s="107"/>
      <c r="K121" s="107"/>
      <c r="L121" s="107"/>
      <c r="M121" s="107"/>
      <c r="N121" s="160"/>
      <c r="O121" s="33"/>
      <c r="P121" s="113"/>
      <c r="Q121" s="82"/>
      <c r="R121" s="82"/>
      <c r="S121" s="82"/>
      <c r="T121" s="82"/>
      <c r="U121" s="82"/>
      <c r="V121" s="82"/>
    </row>
    <row r="122" spans="1:22" x14ac:dyDescent="0.2">
      <c r="A122" s="49">
        <v>17095.8125</v>
      </c>
      <c r="B122" s="69">
        <v>1.1108121066998793</v>
      </c>
      <c r="C122" s="150">
        <f t="shared" si="8"/>
        <v>1.0959870490331305</v>
      </c>
      <c r="D122" s="150">
        <f t="shared" si="1"/>
        <v>0.98984138144471212</v>
      </c>
      <c r="E122" s="150">
        <f t="shared" si="9"/>
        <v>0.98970538374734773</v>
      </c>
      <c r="F122" s="150">
        <f t="shared" si="3"/>
        <v>2.5435555421182698E-3</v>
      </c>
      <c r="G122" s="150"/>
      <c r="H122" s="78"/>
      <c r="I122" s="107"/>
      <c r="J122" s="107"/>
      <c r="K122" s="107"/>
      <c r="L122" s="107"/>
      <c r="M122" s="107"/>
      <c r="N122" s="160"/>
      <c r="O122" s="33"/>
      <c r="P122" s="113"/>
      <c r="Q122" s="82"/>
      <c r="R122" s="82"/>
      <c r="S122" s="82"/>
      <c r="T122" s="82"/>
      <c r="U122" s="82"/>
      <c r="V122" s="82"/>
    </row>
    <row r="123" spans="1:22" x14ac:dyDescent="0.2">
      <c r="A123" s="49">
        <v>18694.93359375</v>
      </c>
      <c r="B123" s="69">
        <v>1.1132187011029675</v>
      </c>
      <c r="C123" s="150">
        <f t="shared" si="8"/>
        <v>1.0983936434362187</v>
      </c>
      <c r="D123" s="150">
        <f t="shared" si="1"/>
        <v>0.9919858905963157</v>
      </c>
      <c r="E123" s="150">
        <f t="shared" si="9"/>
        <v>0.99187860234453273</v>
      </c>
      <c r="F123" s="150">
        <f t="shared" si="3"/>
        <v>2.1732185971850004E-3</v>
      </c>
      <c r="G123" s="150"/>
      <c r="H123" s="78"/>
      <c r="I123" s="107"/>
      <c r="J123" s="107"/>
      <c r="K123" s="107"/>
      <c r="L123" s="107"/>
      <c r="M123" s="107"/>
      <c r="N123" s="160"/>
      <c r="O123" s="33"/>
      <c r="P123" s="113"/>
      <c r="Q123" s="82"/>
      <c r="R123" s="82"/>
      <c r="S123" s="82"/>
      <c r="T123" s="82"/>
      <c r="U123" s="82"/>
      <c r="V123" s="82"/>
    </row>
    <row r="124" spans="1:22" x14ac:dyDescent="0.2">
      <c r="A124" s="49">
        <v>20392.146484375</v>
      </c>
      <c r="B124" s="69">
        <v>1.1152005294423653</v>
      </c>
      <c r="C124" s="150">
        <f t="shared" si="8"/>
        <v>1.1003754717756165</v>
      </c>
      <c r="D124" s="150">
        <f t="shared" si="1"/>
        <v>0.99375189196542546</v>
      </c>
      <c r="E124" s="150">
        <f t="shared" si="9"/>
        <v>0.9936682459164119</v>
      </c>
      <c r="F124" s="150">
        <f t="shared" si="3"/>
        <v>1.7896435718791626E-3</v>
      </c>
      <c r="G124" s="150"/>
      <c r="H124" s="78"/>
      <c r="I124" s="107"/>
      <c r="J124" s="107"/>
      <c r="K124" s="107"/>
      <c r="L124" s="107"/>
      <c r="M124" s="107"/>
      <c r="N124" s="160"/>
      <c r="O124" s="33"/>
      <c r="P124" s="113"/>
      <c r="Q124" s="82"/>
      <c r="R124" s="82"/>
      <c r="S124" s="82"/>
      <c r="T124" s="82"/>
      <c r="U124" s="82"/>
      <c r="V124" s="82"/>
    </row>
    <row r="125" spans="1:22" x14ac:dyDescent="0.2">
      <c r="A125" s="49">
        <v>22292.744140625</v>
      </c>
      <c r="B125" s="69">
        <v>1.1152005294423653</v>
      </c>
      <c r="C125" s="150">
        <f t="shared" si="8"/>
        <v>1.1003754717756165</v>
      </c>
      <c r="D125" s="150">
        <f t="shared" si="1"/>
        <v>0.99375189196542546</v>
      </c>
      <c r="E125" s="150">
        <f t="shared" si="9"/>
        <v>0.9936682459164119</v>
      </c>
      <c r="F125" s="150">
        <f t="shared" si="3"/>
        <v>0</v>
      </c>
      <c r="G125" s="150"/>
      <c r="H125" s="78"/>
      <c r="I125" s="107"/>
      <c r="J125" s="107"/>
      <c r="K125" s="107"/>
      <c r="L125" s="107"/>
      <c r="M125" s="107"/>
      <c r="N125" s="160"/>
      <c r="O125" s="33"/>
      <c r="P125" s="113"/>
      <c r="Q125" s="82"/>
      <c r="R125" s="82"/>
      <c r="S125" s="82"/>
      <c r="T125" s="82"/>
      <c r="U125" s="82"/>
      <c r="V125" s="82"/>
    </row>
    <row r="126" spans="1:22" x14ac:dyDescent="0.2">
      <c r="A126" s="49">
        <v>24395.33203125</v>
      </c>
      <c r="B126" s="69">
        <v>1.1164412781160429</v>
      </c>
      <c r="C126" s="150">
        <f t="shared" si="8"/>
        <v>1.1016162204492941</v>
      </c>
      <c r="D126" s="150">
        <f t="shared" si="1"/>
        <v>0.99485751943722844</v>
      </c>
      <c r="E126" s="150">
        <f t="shared" si="9"/>
        <v>0.99478867488799461</v>
      </c>
      <c r="F126" s="150">
        <f t="shared" si="3"/>
        <v>1.1204289715827098E-3</v>
      </c>
      <c r="G126" s="150"/>
      <c r="H126" s="78"/>
      <c r="I126" s="107"/>
      <c r="J126" s="107"/>
      <c r="K126" s="107"/>
      <c r="L126" s="107"/>
      <c r="M126" s="107"/>
      <c r="N126" s="160"/>
      <c r="O126" s="33"/>
      <c r="P126" s="113"/>
      <c r="Q126" s="82"/>
      <c r="R126" s="82"/>
      <c r="S126" s="82"/>
      <c r="T126" s="82"/>
      <c r="U126" s="82"/>
      <c r="V126" s="82"/>
    </row>
    <row r="127" spans="1:22" x14ac:dyDescent="0.2">
      <c r="A127" s="49">
        <v>26697.021484375</v>
      </c>
      <c r="B127" s="69">
        <v>1.1172258262869075</v>
      </c>
      <c r="C127" s="150">
        <f t="shared" si="8"/>
        <v>1.1024007686201587</v>
      </c>
      <c r="D127" s="150">
        <f t="shared" si="1"/>
        <v>0.99555662799084854</v>
      </c>
      <c r="E127" s="150">
        <f t="shared" si="9"/>
        <v>0.99549714270173273</v>
      </c>
      <c r="F127" s="150">
        <f t="shared" si="3"/>
        <v>7.0846781373812284E-4</v>
      </c>
      <c r="G127" s="150"/>
      <c r="H127" s="78"/>
      <c r="I127" s="107"/>
      <c r="J127" s="107"/>
      <c r="K127" s="107"/>
      <c r="L127" s="107"/>
      <c r="M127" s="107"/>
      <c r="N127" s="160"/>
      <c r="O127" s="33"/>
      <c r="P127" s="113"/>
      <c r="Q127" s="82"/>
      <c r="R127" s="82"/>
      <c r="S127" s="82"/>
      <c r="T127" s="82"/>
      <c r="U127" s="82"/>
      <c r="V127" s="82"/>
    </row>
    <row r="128" spans="1:22" x14ac:dyDescent="0.2">
      <c r="A128" s="49">
        <v>29293.7578125</v>
      </c>
      <c r="B128" s="69">
        <v>1.1181558772560312</v>
      </c>
      <c r="C128" s="150">
        <f t="shared" si="8"/>
        <v>1.1033308195892824</v>
      </c>
      <c r="D128" s="150">
        <f t="shared" si="1"/>
        <v>0.99638539365746193</v>
      </c>
      <c r="E128" s="150">
        <f t="shared" si="9"/>
        <v>0.99633700340274489</v>
      </c>
      <c r="F128" s="150">
        <f t="shared" si="3"/>
        <v>8.3986070101216281E-4</v>
      </c>
      <c r="G128" s="150"/>
      <c r="H128" s="78"/>
      <c r="I128" s="107"/>
      <c r="J128" s="107"/>
      <c r="K128" s="107"/>
      <c r="L128" s="107"/>
      <c r="M128" s="107"/>
      <c r="N128" s="160"/>
      <c r="O128" s="33"/>
      <c r="P128" s="113"/>
      <c r="Q128" s="82"/>
      <c r="R128" s="82"/>
      <c r="S128" s="82"/>
      <c r="T128" s="82"/>
      <c r="U128" s="82"/>
      <c r="V128" s="82"/>
    </row>
    <row r="129" spans="1:23" x14ac:dyDescent="0.2">
      <c r="A129" s="49">
        <v>31997.32421875</v>
      </c>
      <c r="B129" s="69">
        <v>1.118530683712299</v>
      </c>
      <c r="C129" s="150">
        <f t="shared" si="8"/>
        <v>1.1037056260455502</v>
      </c>
      <c r="D129" s="150">
        <f t="shared" si="1"/>
        <v>0.9967193825816093</v>
      </c>
      <c r="E129" s="150">
        <f t="shared" si="9"/>
        <v>0.99667546357703141</v>
      </c>
      <c r="F129" s="150">
        <f t="shared" si="3"/>
        <v>3.3846017428651454E-4</v>
      </c>
      <c r="G129" s="150"/>
      <c r="H129" s="78"/>
      <c r="I129" s="107"/>
      <c r="J129" s="107"/>
      <c r="K129" s="107"/>
      <c r="L129" s="107"/>
      <c r="M129" s="107"/>
      <c r="N129" s="160"/>
      <c r="O129" s="33"/>
      <c r="P129" s="113"/>
      <c r="Q129" s="82"/>
      <c r="R129" s="82"/>
      <c r="S129" s="82"/>
      <c r="T129" s="82"/>
      <c r="U129" s="82"/>
      <c r="V129" s="82"/>
    </row>
    <row r="130" spans="1:23" x14ac:dyDescent="0.2">
      <c r="A130" s="49">
        <v>34994.87890625</v>
      </c>
      <c r="B130" s="69">
        <v>1.1192279302042081</v>
      </c>
      <c r="C130" s="150">
        <f t="shared" si="8"/>
        <v>1.1044028725374593</v>
      </c>
      <c r="D130" s="150">
        <f t="shared" si="1"/>
        <v>0.99734069686743321</v>
      </c>
      <c r="E130" s="150">
        <f t="shared" si="9"/>
        <v>0.99730509565840508</v>
      </c>
      <c r="F130" s="150">
        <f t="shared" si="3"/>
        <v>6.2963208137367666E-4</v>
      </c>
      <c r="G130" s="150"/>
      <c r="H130" s="78"/>
      <c r="I130" s="107"/>
      <c r="J130" s="107"/>
      <c r="K130" s="107"/>
      <c r="L130" s="107"/>
      <c r="M130" s="107"/>
      <c r="N130" s="160"/>
      <c r="O130" s="33"/>
      <c r="P130" s="113"/>
      <c r="Q130" s="82"/>
      <c r="R130" s="82"/>
      <c r="S130" s="82"/>
      <c r="T130" s="82"/>
      <c r="U130" s="82"/>
      <c r="V130" s="82"/>
    </row>
    <row r="131" spans="1:23" x14ac:dyDescent="0.2">
      <c r="A131" s="49">
        <v>38277.015625</v>
      </c>
      <c r="B131" s="69">
        <v>1.119509235614176</v>
      </c>
      <c r="C131" s="150">
        <f t="shared" si="8"/>
        <v>1.1046841779474272</v>
      </c>
      <c r="D131" s="150">
        <f t="shared" si="1"/>
        <v>0.99759136728588749</v>
      </c>
      <c r="E131" s="150">
        <f t="shared" si="9"/>
        <v>0.99755912190713514</v>
      </c>
      <c r="F131" s="150">
        <f t="shared" si="3"/>
        <v>2.5402624873005486E-4</v>
      </c>
      <c r="G131" s="150"/>
      <c r="H131" s="78"/>
      <c r="I131" s="107"/>
      <c r="J131" s="107"/>
      <c r="K131" s="107"/>
      <c r="L131" s="107"/>
      <c r="M131" s="107"/>
      <c r="N131" s="160"/>
      <c r="O131" s="33"/>
      <c r="P131" s="113"/>
      <c r="Q131" s="82"/>
      <c r="R131" s="82"/>
      <c r="S131" s="82"/>
      <c r="T131" s="82"/>
      <c r="U131" s="82"/>
      <c r="V131" s="82"/>
    </row>
    <row r="132" spans="1:23" x14ac:dyDescent="0.2">
      <c r="A132" s="49">
        <v>41875.64453125</v>
      </c>
      <c r="B132" s="69">
        <v>1.119677202002342</v>
      </c>
      <c r="C132" s="150">
        <f t="shared" si="8"/>
        <v>1.1048521443355932</v>
      </c>
      <c r="D132" s="150">
        <f t="shared" si="1"/>
        <v>0.99774104163737831</v>
      </c>
      <c r="E132" s="150">
        <f t="shared" si="9"/>
        <v>0.99771080001209367</v>
      </c>
      <c r="F132" s="150">
        <f t="shared" si="3"/>
        <v>1.5167810495853029E-4</v>
      </c>
      <c r="G132" s="150"/>
      <c r="H132" s="78"/>
      <c r="I132" s="107"/>
      <c r="J132" s="107"/>
      <c r="K132" s="107"/>
      <c r="L132" s="107"/>
      <c r="M132" s="107"/>
      <c r="N132" s="160"/>
      <c r="O132" s="33"/>
      <c r="P132" s="113"/>
      <c r="Q132" s="82"/>
      <c r="R132" s="82"/>
      <c r="S132" s="82"/>
      <c r="T132" s="82"/>
      <c r="U132" s="82"/>
      <c r="V132" s="82"/>
    </row>
    <row r="133" spans="1:23" x14ac:dyDescent="0.2">
      <c r="A133" s="49">
        <v>45778.609375</v>
      </c>
      <c r="B133" s="69">
        <v>1.1210638910766795</v>
      </c>
      <c r="C133" s="150">
        <f t="shared" si="8"/>
        <v>1.1062388334099307</v>
      </c>
      <c r="D133" s="150">
        <f t="shared" si="1"/>
        <v>0.99897671616837924</v>
      </c>
      <c r="E133" s="150">
        <f t="shared" si="9"/>
        <v>0.99896301703752854</v>
      </c>
      <c r="F133" s="150">
        <f t="shared" si="3"/>
        <v>1.2522170254348763E-3</v>
      </c>
      <c r="G133" s="150"/>
      <c r="H133" s="78"/>
      <c r="I133" s="107"/>
      <c r="J133" s="107"/>
      <c r="K133" s="107"/>
      <c r="L133" s="107"/>
      <c r="M133" s="107"/>
      <c r="N133" s="160"/>
      <c r="O133" s="33"/>
      <c r="P133" s="113"/>
      <c r="Q133" s="82"/>
      <c r="R133" s="82"/>
      <c r="S133" s="82"/>
      <c r="T133" s="82"/>
      <c r="U133" s="82"/>
      <c r="V133" s="82"/>
    </row>
    <row r="134" spans="1:23" x14ac:dyDescent="0.2">
      <c r="A134" s="49">
        <v>50077.66796875</v>
      </c>
      <c r="B134" s="69">
        <v>1.1210638910766795</v>
      </c>
      <c r="C134" s="150">
        <f t="shared" si="8"/>
        <v>1.1062388334099307</v>
      </c>
      <c r="D134" s="150">
        <f t="shared" si="1"/>
        <v>0.99897671616837924</v>
      </c>
      <c r="E134" s="150">
        <f t="shared" si="9"/>
        <v>0.99896301703752854</v>
      </c>
      <c r="F134" s="150">
        <f t="shared" si="3"/>
        <v>0</v>
      </c>
      <c r="G134" s="150"/>
      <c r="H134" s="78"/>
      <c r="I134" s="107"/>
      <c r="J134" s="107"/>
      <c r="K134" s="107"/>
      <c r="L134" s="107"/>
      <c r="M134" s="107"/>
      <c r="N134" s="160"/>
      <c r="O134" s="33"/>
      <c r="P134" s="113"/>
      <c r="Q134" s="82"/>
      <c r="R134" s="82"/>
      <c r="S134" s="82"/>
      <c r="T134" s="82"/>
      <c r="U134" s="82"/>
      <c r="V134" s="82"/>
    </row>
    <row r="135" spans="1:23" x14ac:dyDescent="0.2">
      <c r="A135" s="49">
        <v>54775.796875</v>
      </c>
      <c r="B135" s="69">
        <v>1.1210638910766795</v>
      </c>
      <c r="C135" s="150">
        <f t="shared" si="8"/>
        <v>1.1062388334099307</v>
      </c>
      <c r="D135" s="150">
        <f t="shared" si="1"/>
        <v>0.99897671616837924</v>
      </c>
      <c r="E135" s="150">
        <f t="shared" si="9"/>
        <v>0.99896301703752854</v>
      </c>
      <c r="F135" s="150">
        <f t="shared" si="3"/>
        <v>0</v>
      </c>
      <c r="G135" s="150"/>
      <c r="H135" s="78"/>
      <c r="I135" s="107"/>
      <c r="J135" s="107"/>
      <c r="K135" s="107"/>
      <c r="L135" s="107"/>
      <c r="M135" s="107"/>
      <c r="N135" s="160"/>
      <c r="O135" s="33"/>
      <c r="P135" s="113"/>
      <c r="Q135" s="82"/>
      <c r="R135" s="82"/>
      <c r="S135" s="82"/>
      <c r="T135" s="82"/>
      <c r="U135" s="82"/>
      <c r="V135" s="82"/>
    </row>
    <row r="136" spans="1:23" x14ac:dyDescent="0.2">
      <c r="A136" s="49">
        <v>59475.0546875</v>
      </c>
      <c r="B136" s="69">
        <v>1.1222122327100588</v>
      </c>
      <c r="C136" s="150">
        <f t="shared" si="8"/>
        <v>1.10738717504331</v>
      </c>
      <c r="D136" s="150">
        <f t="shared" si="1"/>
        <v>1</v>
      </c>
      <c r="E136" s="150">
        <f t="shared" si="9"/>
        <v>1</v>
      </c>
      <c r="F136" s="150">
        <f t="shared" si="3"/>
        <v>1.0369829624714555E-3</v>
      </c>
      <c r="G136" s="150"/>
      <c r="H136" s="25"/>
      <c r="I136" s="49"/>
      <c r="J136" s="49"/>
      <c r="K136" s="49"/>
      <c r="L136" s="49"/>
      <c r="M136" s="49"/>
      <c r="P136" s="113"/>
      <c r="Q136" s="82"/>
      <c r="R136" s="82"/>
      <c r="S136" s="82"/>
      <c r="T136" s="82"/>
      <c r="U136" s="82"/>
      <c r="V136" s="82"/>
    </row>
    <row r="137" spans="1:23" x14ac:dyDescent="0.2">
      <c r="A137" s="49"/>
      <c r="B137" s="69"/>
      <c r="C137" s="150"/>
      <c r="D137" s="150"/>
      <c r="E137" s="150"/>
      <c r="F137" s="150"/>
      <c r="G137" s="150"/>
      <c r="H137" s="25"/>
      <c r="I137" s="49"/>
      <c r="J137" s="49"/>
      <c r="K137" s="49"/>
      <c r="L137" s="49"/>
      <c r="M137" s="49"/>
      <c r="P137" s="135"/>
      <c r="Q137" s="82"/>
      <c r="R137" s="82"/>
      <c r="S137" s="82"/>
      <c r="T137" s="82"/>
      <c r="U137" s="82"/>
      <c r="V137" s="82"/>
    </row>
    <row r="138" spans="1:23" x14ac:dyDescent="0.2">
      <c r="A138" s="49"/>
      <c r="B138" s="69"/>
      <c r="C138" s="150"/>
      <c r="D138" s="150"/>
      <c r="E138" s="150"/>
      <c r="F138" s="150"/>
      <c r="G138" s="150"/>
      <c r="H138" s="25"/>
      <c r="I138" s="49"/>
      <c r="J138" s="49"/>
      <c r="K138" s="49"/>
      <c r="L138" s="49"/>
      <c r="M138" s="49"/>
      <c r="P138" s="135"/>
      <c r="Q138" s="82"/>
      <c r="R138" s="82"/>
      <c r="S138" s="82"/>
      <c r="T138" s="82"/>
      <c r="U138" s="82"/>
      <c r="V138" s="82"/>
    </row>
    <row r="139" spans="1:23" x14ac:dyDescent="0.2">
      <c r="A139" s="49"/>
      <c r="B139" s="69"/>
      <c r="C139" s="150"/>
      <c r="D139" s="150"/>
      <c r="E139" s="150"/>
      <c r="F139" s="150"/>
      <c r="G139" s="150"/>
      <c r="H139" s="25"/>
      <c r="I139" s="49"/>
      <c r="J139" s="49"/>
      <c r="K139" s="49"/>
      <c r="L139" s="49"/>
      <c r="M139" s="49"/>
      <c r="P139" s="135"/>
      <c r="Q139" s="82"/>
      <c r="R139" s="82"/>
      <c r="S139" s="82"/>
      <c r="T139" s="82"/>
      <c r="U139" s="82"/>
      <c r="V139" s="82"/>
    </row>
    <row r="140" spans="1:23" x14ac:dyDescent="0.2">
      <c r="A140" s="49"/>
      <c r="B140" s="69"/>
      <c r="C140" s="150"/>
      <c r="D140" s="150"/>
      <c r="E140" s="150"/>
      <c r="F140" s="150"/>
      <c r="G140" s="150"/>
      <c r="H140" s="25"/>
      <c r="I140" s="49"/>
      <c r="J140" s="49"/>
      <c r="K140" s="49"/>
      <c r="L140" s="49"/>
      <c r="M140" s="49"/>
      <c r="P140" s="135"/>
      <c r="Q140" s="82"/>
      <c r="R140" s="82"/>
      <c r="S140" s="82"/>
      <c r="T140" s="82"/>
      <c r="U140" s="82"/>
      <c r="V140" s="82"/>
    </row>
    <row r="141" spans="1:23" x14ac:dyDescent="0.2">
      <c r="A141" s="49"/>
      <c r="B141" s="69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25"/>
      <c r="P141" s="49"/>
      <c r="Q141" s="49"/>
      <c r="R141" s="49"/>
      <c r="S141" s="49"/>
      <c r="T141" s="49"/>
      <c r="W141" s="135"/>
    </row>
  </sheetData>
  <mergeCells count="5">
    <mergeCell ref="A5:M5"/>
    <mergeCell ref="I25:J25"/>
    <mergeCell ref="I26:J26"/>
    <mergeCell ref="K25:L25"/>
    <mergeCell ref="K26:L26"/>
  </mergeCells>
  <printOptions horizontalCentered="1"/>
  <pageMargins left="0.5" right="0.5" top="0.1" bottom="0.25" header="0" footer="0"/>
  <pageSetup scale="65" orientation="portrait"/>
  <rowBreaks count="2" manualBreakCount="2">
    <brk id="86" max="12" man="1"/>
    <brk id="162" max="12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60"/>
  <sheetViews>
    <sheetView showGridLines="0" workbookViewId="0">
      <selection activeCell="C6" sqref="C6"/>
    </sheetView>
  </sheetViews>
  <sheetFormatPr defaultColWidth="8.85546875" defaultRowHeight="12.75" x14ac:dyDescent="0.2"/>
  <cols>
    <col min="1" max="17" width="8.140625" style="156" customWidth="1"/>
    <col min="18" max="16384" width="8.85546875" style="156"/>
  </cols>
  <sheetData>
    <row r="1" spans="1:15" ht="15.75" x14ac:dyDescent="0.25">
      <c r="C1" s="165" t="s">
        <v>11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59"/>
      <c r="O1" s="159"/>
    </row>
    <row r="2" spans="1:15" x14ac:dyDescent="0.2">
      <c r="C2" s="8" t="str">
        <f>Table!A7</f>
        <v>Shell Exploration &amp; Production Company</v>
      </c>
      <c r="K2" s="60" t="str">
        <f>Table!L7</f>
        <v>Sample Number:</v>
      </c>
      <c r="N2" s="81"/>
      <c r="O2" s="53" t="str">
        <f>Table!$P$7</f>
        <v>MC 23</v>
      </c>
    </row>
    <row r="3" spans="1:15" x14ac:dyDescent="0.2">
      <c r="C3" s="8" t="str">
        <f>Table!A8</f>
        <v>OCS-Y-2321 Burger J 001</v>
      </c>
      <c r="K3" s="60" t="str">
        <f>Table!L8</f>
        <v>Sample Depth, feet:</v>
      </c>
      <c r="N3" s="36"/>
      <c r="O3" s="54">
        <f>Table!$P$8</f>
        <v>0</v>
      </c>
    </row>
    <row r="4" spans="1:15" x14ac:dyDescent="0.2">
      <c r="C4" s="8" t="str">
        <f>Table!A9</f>
        <v>Offshore</v>
      </c>
      <c r="K4" s="60" t="str">
        <f>Table!L9</f>
        <v>Permeability to Air (calc), mD:</v>
      </c>
      <c r="M4" s="55"/>
      <c r="N4" s="41"/>
      <c r="O4" s="163">
        <f>Table!$P$9</f>
        <v>20.182213411296051</v>
      </c>
    </row>
    <row r="5" spans="1:15" x14ac:dyDescent="0.2">
      <c r="C5" s="8" t="str">
        <f>Table!A10</f>
        <v>HH-77445</v>
      </c>
      <c r="D5" s="73"/>
      <c r="E5" s="73"/>
      <c r="F5" s="137"/>
      <c r="G5" s="73"/>
      <c r="K5" s="60" t="str">
        <f>Table!L10</f>
        <v>Porosity, fraction:</v>
      </c>
      <c r="M5" s="55"/>
      <c r="N5" s="41"/>
      <c r="O5" s="92">
        <f>Table!$P$10</f>
        <v>0.23063301949749149</v>
      </c>
    </row>
    <row r="6" spans="1:15" x14ac:dyDescent="0.2">
      <c r="A6" s="55"/>
      <c r="C6" s="174" t="s">
        <v>96</v>
      </c>
      <c r="D6" s="75"/>
      <c r="E6" s="75"/>
      <c r="F6" s="75"/>
      <c r="G6" s="55"/>
      <c r="K6" s="60" t="str">
        <f>Table!L11</f>
        <v>Grain Density, grams/cc:</v>
      </c>
      <c r="M6" s="75"/>
      <c r="N6" s="51"/>
      <c r="O6" s="137">
        <f>Table!$P$11</f>
        <v>2.6498834970880143</v>
      </c>
    </row>
    <row r="7" spans="1:15" x14ac:dyDescent="0.2">
      <c r="B7" s="8"/>
      <c r="D7" s="55"/>
      <c r="E7" s="55"/>
      <c r="I7" s="60"/>
      <c r="K7" s="75"/>
      <c r="L7" s="27"/>
      <c r="M7" s="43"/>
    </row>
    <row r="8" spans="1:15" x14ac:dyDescent="0.2">
      <c r="B8" s="8"/>
      <c r="D8" s="55"/>
      <c r="E8" s="55"/>
      <c r="I8" s="60"/>
      <c r="K8" s="75"/>
      <c r="L8" s="27"/>
      <c r="M8" s="43"/>
    </row>
    <row r="9" spans="1:15" ht="12" customHeight="1" x14ac:dyDescent="0.2">
      <c r="B9" s="55"/>
      <c r="C9" s="55"/>
      <c r="D9" s="55"/>
      <c r="E9" s="55"/>
      <c r="F9" s="55"/>
    </row>
    <row r="10" spans="1:15" x14ac:dyDescent="0.2">
      <c r="B10" s="55"/>
      <c r="C10" s="55"/>
      <c r="D10" s="55"/>
      <c r="E10" s="55"/>
      <c r="F10" s="55"/>
      <c r="K10" s="75"/>
      <c r="L10" s="27"/>
    </row>
    <row r="11" spans="1:15" x14ac:dyDescent="0.2">
      <c r="B11" s="55"/>
      <c r="C11" s="55"/>
      <c r="D11" s="75"/>
      <c r="E11" s="55"/>
      <c r="F11" s="55"/>
      <c r="K11" s="75"/>
      <c r="L11" s="27"/>
    </row>
    <row r="12" spans="1:15" x14ac:dyDescent="0.2">
      <c r="B12" s="55"/>
      <c r="C12" s="55"/>
      <c r="D12" s="75"/>
      <c r="E12" s="55"/>
      <c r="F12" s="55"/>
      <c r="G12" s="60"/>
      <c r="H12" s="55"/>
      <c r="I12" s="55"/>
      <c r="J12" s="92"/>
      <c r="K12" s="75"/>
      <c r="L12" s="27"/>
    </row>
    <row r="13" spans="1:15" x14ac:dyDescent="0.2">
      <c r="A13" s="8"/>
      <c r="B13" s="55"/>
      <c r="C13" s="55"/>
      <c r="D13" s="55"/>
      <c r="E13" s="55"/>
      <c r="F13" s="55"/>
      <c r="G13" s="55"/>
      <c r="H13" s="55"/>
      <c r="I13" s="41"/>
      <c r="J13" s="75"/>
      <c r="K13" s="75"/>
      <c r="L13" s="27"/>
    </row>
    <row r="14" spans="1:15" x14ac:dyDescent="0.2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75"/>
      <c r="L14" s="27"/>
    </row>
    <row r="15" spans="1:15" x14ac:dyDescent="0.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55"/>
      <c r="L15" s="27"/>
    </row>
    <row r="16" spans="1:15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55"/>
      <c r="L16" s="27"/>
    </row>
    <row r="17" spans="1:12" x14ac:dyDescent="0.2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55"/>
      <c r="L17" s="113"/>
    </row>
    <row r="18" spans="1:12" x14ac:dyDescent="0.2">
      <c r="A18" s="135"/>
      <c r="B18" s="154"/>
      <c r="C18" s="154"/>
      <c r="D18" s="91"/>
      <c r="E18" s="129"/>
      <c r="F18" s="21"/>
      <c r="G18" s="21"/>
      <c r="H18" s="21"/>
      <c r="I18" s="21"/>
      <c r="J18" s="21"/>
      <c r="K18" s="55"/>
      <c r="L18" s="113"/>
    </row>
    <row r="19" spans="1:12" x14ac:dyDescent="0.2">
      <c r="A19" s="158"/>
      <c r="B19" s="154"/>
      <c r="C19" s="154"/>
      <c r="D19" s="91"/>
      <c r="E19" s="129"/>
      <c r="F19" s="21"/>
      <c r="G19" s="21"/>
      <c r="H19" s="21"/>
      <c r="I19" s="21"/>
      <c r="J19" s="21"/>
      <c r="K19" s="55"/>
      <c r="L19" s="113"/>
    </row>
    <row r="20" spans="1:12" x14ac:dyDescent="0.2">
      <c r="A20" s="158"/>
      <c r="B20" s="154"/>
      <c r="C20" s="154"/>
      <c r="D20" s="91"/>
      <c r="E20" s="129"/>
      <c r="F20" s="21"/>
      <c r="G20" s="21"/>
      <c r="H20" s="21"/>
      <c r="I20" s="21"/>
      <c r="J20" s="21"/>
      <c r="K20" s="55"/>
      <c r="L20" s="161"/>
    </row>
    <row r="21" spans="1:12" x14ac:dyDescent="0.2">
      <c r="A21" s="158"/>
      <c r="B21" s="154"/>
      <c r="C21" s="154"/>
      <c r="D21" s="91"/>
      <c r="E21" s="129"/>
      <c r="F21" s="21"/>
      <c r="G21" s="21"/>
      <c r="H21" s="21"/>
      <c r="I21" s="21"/>
      <c r="J21" s="21"/>
      <c r="K21" s="55"/>
      <c r="L21" s="114"/>
    </row>
    <row r="22" spans="1:12" x14ac:dyDescent="0.2">
      <c r="A22" s="158"/>
      <c r="B22" s="154"/>
      <c r="C22" s="154"/>
      <c r="D22" s="91"/>
      <c r="E22" s="129"/>
      <c r="F22" s="21"/>
      <c r="G22" s="21"/>
      <c r="H22" s="21"/>
      <c r="I22" s="21"/>
      <c r="J22" s="21"/>
      <c r="K22" s="55"/>
      <c r="L22" s="114"/>
    </row>
    <row r="23" spans="1:12" x14ac:dyDescent="0.2">
      <c r="A23" s="158"/>
      <c r="B23" s="154"/>
      <c r="C23" s="154"/>
      <c r="D23" s="91"/>
      <c r="E23" s="129"/>
      <c r="F23" s="21"/>
      <c r="G23" s="21"/>
      <c r="H23" s="21"/>
      <c r="I23" s="21"/>
      <c r="J23" s="21"/>
      <c r="K23" s="55"/>
      <c r="L23" s="114"/>
    </row>
    <row r="24" spans="1:12" x14ac:dyDescent="0.2">
      <c r="A24" s="131"/>
      <c r="B24" s="154"/>
      <c r="C24" s="154"/>
      <c r="D24" s="91"/>
      <c r="E24" s="129"/>
      <c r="F24" s="21"/>
      <c r="G24" s="21"/>
      <c r="H24" s="21"/>
      <c r="I24" s="21"/>
      <c r="J24" s="21"/>
      <c r="K24" s="55"/>
      <c r="L24" s="114"/>
    </row>
    <row r="25" spans="1:12" x14ac:dyDescent="0.2">
      <c r="A25" s="131"/>
      <c r="B25" s="154"/>
      <c r="C25" s="154"/>
      <c r="D25" s="91"/>
      <c r="E25" s="129"/>
      <c r="F25" s="21"/>
      <c r="G25" s="21"/>
      <c r="H25" s="21"/>
      <c r="I25" s="21"/>
      <c r="J25" s="21"/>
      <c r="K25" s="55"/>
      <c r="L25" s="114"/>
    </row>
    <row r="26" spans="1:12" x14ac:dyDescent="0.2">
      <c r="A26" s="131"/>
      <c r="B26" s="154"/>
      <c r="C26" s="154"/>
      <c r="D26" s="91"/>
      <c r="E26" s="129"/>
      <c r="F26" s="21"/>
      <c r="G26" s="21"/>
      <c r="H26" s="21"/>
      <c r="I26" s="21"/>
      <c r="J26" s="21"/>
      <c r="K26" s="55"/>
      <c r="L26" s="114"/>
    </row>
    <row r="27" spans="1:12" ht="15.75" customHeight="1" x14ac:dyDescent="0.2">
      <c r="A27" s="131"/>
      <c r="B27" s="154"/>
      <c r="C27" s="154"/>
      <c r="D27" s="91"/>
      <c r="E27" s="129"/>
      <c r="F27" s="21"/>
      <c r="G27" s="21"/>
      <c r="H27" s="21"/>
      <c r="I27" s="21"/>
      <c r="J27" s="21"/>
      <c r="K27" s="55"/>
      <c r="L27" s="114"/>
    </row>
    <row r="28" spans="1:12" x14ac:dyDescent="0.2">
      <c r="A28" s="131"/>
      <c r="B28" s="154"/>
      <c r="C28" s="154"/>
      <c r="D28" s="91"/>
      <c r="E28" s="129"/>
      <c r="F28" s="21"/>
      <c r="G28" s="21"/>
      <c r="H28" s="21"/>
      <c r="I28" s="21"/>
      <c r="J28" s="21"/>
      <c r="K28" s="55"/>
      <c r="L28" s="114"/>
    </row>
    <row r="29" spans="1:12" x14ac:dyDescent="0.2">
      <c r="A29" s="79"/>
      <c r="B29" s="154"/>
      <c r="C29" s="154"/>
      <c r="D29" s="91"/>
      <c r="E29" s="129"/>
      <c r="F29" s="21"/>
      <c r="G29" s="21"/>
      <c r="H29" s="21"/>
      <c r="I29" s="21"/>
      <c r="J29" s="21"/>
      <c r="K29" s="55"/>
      <c r="L29" s="114"/>
    </row>
    <row r="30" spans="1:12" x14ac:dyDescent="0.2">
      <c r="A30" s="79"/>
      <c r="B30" s="154"/>
      <c r="C30" s="154"/>
      <c r="D30" s="91"/>
      <c r="E30" s="129"/>
      <c r="F30" s="21"/>
      <c r="G30" s="21"/>
      <c r="H30" s="21"/>
      <c r="I30" s="21"/>
      <c r="J30" s="21"/>
      <c r="K30" s="55"/>
      <c r="L30" s="114"/>
    </row>
    <row r="31" spans="1:12" x14ac:dyDescent="0.2">
      <c r="A31" s="79"/>
      <c r="B31" s="154"/>
      <c r="C31" s="154"/>
      <c r="D31" s="91"/>
      <c r="E31" s="129"/>
      <c r="F31" s="21"/>
      <c r="G31" s="21"/>
      <c r="H31" s="21"/>
      <c r="I31" s="21"/>
      <c r="J31" s="21"/>
      <c r="K31" s="55"/>
      <c r="L31" s="114"/>
    </row>
    <row r="32" spans="1:12" x14ac:dyDescent="0.2">
      <c r="A32" s="79"/>
      <c r="B32" s="154"/>
      <c r="C32" s="154"/>
      <c r="D32" s="91"/>
      <c r="E32" s="129"/>
      <c r="F32" s="21"/>
      <c r="G32" s="21"/>
      <c r="H32" s="21"/>
      <c r="I32" s="21"/>
      <c r="J32" s="21"/>
      <c r="K32" s="55"/>
      <c r="L32" s="114"/>
    </row>
    <row r="33" spans="1:12" x14ac:dyDescent="0.2">
      <c r="A33" s="79"/>
      <c r="B33" s="154"/>
      <c r="C33" s="154"/>
      <c r="D33" s="91"/>
      <c r="E33" s="129"/>
      <c r="F33" s="21"/>
      <c r="G33" s="21"/>
      <c r="H33" s="21"/>
      <c r="I33" s="21"/>
      <c r="J33" s="21"/>
      <c r="K33" s="55"/>
      <c r="L33" s="114"/>
    </row>
    <row r="34" spans="1:12" x14ac:dyDescent="0.2">
      <c r="A34" s="7"/>
      <c r="B34" s="154"/>
      <c r="C34" s="154"/>
      <c r="D34" s="91"/>
      <c r="E34" s="129"/>
      <c r="F34" s="21"/>
      <c r="G34" s="21"/>
      <c r="H34" s="21"/>
      <c r="I34" s="21"/>
      <c r="J34" s="21"/>
      <c r="K34" s="55"/>
      <c r="L34" s="114"/>
    </row>
    <row r="35" spans="1:12" x14ac:dyDescent="0.2">
      <c r="A35" s="7"/>
      <c r="B35" s="154"/>
      <c r="C35" s="154"/>
      <c r="D35" s="91"/>
      <c r="E35" s="129"/>
      <c r="F35" s="21"/>
      <c r="G35" s="21"/>
      <c r="H35" s="21"/>
      <c r="I35" s="21"/>
      <c r="J35" s="21"/>
      <c r="K35" s="55"/>
      <c r="L35" s="114"/>
    </row>
    <row r="36" spans="1:12" x14ac:dyDescent="0.2">
      <c r="A36" s="7"/>
      <c r="B36" s="154"/>
      <c r="C36" s="154"/>
      <c r="D36" s="91"/>
      <c r="E36" s="129"/>
      <c r="F36" s="21"/>
      <c r="G36" s="21"/>
      <c r="H36" s="21"/>
      <c r="I36" s="21"/>
      <c r="J36" s="21"/>
      <c r="K36" s="55"/>
      <c r="L36" s="114"/>
    </row>
    <row r="37" spans="1:12" x14ac:dyDescent="0.2">
      <c r="A37" s="7"/>
      <c r="B37" s="154"/>
      <c r="C37" s="154"/>
      <c r="D37" s="91"/>
      <c r="E37" s="129"/>
      <c r="F37" s="21"/>
      <c r="G37" s="21"/>
      <c r="H37" s="21"/>
      <c r="I37" s="21"/>
      <c r="J37" s="21"/>
      <c r="K37" s="55"/>
      <c r="L37" s="114"/>
    </row>
    <row r="38" spans="1:12" x14ac:dyDescent="0.2">
      <c r="A38" s="7"/>
      <c r="B38" s="154"/>
      <c r="C38" s="154"/>
      <c r="D38" s="91"/>
      <c r="E38" s="129"/>
      <c r="F38" s="21"/>
      <c r="G38" s="21"/>
      <c r="H38" s="21"/>
      <c r="I38" s="21"/>
      <c r="J38" s="21"/>
      <c r="K38" s="55"/>
      <c r="L38" s="114"/>
    </row>
    <row r="39" spans="1:12" x14ac:dyDescent="0.2">
      <c r="A39" s="7"/>
      <c r="B39" s="154"/>
      <c r="C39" s="154"/>
      <c r="D39" s="91"/>
      <c r="E39" s="129"/>
      <c r="F39" s="21"/>
      <c r="G39" s="21"/>
      <c r="H39" s="21"/>
      <c r="I39" s="21"/>
      <c r="J39" s="21"/>
      <c r="K39" s="55"/>
      <c r="L39" s="114"/>
    </row>
    <row r="40" spans="1:12" x14ac:dyDescent="0.2">
      <c r="A40" s="7"/>
      <c r="B40" s="154"/>
      <c r="C40" s="154"/>
      <c r="D40" s="91"/>
      <c r="E40" s="129"/>
      <c r="F40" s="21"/>
      <c r="G40" s="21"/>
      <c r="H40" s="21"/>
      <c r="I40" s="21"/>
      <c r="J40" s="21"/>
      <c r="K40" s="55"/>
      <c r="L40" s="114"/>
    </row>
    <row r="41" spans="1:12" x14ac:dyDescent="0.2">
      <c r="A41" s="7"/>
      <c r="B41" s="154"/>
      <c r="C41" s="154"/>
      <c r="D41" s="91"/>
      <c r="E41" s="129"/>
      <c r="F41" s="21"/>
      <c r="G41" s="21"/>
      <c r="H41" s="21"/>
      <c r="I41" s="21"/>
      <c r="J41" s="21"/>
      <c r="K41" s="55"/>
      <c r="L41" s="114"/>
    </row>
    <row r="42" spans="1:12" x14ac:dyDescent="0.2">
      <c r="A42" s="7"/>
      <c r="B42" s="154"/>
      <c r="C42" s="154"/>
      <c r="D42" s="91"/>
      <c r="E42" s="129"/>
      <c r="F42" s="21"/>
      <c r="G42" s="21"/>
      <c r="H42" s="21"/>
      <c r="I42" s="21"/>
      <c r="J42" s="21"/>
      <c r="K42" s="55"/>
      <c r="L42" s="114"/>
    </row>
    <row r="43" spans="1:12" x14ac:dyDescent="0.2">
      <c r="A43" s="7"/>
      <c r="B43" s="154"/>
      <c r="C43" s="154"/>
      <c r="D43" s="91"/>
      <c r="E43" s="129"/>
      <c r="F43" s="21"/>
      <c r="G43" s="21"/>
      <c r="H43" s="21"/>
      <c r="I43" s="21"/>
      <c r="J43" s="21"/>
      <c r="K43" s="55"/>
      <c r="L43" s="114"/>
    </row>
    <row r="44" spans="1:12" x14ac:dyDescent="0.2">
      <c r="A44" s="82"/>
      <c r="B44" s="82"/>
      <c r="C44" s="82"/>
      <c r="D44" s="82"/>
      <c r="E44" s="82"/>
      <c r="F44" s="82"/>
      <c r="G44" s="82"/>
      <c r="H44" s="82"/>
      <c r="I44" s="82"/>
      <c r="J44" s="82"/>
    </row>
    <row r="45" spans="1:12" ht="17.25" customHeight="1" x14ac:dyDescent="0.2">
      <c r="A45" s="82"/>
      <c r="B45" s="82"/>
      <c r="C45" s="82"/>
      <c r="D45" s="82"/>
      <c r="E45" s="82"/>
      <c r="F45" s="82"/>
      <c r="G45" s="82"/>
      <c r="H45" s="82"/>
      <c r="I45" s="82"/>
      <c r="J45" s="82"/>
    </row>
    <row r="46" spans="1:12" x14ac:dyDescent="0.2">
      <c r="A46" s="82"/>
      <c r="B46" s="82"/>
      <c r="C46" s="82"/>
      <c r="D46" s="82"/>
      <c r="E46" s="82"/>
      <c r="F46" s="82"/>
      <c r="G46" s="82"/>
      <c r="H46" s="82"/>
      <c r="I46" s="82"/>
      <c r="J46" s="82"/>
    </row>
    <row r="47" spans="1:12" x14ac:dyDescent="0.2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</row>
    <row r="48" spans="1:12" ht="15" x14ac:dyDescent="0.2">
      <c r="A48" s="82"/>
      <c r="B48" s="82"/>
      <c r="C48" s="82"/>
      <c r="D48" s="82"/>
      <c r="E48" s="82"/>
      <c r="F48" s="82"/>
      <c r="G48" s="82"/>
      <c r="H48" s="106"/>
      <c r="I48" s="61"/>
      <c r="J48" s="151"/>
      <c r="K48" s="82"/>
    </row>
    <row r="49" spans="1:12" x14ac:dyDescent="0.2">
      <c r="A49" s="82"/>
      <c r="B49" s="82"/>
      <c r="C49" s="82"/>
      <c r="D49" s="82"/>
      <c r="E49" s="82"/>
      <c r="F49" s="82"/>
      <c r="G49" s="82"/>
      <c r="H49" s="61"/>
      <c r="I49" s="61"/>
      <c r="J49" s="151"/>
      <c r="K49" s="82"/>
    </row>
    <row r="50" spans="1:12" x14ac:dyDescent="0.2">
      <c r="G50" s="82"/>
      <c r="H50" s="61"/>
      <c r="I50" s="61"/>
      <c r="J50" s="151"/>
      <c r="K50" s="82"/>
    </row>
    <row r="51" spans="1:12" x14ac:dyDescent="0.2">
      <c r="G51" s="82"/>
      <c r="H51" s="61"/>
      <c r="I51" s="61"/>
      <c r="J51" s="151"/>
      <c r="K51" s="82"/>
    </row>
    <row r="52" spans="1:12" x14ac:dyDescent="0.2">
      <c r="G52" s="82"/>
      <c r="H52" s="61"/>
      <c r="I52" s="61"/>
      <c r="J52" s="151"/>
      <c r="K52" s="82"/>
    </row>
    <row r="53" spans="1:12" x14ac:dyDescent="0.2">
      <c r="G53" s="82"/>
      <c r="H53" s="82"/>
      <c r="I53" s="82"/>
      <c r="J53" s="82"/>
      <c r="K53" s="82"/>
    </row>
    <row r="54" spans="1:12" x14ac:dyDescent="0.2">
      <c r="G54" s="82"/>
      <c r="H54" s="82"/>
      <c r="I54" s="82"/>
      <c r="J54" s="82"/>
      <c r="K54" s="82"/>
    </row>
    <row r="56" spans="1:12" x14ac:dyDescent="0.2">
      <c r="J56"/>
      <c r="K56"/>
      <c r="L56"/>
    </row>
    <row r="57" spans="1:12" x14ac:dyDescent="0.2">
      <c r="J57"/>
      <c r="K57"/>
      <c r="L57"/>
    </row>
    <row r="58" spans="1:12" x14ac:dyDescent="0.2">
      <c r="J58"/>
      <c r="K58"/>
      <c r="L58"/>
    </row>
    <row r="59" spans="1:12" x14ac:dyDescent="0.2">
      <c r="J59"/>
      <c r="K59"/>
      <c r="L59"/>
    </row>
    <row r="60" spans="1:12" x14ac:dyDescent="0.2">
      <c r="J60"/>
      <c r="K60"/>
      <c r="L60"/>
    </row>
  </sheetData>
  <mergeCells count="1">
    <mergeCell ref="C1:M1"/>
  </mergeCells>
  <printOptions horizontalCentered="1"/>
  <pageMargins left="0.5" right="0.5" top="0.5" bottom="0.5" header="0" footer="0"/>
  <pageSetup scale="9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59"/>
  <sheetViews>
    <sheetView showGridLines="0" workbookViewId="0">
      <selection activeCell="C6" sqref="C6"/>
    </sheetView>
  </sheetViews>
  <sheetFormatPr defaultColWidth="8.85546875" defaultRowHeight="12.75" x14ac:dyDescent="0.2"/>
  <cols>
    <col min="1" max="7" width="8.28515625" style="156" customWidth="1"/>
    <col min="8" max="8" width="4.85546875" style="156" customWidth="1"/>
    <col min="9" max="14" width="8.28515625" style="156" customWidth="1"/>
    <col min="15" max="15" width="13.140625" style="156" customWidth="1"/>
    <col min="16" max="19" width="8.28515625" style="156" customWidth="1"/>
    <col min="20" max="16384" width="8.85546875" style="156"/>
  </cols>
  <sheetData>
    <row r="1" spans="1:15" ht="15.75" x14ac:dyDescent="0.25">
      <c r="C1" s="165" t="s">
        <v>11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5" x14ac:dyDescent="0.2">
      <c r="C2" s="8" t="str">
        <f>Table!A7</f>
        <v>Shell Exploration &amp; Production Company</v>
      </c>
      <c r="K2" s="60" t="str">
        <f>Table!L7</f>
        <v>Sample Number:</v>
      </c>
      <c r="O2" s="53" t="str">
        <f>Table!$P$7</f>
        <v>MC 23</v>
      </c>
    </row>
    <row r="3" spans="1:15" x14ac:dyDescent="0.2">
      <c r="C3" s="8" t="str">
        <f>Table!A8</f>
        <v>OCS-Y-2321 Burger J 001</v>
      </c>
      <c r="K3" s="60" t="str">
        <f>Table!L8</f>
        <v>Sample Depth, feet:</v>
      </c>
      <c r="O3" s="54">
        <f>Table!$P$8</f>
        <v>0</v>
      </c>
    </row>
    <row r="4" spans="1:15" x14ac:dyDescent="0.2">
      <c r="C4" s="8" t="str">
        <f>Table!A9</f>
        <v>Offshore</v>
      </c>
      <c r="K4" s="60" t="str">
        <f>Table!L9</f>
        <v>Permeability to Air (calc), mD:</v>
      </c>
      <c r="M4" s="55"/>
      <c r="N4" s="55"/>
      <c r="O4" s="163">
        <f>Table!$P$9</f>
        <v>20.182213411296051</v>
      </c>
    </row>
    <row r="5" spans="1:15" x14ac:dyDescent="0.2">
      <c r="C5" s="8" t="str">
        <f>Table!A10</f>
        <v>HH-77445</v>
      </c>
      <c r="D5" s="56"/>
      <c r="E5" s="56"/>
      <c r="F5" s="137"/>
      <c r="G5" s="56"/>
      <c r="K5" s="60" t="str">
        <f>Table!L10</f>
        <v>Porosity, fraction:</v>
      </c>
      <c r="M5" s="55"/>
      <c r="N5" s="55"/>
      <c r="O5" s="92">
        <f>Table!$P$10</f>
        <v>0.23063301949749149</v>
      </c>
    </row>
    <row r="6" spans="1:15" x14ac:dyDescent="0.2">
      <c r="A6" s="55"/>
      <c r="C6" s="174" t="s">
        <v>96</v>
      </c>
      <c r="D6" s="75"/>
      <c r="E6" s="75"/>
      <c r="F6" s="75"/>
      <c r="G6" s="55"/>
      <c r="K6" s="60" t="str">
        <f>Table!L11</f>
        <v>Grain Density, grams/cc:</v>
      </c>
      <c r="M6" s="75"/>
      <c r="N6" s="75"/>
      <c r="O6" s="137">
        <f>Table!$P$11</f>
        <v>2.6498834970880143</v>
      </c>
    </row>
    <row r="7" spans="1:15" x14ac:dyDescent="0.2">
      <c r="B7" s="8"/>
      <c r="D7" s="55"/>
      <c r="E7" s="55"/>
      <c r="I7" s="60"/>
      <c r="K7" s="75"/>
      <c r="L7" s="27"/>
      <c r="M7" s="43"/>
    </row>
    <row r="8" spans="1:15" x14ac:dyDescent="0.2">
      <c r="B8" s="55"/>
      <c r="C8" s="55"/>
      <c r="D8" s="55"/>
      <c r="E8" s="55"/>
      <c r="F8" s="55"/>
    </row>
    <row r="9" spans="1:15" x14ac:dyDescent="0.2">
      <c r="B9" s="55"/>
      <c r="C9" s="55"/>
      <c r="D9" s="55"/>
      <c r="E9" s="55"/>
      <c r="F9" s="55"/>
      <c r="K9" s="75"/>
      <c r="L9" s="27"/>
    </row>
    <row r="10" spans="1:15" x14ac:dyDescent="0.2">
      <c r="B10" s="55"/>
      <c r="C10" s="55"/>
      <c r="D10" s="75"/>
      <c r="E10" s="55"/>
      <c r="F10" s="55"/>
      <c r="K10" s="75"/>
      <c r="L10" s="27"/>
    </row>
    <row r="11" spans="1:15" x14ac:dyDescent="0.2">
      <c r="B11" s="55"/>
      <c r="C11" s="55"/>
      <c r="D11" s="75"/>
      <c r="E11" s="55"/>
      <c r="F11" s="55"/>
      <c r="G11" s="60"/>
      <c r="H11" s="55"/>
      <c r="I11" s="55"/>
      <c r="J11" s="92"/>
      <c r="K11" s="75"/>
      <c r="L11" s="27"/>
    </row>
    <row r="12" spans="1:15" x14ac:dyDescent="0.2">
      <c r="A12" s="8"/>
      <c r="B12" s="55"/>
      <c r="C12" s="55"/>
      <c r="D12" s="55"/>
      <c r="E12" s="55"/>
      <c r="F12" s="55"/>
      <c r="G12" s="55"/>
      <c r="H12" s="55"/>
      <c r="I12" s="41"/>
      <c r="J12" s="75"/>
      <c r="K12" s="75"/>
      <c r="L12" s="27"/>
    </row>
    <row r="13" spans="1:15" x14ac:dyDescent="0.2">
      <c r="A13" s="146"/>
      <c r="B13" s="146"/>
      <c r="C13" s="146"/>
      <c r="D13" s="146"/>
      <c r="E13" s="146"/>
      <c r="F13" s="132"/>
      <c r="G13" s="132"/>
      <c r="H13" s="132"/>
      <c r="I13" s="132"/>
      <c r="J13" s="132"/>
      <c r="K13" s="75"/>
      <c r="L13" s="27"/>
    </row>
    <row r="14" spans="1:15" x14ac:dyDescent="0.2">
      <c r="A14" s="146"/>
      <c r="B14" s="146"/>
      <c r="C14" s="146"/>
      <c r="D14" s="146"/>
      <c r="E14" s="146"/>
      <c r="F14" s="146"/>
      <c r="G14" s="146"/>
      <c r="H14" s="146"/>
      <c r="I14" s="132"/>
      <c r="J14" s="132"/>
      <c r="K14" s="55"/>
      <c r="L14" s="27"/>
    </row>
    <row r="15" spans="1:15" x14ac:dyDescent="0.2">
      <c r="A15" s="146"/>
      <c r="B15" s="146"/>
      <c r="C15" s="146"/>
      <c r="D15" s="146"/>
      <c r="E15" s="146"/>
      <c r="F15" s="146"/>
      <c r="G15" s="146"/>
      <c r="H15" s="146"/>
      <c r="I15" s="132"/>
      <c r="J15" s="132"/>
      <c r="K15" s="55"/>
      <c r="L15" s="27"/>
    </row>
    <row r="16" spans="1:15" x14ac:dyDescent="0.2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55"/>
      <c r="L16" s="113"/>
    </row>
    <row r="17" spans="1:12" x14ac:dyDescent="0.2">
      <c r="A17" s="135"/>
      <c r="B17" s="154"/>
      <c r="C17" s="154"/>
      <c r="D17" s="91"/>
      <c r="E17" s="129"/>
      <c r="F17" s="21"/>
      <c r="G17" s="21"/>
      <c r="H17" s="21"/>
      <c r="I17" s="21"/>
      <c r="J17" s="21"/>
      <c r="K17" s="55"/>
      <c r="L17" s="113"/>
    </row>
    <row r="18" spans="1:12" x14ac:dyDescent="0.2">
      <c r="A18" s="158"/>
      <c r="B18" s="154"/>
      <c r="C18" s="154"/>
      <c r="D18" s="91"/>
      <c r="E18" s="129"/>
      <c r="F18" s="21"/>
      <c r="G18" s="21"/>
      <c r="H18" s="21"/>
      <c r="I18" s="21"/>
      <c r="J18" s="21"/>
      <c r="K18" s="55"/>
      <c r="L18" s="113"/>
    </row>
    <row r="19" spans="1:12" x14ac:dyDescent="0.2">
      <c r="A19" s="158"/>
      <c r="B19" s="154"/>
      <c r="C19" s="154"/>
      <c r="D19" s="91"/>
      <c r="E19" s="129"/>
      <c r="F19" s="21"/>
      <c r="G19" s="21"/>
      <c r="H19" s="21"/>
      <c r="I19" s="21"/>
      <c r="J19" s="21"/>
      <c r="K19" s="55"/>
      <c r="L19" s="161"/>
    </row>
    <row r="20" spans="1:12" x14ac:dyDescent="0.2">
      <c r="A20" s="158"/>
      <c r="B20" s="154"/>
      <c r="C20" s="154"/>
      <c r="D20" s="91"/>
      <c r="E20" s="129"/>
      <c r="F20" s="21"/>
      <c r="G20" s="21"/>
      <c r="H20" s="21"/>
      <c r="I20" s="21"/>
      <c r="J20" s="21"/>
      <c r="K20" s="55"/>
      <c r="L20" s="114"/>
    </row>
    <row r="21" spans="1:12" x14ac:dyDescent="0.2">
      <c r="A21" s="158"/>
      <c r="B21" s="154"/>
      <c r="C21" s="154"/>
      <c r="D21" s="91"/>
      <c r="E21" s="129"/>
      <c r="F21" s="21"/>
      <c r="G21" s="21"/>
      <c r="H21" s="21"/>
      <c r="I21" s="21"/>
      <c r="J21" s="21"/>
      <c r="K21" s="55"/>
      <c r="L21" s="114"/>
    </row>
    <row r="22" spans="1:12" x14ac:dyDescent="0.2">
      <c r="A22" s="158"/>
      <c r="B22" s="154"/>
      <c r="C22" s="154"/>
      <c r="D22" s="91"/>
      <c r="E22" s="129"/>
      <c r="F22" s="21"/>
      <c r="G22" s="21"/>
      <c r="H22" s="21"/>
      <c r="I22" s="21"/>
      <c r="J22" s="21"/>
      <c r="K22" s="55"/>
      <c r="L22" s="114"/>
    </row>
    <row r="23" spans="1:12" x14ac:dyDescent="0.2">
      <c r="A23" s="131"/>
      <c r="B23" s="154"/>
      <c r="C23" s="154"/>
      <c r="D23" s="91"/>
      <c r="E23" s="129"/>
      <c r="F23" s="21"/>
      <c r="G23" s="21"/>
      <c r="H23" s="21"/>
      <c r="I23" s="21"/>
      <c r="J23" s="21"/>
      <c r="K23" s="55"/>
      <c r="L23" s="114"/>
    </row>
    <row r="24" spans="1:12" x14ac:dyDescent="0.2">
      <c r="A24" s="131"/>
      <c r="B24" s="154"/>
      <c r="C24" s="154"/>
      <c r="D24" s="91"/>
      <c r="E24" s="129"/>
      <c r="F24" s="21"/>
      <c r="G24" s="21"/>
      <c r="H24" s="21"/>
      <c r="I24" s="21"/>
      <c r="J24" s="21"/>
      <c r="K24" s="55"/>
      <c r="L24" s="114"/>
    </row>
    <row r="25" spans="1:12" x14ac:dyDescent="0.2">
      <c r="A25" s="131"/>
      <c r="B25" s="154"/>
      <c r="C25" s="154"/>
      <c r="D25" s="91"/>
      <c r="E25" s="129"/>
      <c r="F25" s="21"/>
      <c r="G25" s="21"/>
      <c r="H25" s="21"/>
      <c r="I25" s="21"/>
      <c r="J25" s="21"/>
      <c r="K25" s="55"/>
      <c r="L25" s="114"/>
    </row>
    <row r="26" spans="1:12" x14ac:dyDescent="0.2">
      <c r="A26" s="131"/>
      <c r="B26" s="154"/>
      <c r="C26" s="154"/>
      <c r="D26" s="91"/>
      <c r="E26" s="129"/>
      <c r="F26" s="21"/>
      <c r="G26" s="21"/>
      <c r="H26" s="21"/>
      <c r="I26" s="21"/>
      <c r="J26" s="21"/>
      <c r="K26" s="55"/>
      <c r="L26" s="114"/>
    </row>
    <row r="27" spans="1:12" x14ac:dyDescent="0.2">
      <c r="A27" s="131"/>
      <c r="B27" s="154"/>
      <c r="C27" s="154"/>
      <c r="D27" s="91"/>
      <c r="E27" s="129"/>
      <c r="F27" s="21"/>
      <c r="G27" s="21"/>
      <c r="H27" s="21"/>
      <c r="I27" s="21"/>
      <c r="J27" s="21"/>
      <c r="K27" s="55"/>
      <c r="L27" s="114"/>
    </row>
    <row r="28" spans="1:12" x14ac:dyDescent="0.2">
      <c r="A28" s="79"/>
      <c r="B28" s="154"/>
      <c r="C28" s="154"/>
      <c r="D28" s="91"/>
      <c r="E28" s="129"/>
      <c r="F28" s="21"/>
      <c r="G28" s="21"/>
      <c r="H28" s="21"/>
      <c r="I28" s="21"/>
      <c r="J28" s="21"/>
      <c r="K28" s="55"/>
      <c r="L28" s="114"/>
    </row>
    <row r="29" spans="1:12" x14ac:dyDescent="0.2">
      <c r="A29" s="79"/>
      <c r="B29" s="154"/>
      <c r="C29" s="154"/>
      <c r="D29" s="91"/>
      <c r="E29" s="129"/>
      <c r="F29" s="21"/>
      <c r="G29" s="21"/>
      <c r="H29" s="21"/>
      <c r="I29" s="21"/>
      <c r="J29" s="21"/>
      <c r="K29" s="55"/>
      <c r="L29" s="114"/>
    </row>
    <row r="30" spans="1:12" x14ac:dyDescent="0.2">
      <c r="A30" s="79"/>
      <c r="B30" s="154"/>
      <c r="C30" s="154"/>
      <c r="D30" s="91"/>
      <c r="E30" s="129"/>
      <c r="F30" s="21"/>
      <c r="G30" s="21"/>
      <c r="H30" s="21"/>
      <c r="I30" s="21"/>
      <c r="J30" s="21"/>
      <c r="K30" s="55"/>
      <c r="L30" s="114"/>
    </row>
    <row r="31" spans="1:12" x14ac:dyDescent="0.2">
      <c r="A31" s="79"/>
      <c r="B31" s="154"/>
      <c r="C31" s="154"/>
      <c r="D31" s="91"/>
      <c r="E31" s="129"/>
      <c r="F31" s="21"/>
      <c r="G31" s="21"/>
      <c r="H31" s="21"/>
      <c r="I31" s="21"/>
      <c r="J31" s="21"/>
      <c r="K31" s="55"/>
      <c r="L31" s="114"/>
    </row>
    <row r="32" spans="1:12" x14ac:dyDescent="0.2">
      <c r="A32" s="79"/>
      <c r="B32" s="154"/>
      <c r="C32" s="154"/>
      <c r="D32" s="91"/>
      <c r="E32" s="129"/>
      <c r="F32" s="21"/>
      <c r="G32" s="21"/>
      <c r="H32" s="21"/>
      <c r="I32" s="21"/>
      <c r="J32" s="21"/>
      <c r="K32" s="55"/>
      <c r="L32" s="114"/>
    </row>
    <row r="33" spans="1:13" x14ac:dyDescent="0.2">
      <c r="A33" s="7"/>
      <c r="B33" s="154"/>
      <c r="C33" s="154"/>
      <c r="D33" s="91"/>
      <c r="E33" s="129"/>
      <c r="F33" s="21"/>
      <c r="G33" s="21"/>
      <c r="H33" s="21"/>
      <c r="I33" s="21"/>
      <c r="J33" s="21"/>
      <c r="K33" s="55"/>
      <c r="L33" s="114"/>
    </row>
    <row r="34" spans="1:13" x14ac:dyDescent="0.2">
      <c r="A34" s="7"/>
      <c r="B34" s="154"/>
      <c r="C34" s="154"/>
      <c r="D34" s="91"/>
      <c r="E34" s="129"/>
      <c r="F34" s="21"/>
      <c r="G34" s="21"/>
      <c r="H34" s="21"/>
      <c r="I34" s="21"/>
      <c r="J34" s="21"/>
      <c r="K34" s="55"/>
      <c r="L34" s="114"/>
    </row>
    <row r="35" spans="1:13" x14ac:dyDescent="0.2">
      <c r="A35" s="7"/>
      <c r="B35" s="154"/>
      <c r="C35" s="154"/>
      <c r="D35" s="91"/>
      <c r="E35" s="129"/>
      <c r="F35" s="21"/>
      <c r="G35" s="21"/>
      <c r="H35" s="21"/>
      <c r="I35" s="21"/>
      <c r="J35" s="21"/>
      <c r="K35" s="55"/>
      <c r="L35" s="114"/>
    </row>
    <row r="36" spans="1:13" x14ac:dyDescent="0.2">
      <c r="A36" s="7"/>
      <c r="B36" s="154"/>
      <c r="C36" s="154"/>
      <c r="D36" s="91"/>
      <c r="E36" s="129"/>
      <c r="F36" s="21"/>
      <c r="G36" s="21"/>
      <c r="H36" s="21"/>
      <c r="I36" s="21"/>
      <c r="J36" s="21"/>
      <c r="K36" s="55"/>
      <c r="L36" s="114"/>
    </row>
    <row r="37" spans="1:13" x14ac:dyDescent="0.2">
      <c r="A37" s="7"/>
      <c r="B37" s="154"/>
      <c r="C37" s="154"/>
      <c r="D37" s="91"/>
      <c r="E37" s="129"/>
      <c r="F37" s="21"/>
      <c r="G37" s="21"/>
      <c r="H37" s="21"/>
      <c r="I37" s="21"/>
      <c r="J37" s="21"/>
      <c r="K37"/>
      <c r="L37"/>
      <c r="M37"/>
    </row>
    <row r="38" spans="1:13" x14ac:dyDescent="0.2">
      <c r="A38" s="7"/>
      <c r="B38" s="154"/>
      <c r="C38" s="154"/>
      <c r="D38" s="91"/>
      <c r="E38" s="129"/>
      <c r="F38" s="21"/>
      <c r="G38" s="21"/>
      <c r="H38" s="21"/>
      <c r="I38" s="21"/>
      <c r="J38" s="21"/>
      <c r="K38"/>
      <c r="L38"/>
      <c r="M38"/>
    </row>
    <row r="39" spans="1:13" x14ac:dyDescent="0.2">
      <c r="A39" s="7"/>
      <c r="B39" s="154"/>
      <c r="C39" s="154"/>
      <c r="D39" s="91"/>
      <c r="E39" s="129"/>
      <c r="F39" s="21"/>
      <c r="G39" s="21"/>
      <c r="H39" s="21"/>
      <c r="I39" s="21"/>
      <c r="J39" s="21"/>
      <c r="K39"/>
      <c r="L39"/>
      <c r="M39"/>
    </row>
    <row r="40" spans="1:13" x14ac:dyDescent="0.2">
      <c r="A40" s="7"/>
      <c r="B40" s="154"/>
      <c r="C40" s="154"/>
      <c r="D40" s="91"/>
      <c r="E40" s="129"/>
      <c r="F40" s="21"/>
      <c r="G40" s="21"/>
      <c r="H40" s="21"/>
      <c r="I40" s="21"/>
      <c r="J40" s="21"/>
      <c r="K40"/>
      <c r="L40"/>
      <c r="M40"/>
    </row>
    <row r="41" spans="1:13" x14ac:dyDescent="0.2">
      <c r="A41" s="7"/>
      <c r="B41" s="154"/>
      <c r="C41" s="154"/>
      <c r="D41" s="91"/>
      <c r="E41" s="129"/>
      <c r="F41" s="21"/>
      <c r="G41" s="21"/>
      <c r="H41" s="21"/>
      <c r="I41" s="21"/>
      <c r="J41" s="21"/>
      <c r="K41"/>
      <c r="L41"/>
      <c r="M41"/>
    </row>
    <row r="42" spans="1:13" x14ac:dyDescent="0.2">
      <c r="A42" s="7"/>
      <c r="B42" s="154"/>
      <c r="C42" s="154"/>
      <c r="D42" s="91"/>
      <c r="E42" s="129"/>
      <c r="F42" s="21"/>
      <c r="G42" s="21"/>
      <c r="H42" s="21"/>
      <c r="I42" s="21"/>
      <c r="J42" s="21"/>
      <c r="K42" s="55"/>
      <c r="L42" s="114"/>
    </row>
    <row r="43" spans="1:13" x14ac:dyDescent="0.2">
      <c r="A43" s="82"/>
      <c r="B43" s="82"/>
      <c r="C43" s="82"/>
      <c r="D43" s="82"/>
      <c r="E43" s="82"/>
      <c r="F43" s="82"/>
      <c r="G43" s="82"/>
      <c r="H43" s="82"/>
      <c r="I43" s="82"/>
      <c r="J43" s="82"/>
    </row>
    <row r="44" spans="1:13" x14ac:dyDescent="0.2">
      <c r="A44" s="82"/>
      <c r="B44" s="82"/>
      <c r="C44" s="82"/>
      <c r="D44" s="82"/>
      <c r="E44" s="82"/>
      <c r="F44" s="82"/>
      <c r="G44" s="82"/>
      <c r="H44" s="82"/>
      <c r="I44" s="82"/>
      <c r="J44" s="82"/>
    </row>
    <row r="45" spans="1:13" x14ac:dyDescent="0.2">
      <c r="A45" s="82"/>
      <c r="B45" s="82"/>
      <c r="C45" s="82"/>
      <c r="D45" s="82"/>
      <c r="E45" s="82"/>
      <c r="F45" s="82"/>
      <c r="G45" s="82"/>
      <c r="H45" s="82"/>
      <c r="I45" s="82"/>
      <c r="J45" s="82"/>
    </row>
    <row r="46" spans="1:13" x14ac:dyDescent="0.2">
      <c r="A46" s="82"/>
      <c r="B46" s="82"/>
      <c r="C46" s="82"/>
      <c r="D46" s="82"/>
      <c r="E46" s="82"/>
      <c r="F46" s="82"/>
      <c r="G46" s="82"/>
      <c r="H46" s="82"/>
      <c r="I46" s="82"/>
      <c r="J46" s="82"/>
    </row>
    <row r="47" spans="1:13" x14ac:dyDescent="0.2">
      <c r="A47" s="82"/>
      <c r="B47" s="82"/>
      <c r="C47" s="82"/>
      <c r="D47" s="82"/>
      <c r="E47" s="82"/>
      <c r="F47" s="82"/>
      <c r="G47" s="82"/>
    </row>
    <row r="48" spans="1:13" x14ac:dyDescent="0.2">
      <c r="A48" s="82"/>
      <c r="B48" s="82"/>
      <c r="C48" s="82"/>
      <c r="D48" s="82"/>
      <c r="E48" s="82"/>
      <c r="F48" s="82"/>
      <c r="G48" s="82"/>
    </row>
    <row r="55" spans="10:12" x14ac:dyDescent="0.2">
      <c r="J55"/>
      <c r="K55"/>
      <c r="L55"/>
    </row>
    <row r="56" spans="10:12" x14ac:dyDescent="0.2">
      <c r="J56"/>
      <c r="K56"/>
      <c r="L56"/>
    </row>
    <row r="57" spans="10:12" x14ac:dyDescent="0.2">
      <c r="J57"/>
      <c r="K57"/>
      <c r="L57"/>
    </row>
    <row r="58" spans="10:12" x14ac:dyDescent="0.2">
      <c r="J58"/>
      <c r="K58"/>
      <c r="L58"/>
    </row>
    <row r="59" spans="10:12" x14ac:dyDescent="0.2">
      <c r="J59"/>
      <c r="K59"/>
      <c r="L59"/>
    </row>
  </sheetData>
  <mergeCells count="1">
    <mergeCell ref="C1:M1"/>
  </mergeCells>
  <printOptions horizontalCentered="1"/>
  <pageMargins left="0.5" right="0.5" top="0.5" bottom="0.5" header="0" footer="0"/>
  <pageSetup scale="74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6"/>
  <dimension ref="A1:AV190"/>
  <sheetViews>
    <sheetView showGridLines="0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A11" sqref="A11"/>
    </sheetView>
  </sheetViews>
  <sheetFormatPr defaultColWidth="8.85546875" defaultRowHeight="12.75" x14ac:dyDescent="0.2"/>
  <cols>
    <col min="1" max="2" width="8.85546875" style="156"/>
    <col min="3" max="3" width="11.140625" style="156" customWidth="1"/>
    <col min="4" max="4" width="16.28515625" style="156" customWidth="1"/>
    <col min="5" max="8" width="10.85546875" style="156" customWidth="1"/>
    <col min="9" max="9" width="11.140625" style="156" customWidth="1"/>
    <col min="10" max="10" width="11.85546875" style="156" customWidth="1"/>
    <col min="11" max="11" width="9.85546875" style="156" bestFit="1" customWidth="1"/>
    <col min="12" max="12" width="10.5703125" style="156" customWidth="1"/>
    <col min="13" max="14" width="10.5703125" style="156" bestFit="1" customWidth="1"/>
    <col min="15" max="15" width="8.85546875" style="156" customWidth="1"/>
    <col min="16" max="16" width="10.5703125" style="156" bestFit="1" customWidth="1"/>
    <col min="17" max="17" width="9.5703125" style="156" customWidth="1"/>
    <col min="18" max="18" width="8.85546875" style="156" customWidth="1"/>
    <col min="19" max="19" width="10.85546875" style="156" customWidth="1"/>
    <col min="20" max="20" width="11.140625" style="156" customWidth="1"/>
    <col min="21" max="21" width="9.28515625" style="156" customWidth="1"/>
    <col min="22" max="22" width="10.7109375" style="156" customWidth="1"/>
    <col min="23" max="23" width="10.5703125" style="156" customWidth="1"/>
    <col min="24" max="24" width="11" style="156" customWidth="1"/>
    <col min="25" max="25" width="9.140625"/>
    <col min="26" max="26" width="13" style="156" customWidth="1"/>
    <col min="27" max="28" width="8.85546875" style="156"/>
    <col min="29" max="29" width="12.140625" style="156" bestFit="1" customWidth="1"/>
    <col min="30" max="39" width="8.85546875" style="156"/>
    <col min="40" max="40" width="15.85546875" style="156" customWidth="1"/>
    <col min="41" max="43" width="8.85546875" style="156"/>
    <col min="44" max="48" width="8.85546875" style="82"/>
    <col min="49" max="16384" width="8.85546875" style="156"/>
  </cols>
  <sheetData>
    <row r="1" spans="1:48" x14ac:dyDescent="0.2">
      <c r="P1" s="85"/>
      <c r="Q1" s="85"/>
      <c r="Z1" s="44" t="s">
        <v>50</v>
      </c>
      <c r="AA1" s="5"/>
      <c r="AB1" s="5"/>
      <c r="AC1" s="17"/>
      <c r="AD1" s="17"/>
    </row>
    <row r="2" spans="1:48" x14ac:dyDescent="0.2">
      <c r="Z2" s="94"/>
      <c r="AA2" s="134"/>
      <c r="AB2" s="116" t="s">
        <v>66</v>
      </c>
      <c r="AC2" s="116" t="s">
        <v>51</v>
      </c>
      <c r="AD2" s="128" t="s">
        <v>0</v>
      </c>
      <c r="AE2" s="139" t="s">
        <v>28</v>
      </c>
      <c r="AJ2" s="156">
        <v>77.728999999999999</v>
      </c>
    </row>
    <row r="3" spans="1:48" x14ac:dyDescent="0.2">
      <c r="P3" s="29"/>
      <c r="Q3" s="29"/>
      <c r="Z3" s="63" t="s">
        <v>82</v>
      </c>
      <c r="AA3" s="161"/>
      <c r="AB3" s="37">
        <v>140</v>
      </c>
      <c r="AC3" s="113"/>
      <c r="AD3" s="110"/>
      <c r="AE3" s="9"/>
      <c r="AJ3" s="156">
        <v>13.5512</v>
      </c>
    </row>
    <row r="4" spans="1:48" x14ac:dyDescent="0.2">
      <c r="Z4" s="63" t="s">
        <v>22</v>
      </c>
      <c r="AA4" s="161"/>
      <c r="AB4" s="37">
        <v>485</v>
      </c>
      <c r="AC4" s="113"/>
      <c r="AD4" s="110"/>
      <c r="AE4" s="9"/>
      <c r="AJ4" s="156">
        <v>249.06</v>
      </c>
      <c r="AN4" s="171" t="s">
        <v>30</v>
      </c>
      <c r="AO4" s="172"/>
      <c r="AP4" s="173"/>
      <c r="AR4" s="170"/>
      <c r="AS4" s="170"/>
      <c r="AT4" s="170"/>
    </row>
    <row r="5" spans="1:48" ht="15.75" x14ac:dyDescent="0.25">
      <c r="A5" s="165" t="s">
        <v>11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5"/>
      <c r="R5" s="75"/>
      <c r="S5" s="75"/>
      <c r="T5" s="75"/>
      <c r="U5" s="75"/>
      <c r="V5" s="75"/>
      <c r="W5" s="75"/>
      <c r="X5" s="75"/>
      <c r="Z5" s="63" t="s">
        <v>31</v>
      </c>
      <c r="AA5" s="161"/>
      <c r="AB5" s="113"/>
      <c r="AC5" s="121">
        <v>0</v>
      </c>
      <c r="AD5" s="121">
        <v>0</v>
      </c>
      <c r="AE5" s="102">
        <v>30</v>
      </c>
      <c r="AJ5" s="156">
        <v>16.737200000000001</v>
      </c>
      <c r="AN5" s="153" t="s">
        <v>44</v>
      </c>
      <c r="AO5" s="153" t="s">
        <v>33</v>
      </c>
      <c r="AP5" s="153" t="s">
        <v>55</v>
      </c>
      <c r="AR5" s="103"/>
      <c r="AS5" s="103"/>
      <c r="AT5" s="103"/>
    </row>
    <row r="6" spans="1:48" x14ac:dyDescent="0.2">
      <c r="A6" s="55"/>
      <c r="B6" s="75"/>
      <c r="C6" s="75"/>
      <c r="D6" s="55"/>
      <c r="E6" s="55"/>
      <c r="F6" s="55"/>
      <c r="G6" s="55"/>
      <c r="H6" s="55"/>
      <c r="I6" s="55"/>
      <c r="J6" s="55"/>
      <c r="K6" s="75"/>
      <c r="L6" s="75"/>
      <c r="M6" s="75"/>
      <c r="N6" s="55"/>
      <c r="O6" s="75"/>
      <c r="P6" s="75"/>
      <c r="Q6" s="75"/>
      <c r="R6" s="75"/>
      <c r="S6" s="75"/>
      <c r="T6" s="75"/>
      <c r="U6" s="75"/>
      <c r="V6" s="75"/>
      <c r="W6" s="75"/>
      <c r="X6" s="75"/>
      <c r="Z6" s="63" t="s">
        <v>29</v>
      </c>
      <c r="AA6" s="161"/>
      <c r="AB6" s="113"/>
      <c r="AC6" s="28">
        <v>70</v>
      </c>
      <c r="AD6" s="37">
        <v>24</v>
      </c>
      <c r="AE6" s="18">
        <v>35</v>
      </c>
      <c r="AN6" s="155" t="s">
        <v>46</v>
      </c>
      <c r="AO6" s="155" t="s">
        <v>25</v>
      </c>
      <c r="AP6" s="155" t="s">
        <v>25</v>
      </c>
      <c r="AR6" s="103"/>
      <c r="AS6" s="103"/>
      <c r="AT6" s="103"/>
    </row>
    <row r="7" spans="1:48" ht="12.4" customHeight="1" x14ac:dyDescent="0.2">
      <c r="A7" s="62" t="s">
        <v>91</v>
      </c>
      <c r="B7" s="55"/>
      <c r="C7" s="55"/>
      <c r="D7" s="75"/>
      <c r="E7" s="75"/>
      <c r="F7" s="75"/>
      <c r="G7" s="75"/>
      <c r="H7" s="75"/>
      <c r="I7" s="75"/>
      <c r="J7" s="75"/>
      <c r="K7" s="55"/>
      <c r="L7" s="156" t="s">
        <v>40</v>
      </c>
      <c r="P7" s="53" t="s">
        <v>20</v>
      </c>
      <c r="Q7" s="53"/>
      <c r="R7" s="75"/>
      <c r="S7" s="75"/>
      <c r="T7" s="75"/>
      <c r="U7" s="75"/>
      <c r="V7" s="75"/>
      <c r="W7" s="75"/>
      <c r="X7" s="75"/>
      <c r="Z7" s="120" t="s">
        <v>24</v>
      </c>
      <c r="AA7" s="142"/>
      <c r="AB7" s="97"/>
      <c r="AC7" s="28">
        <v>0</v>
      </c>
      <c r="AD7" s="145"/>
      <c r="AE7" s="18">
        <v>30</v>
      </c>
      <c r="AN7" s="130" t="s">
        <v>81</v>
      </c>
      <c r="AO7" s="119">
        <v>1</v>
      </c>
      <c r="AP7" s="119">
        <f t="shared" ref="AP7:AP27" si="0">AO7-AO8</f>
        <v>1.0369829624714555E-3</v>
      </c>
      <c r="AR7" s="52" t="s">
        <v>81</v>
      </c>
      <c r="AS7" s="42"/>
      <c r="AT7" s="42"/>
      <c r="AU7" s="4"/>
      <c r="AV7" s="4"/>
    </row>
    <row r="8" spans="1:48" ht="12.4" customHeight="1" x14ac:dyDescent="0.2">
      <c r="A8" s="62" t="s">
        <v>95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156" t="s">
        <v>92</v>
      </c>
      <c r="P8" s="54">
        <v>0</v>
      </c>
      <c r="Q8" s="77"/>
      <c r="R8" s="75"/>
      <c r="S8" s="75"/>
      <c r="T8" s="75"/>
      <c r="U8" s="75"/>
      <c r="V8" s="75"/>
      <c r="W8" s="75"/>
      <c r="X8" s="75"/>
      <c r="Z8" s="86" t="s">
        <v>80</v>
      </c>
      <c r="AA8" s="157"/>
      <c r="AB8" s="108"/>
      <c r="AC8" s="143">
        <v>50</v>
      </c>
      <c r="AD8" s="96"/>
      <c r="AE8" s="46">
        <v>25</v>
      </c>
      <c r="AN8" s="64">
        <f>E135</f>
        <v>1.9941339674820575E-3</v>
      </c>
      <c r="AO8" s="119">
        <f>B135</f>
        <v>0.99896301703752854</v>
      </c>
      <c r="AP8" s="119">
        <f t="shared" si="0"/>
        <v>0</v>
      </c>
      <c r="AR8" s="152">
        <v>1.8387307309880479E-3</v>
      </c>
      <c r="AS8" s="42"/>
      <c r="AT8" s="42"/>
      <c r="AU8" s="6"/>
      <c r="AV8" s="117"/>
    </row>
    <row r="9" spans="1:48" ht="12.4" customHeight="1" x14ac:dyDescent="0.2">
      <c r="A9" s="8" t="s">
        <v>93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60" t="s">
        <v>74</v>
      </c>
      <c r="N9" s="55"/>
      <c r="O9" s="55"/>
      <c r="P9" s="164">
        <f>MAX(V18:V136)</f>
        <v>20.182213411296051</v>
      </c>
      <c r="Q9" s="109"/>
      <c r="R9" s="75"/>
      <c r="S9" s="75"/>
      <c r="T9" s="75"/>
      <c r="U9" s="75"/>
      <c r="V9" s="75"/>
      <c r="W9" s="75"/>
      <c r="X9" s="75"/>
      <c r="Z9" s="136" t="s">
        <v>10</v>
      </c>
      <c r="AA9" s="142"/>
      <c r="AB9" s="142"/>
      <c r="AC9" s="47">
        <f>ABS($AC$6*COS($AC$5*PI()/180))</f>
        <v>70</v>
      </c>
      <c r="AD9" s="47">
        <f>ABS($AD$6*COS($AD$5*PI()/180))</f>
        <v>24</v>
      </c>
      <c r="AE9" s="45">
        <f>ABS($AE$6*COS($AE$5*PI()/180))</f>
        <v>30.310889132455355</v>
      </c>
      <c r="AN9" s="64">
        <f>E133</f>
        <v>2.3860549421579071E-3</v>
      </c>
      <c r="AO9" s="119">
        <f>B133</f>
        <v>0.99896301703752854</v>
      </c>
      <c r="AP9" s="119">
        <f t="shared" si="0"/>
        <v>5.2947711211166482E-3</v>
      </c>
      <c r="AR9" s="152">
        <v>2.3796891258599209E-3</v>
      </c>
      <c r="AS9" s="42"/>
      <c r="AT9" s="42"/>
      <c r="AU9" s="6"/>
      <c r="AV9" s="117"/>
    </row>
    <row r="10" spans="1:48" ht="12.4" customHeight="1" x14ac:dyDescent="0.2">
      <c r="A10" s="12" t="s">
        <v>94</v>
      </c>
      <c r="B10" s="55"/>
      <c r="C10" s="55"/>
      <c r="D10" s="75"/>
      <c r="E10" s="75"/>
      <c r="F10" s="75"/>
      <c r="G10" s="75"/>
      <c r="H10" s="75"/>
      <c r="I10" s="75"/>
      <c r="J10" s="75"/>
      <c r="K10" s="55"/>
      <c r="L10" s="60" t="s">
        <v>52</v>
      </c>
      <c r="N10" s="55"/>
      <c r="O10" s="55"/>
      <c r="P10" s="92">
        <f>'Raw Data'!M10</f>
        <v>0.23063301949749149</v>
      </c>
      <c r="Q10" s="92"/>
      <c r="R10" s="75"/>
      <c r="S10" s="75"/>
      <c r="T10" s="75"/>
      <c r="U10" s="75"/>
      <c r="V10" s="75"/>
      <c r="W10" s="75"/>
      <c r="X10" s="75"/>
      <c r="Z10" s="95" t="s">
        <v>60</v>
      </c>
      <c r="AA10" s="157"/>
      <c r="AB10" s="157"/>
      <c r="AC10" s="58">
        <f>ABS($AC$8*COS($AC$7*PI()/180))</f>
        <v>50</v>
      </c>
      <c r="AD10" s="108"/>
      <c r="AE10" s="80">
        <f>ABS($AE$8*COS($AE$7*PI()/180))</f>
        <v>21.650635094610969</v>
      </c>
      <c r="AN10" s="64">
        <f>E125</f>
        <v>4.8998129819863741E-3</v>
      </c>
      <c r="AO10" s="119">
        <f>$B125</f>
        <v>0.9936682459164119</v>
      </c>
      <c r="AP10" s="119">
        <f t="shared" si="0"/>
        <v>9.3905409826712249E-3</v>
      </c>
      <c r="AR10" s="152">
        <v>4.918869133300207E-3</v>
      </c>
      <c r="AS10" s="42"/>
      <c r="AT10" s="42"/>
      <c r="AU10" s="6"/>
      <c r="AV10" s="117"/>
    </row>
    <row r="11" spans="1:48" ht="12.4" customHeight="1" x14ac:dyDescent="0.2">
      <c r="A11" s="174" t="s">
        <v>96</v>
      </c>
      <c r="B11" s="55"/>
      <c r="C11" s="55"/>
      <c r="D11" s="75"/>
      <c r="E11" s="75"/>
      <c r="F11" s="75"/>
      <c r="G11" s="75"/>
      <c r="H11" s="75"/>
      <c r="I11" s="75"/>
      <c r="J11" s="75"/>
      <c r="K11" s="55"/>
      <c r="L11" s="156" t="s">
        <v>23</v>
      </c>
      <c r="P11" s="137">
        <f>'Raw Data'!M11</f>
        <v>2.6498834970880143</v>
      </c>
      <c r="Q11" s="137"/>
      <c r="R11" s="75"/>
      <c r="V11" s="75"/>
      <c r="W11" s="75"/>
      <c r="X11" s="75"/>
      <c r="Z11" s="55"/>
      <c r="AA11" s="127" t="s">
        <v>47</v>
      </c>
      <c r="AB11" s="88"/>
      <c r="AC11" s="88"/>
      <c r="AD11" s="20"/>
      <c r="AN11" s="64">
        <f>E120</f>
        <v>7.6420704460997161E-3</v>
      </c>
      <c r="AO11" s="119">
        <f>$B120</f>
        <v>0.98427770493374067</v>
      </c>
      <c r="AP11" s="119">
        <f t="shared" si="0"/>
        <v>1.0243047014188322E-2</v>
      </c>
      <c r="AR11" s="152">
        <v>7.6659819593601552E-3</v>
      </c>
      <c r="AS11" s="42"/>
      <c r="AT11" s="42"/>
      <c r="AU11" s="6"/>
      <c r="AV11" s="117"/>
    </row>
    <row r="12" spans="1:48" ht="12.4" customHeight="1" x14ac:dyDescent="0.2">
      <c r="B12" s="55"/>
      <c r="C12" s="55"/>
      <c r="D12" s="65"/>
      <c r="E12" s="55"/>
      <c r="F12" s="55"/>
      <c r="G12" s="55"/>
      <c r="H12" s="55"/>
      <c r="I12" s="55"/>
      <c r="J12" s="55"/>
      <c r="K12" s="55"/>
      <c r="L12" s="55"/>
      <c r="M12" s="60"/>
      <c r="N12" s="55"/>
      <c r="O12" s="55"/>
      <c r="P12" s="43"/>
      <c r="Q12" s="43"/>
      <c r="R12" s="75"/>
      <c r="S12" s="75"/>
      <c r="T12" s="75"/>
      <c r="U12" s="75"/>
      <c r="V12" s="75"/>
      <c r="W12" s="75"/>
      <c r="X12" s="75"/>
      <c r="Z12" s="55"/>
      <c r="AA12" s="111" t="s">
        <v>71</v>
      </c>
      <c r="AB12" s="134"/>
      <c r="AC12" s="57">
        <v>0.433</v>
      </c>
      <c r="AD12" s="75"/>
      <c r="AN12" s="119">
        <f>E117</f>
        <v>1.0026049721753513E-2</v>
      </c>
      <c r="AO12" s="119">
        <f>$B117</f>
        <v>0.97403465791955235</v>
      </c>
      <c r="AP12" s="119">
        <f t="shared" si="0"/>
        <v>5.1950113184327074E-2</v>
      </c>
      <c r="AR12" s="42">
        <v>1.0017670706649362E-2</v>
      </c>
      <c r="AS12" s="42"/>
      <c r="AT12" s="42"/>
      <c r="AU12" s="6"/>
      <c r="AV12" s="117"/>
    </row>
    <row r="13" spans="1:48" ht="12.4" customHeight="1" x14ac:dyDescent="0.2">
      <c r="Z13" s="55"/>
      <c r="AA13" s="120" t="s">
        <v>14</v>
      </c>
      <c r="AB13" s="142"/>
      <c r="AC13" s="1">
        <v>0.34599999999999997</v>
      </c>
      <c r="AD13" s="55"/>
      <c r="AN13" s="119">
        <f>E107</f>
        <v>2.4631394710314166E-2</v>
      </c>
      <c r="AO13" s="119">
        <f>$B107</f>
        <v>0.92208454473522528</v>
      </c>
      <c r="AP13" s="119">
        <f t="shared" si="0"/>
        <v>6.8416441056368904E-2</v>
      </c>
      <c r="AR13" s="42">
        <v>2.4302503920103202E-2</v>
      </c>
      <c r="AS13" s="42"/>
      <c r="AT13" s="42"/>
      <c r="AU13" s="6"/>
      <c r="AV13" s="117"/>
    </row>
    <row r="14" spans="1:48" ht="12.4" customHeight="1" x14ac:dyDescent="0.2">
      <c r="A14" s="30" t="s">
        <v>84</v>
      </c>
      <c r="B14" s="30" t="s">
        <v>62</v>
      </c>
      <c r="C14" s="30" t="s">
        <v>45</v>
      </c>
      <c r="D14" s="140" t="s">
        <v>90</v>
      </c>
      <c r="E14" s="30" t="s">
        <v>88</v>
      </c>
      <c r="F14" s="30" t="s">
        <v>88</v>
      </c>
      <c r="G14" s="30" t="s">
        <v>13</v>
      </c>
      <c r="H14" s="30" t="s">
        <v>16</v>
      </c>
      <c r="I14" s="30" t="s">
        <v>67</v>
      </c>
      <c r="J14" s="30" t="s">
        <v>79</v>
      </c>
      <c r="K14" s="30"/>
      <c r="L14" s="89" t="s">
        <v>85</v>
      </c>
      <c r="M14" s="67"/>
      <c r="N14" s="13"/>
      <c r="O14" s="89" t="s">
        <v>17</v>
      </c>
      <c r="P14" s="13"/>
      <c r="Q14" s="13" t="s">
        <v>7</v>
      </c>
      <c r="R14" s="30" t="s">
        <v>62</v>
      </c>
      <c r="S14" s="30" t="s">
        <v>37</v>
      </c>
      <c r="T14" s="30" t="s">
        <v>58</v>
      </c>
      <c r="U14" s="30"/>
      <c r="V14" s="30" t="s">
        <v>27</v>
      </c>
      <c r="W14" s="30" t="s">
        <v>86</v>
      </c>
      <c r="X14" s="30" t="s">
        <v>86</v>
      </c>
      <c r="Z14" s="55"/>
      <c r="AA14" s="86" t="s">
        <v>12</v>
      </c>
      <c r="AB14" s="157"/>
      <c r="AC14" s="26">
        <v>0.1</v>
      </c>
      <c r="AD14" s="55"/>
      <c r="AN14" s="119">
        <f>E99</f>
        <v>5.0599020446718178E-2</v>
      </c>
      <c r="AO14" s="119">
        <f>$B99</f>
        <v>0.85366810367885637</v>
      </c>
      <c r="AP14" s="119">
        <f t="shared" si="0"/>
        <v>4.7974539823661955E-2</v>
      </c>
      <c r="AR14" s="42">
        <v>4.9484801750667114E-2</v>
      </c>
      <c r="AS14" s="42"/>
      <c r="AT14" s="42"/>
      <c r="AU14" s="6"/>
      <c r="AV14" s="117"/>
    </row>
    <row r="15" spans="1:48" ht="12.4" customHeight="1" x14ac:dyDescent="0.2">
      <c r="A15" s="93" t="s">
        <v>77</v>
      </c>
      <c r="B15" s="93" t="s">
        <v>5</v>
      </c>
      <c r="C15" s="93" t="s">
        <v>5</v>
      </c>
      <c r="D15" s="101" t="s">
        <v>69</v>
      </c>
      <c r="E15" s="93" t="s">
        <v>78</v>
      </c>
      <c r="F15" s="93" t="s">
        <v>53</v>
      </c>
      <c r="G15" s="93" t="s">
        <v>32</v>
      </c>
      <c r="H15" s="93" t="s">
        <v>32</v>
      </c>
      <c r="I15" s="93" t="s">
        <v>75</v>
      </c>
      <c r="J15" s="93" t="s">
        <v>75</v>
      </c>
      <c r="K15" s="93" t="s">
        <v>87</v>
      </c>
      <c r="L15" s="30" t="s">
        <v>73</v>
      </c>
      <c r="M15" s="30" t="s">
        <v>4</v>
      </c>
      <c r="N15" s="30" t="s">
        <v>41</v>
      </c>
      <c r="O15" s="50" t="s">
        <v>1</v>
      </c>
      <c r="P15" s="115"/>
      <c r="Q15" s="115" t="s">
        <v>8</v>
      </c>
      <c r="R15" s="93" t="s">
        <v>33</v>
      </c>
      <c r="S15" s="93" t="s">
        <v>43</v>
      </c>
      <c r="T15" s="93" t="s">
        <v>86</v>
      </c>
      <c r="U15" s="93" t="s">
        <v>27</v>
      </c>
      <c r="V15" s="93" t="s">
        <v>86</v>
      </c>
      <c r="W15" s="93" t="s">
        <v>42</v>
      </c>
      <c r="X15" s="93" t="s">
        <v>42</v>
      </c>
      <c r="Z15" s="75"/>
      <c r="AN15" s="119">
        <f>E95</f>
        <v>7.2416390310473602E-2</v>
      </c>
      <c r="AO15" s="119">
        <f>$B95</f>
        <v>0.80569356385519442</v>
      </c>
      <c r="AP15" s="119">
        <f t="shared" si="0"/>
        <v>5.9257006660887734E-2</v>
      </c>
      <c r="AR15" s="42">
        <v>7.1632047862346573E-2</v>
      </c>
      <c r="AS15" s="42"/>
      <c r="AT15" s="42"/>
      <c r="AU15" s="6"/>
      <c r="AV15" s="117"/>
    </row>
    <row r="16" spans="1:48" ht="12.4" customHeight="1" x14ac:dyDescent="0.2">
      <c r="A16" s="138" t="s">
        <v>48</v>
      </c>
      <c r="B16" s="138" t="s">
        <v>25</v>
      </c>
      <c r="C16" s="138" t="s">
        <v>25</v>
      </c>
      <c r="D16" s="144" t="s">
        <v>25</v>
      </c>
      <c r="E16" s="138" t="s">
        <v>54</v>
      </c>
      <c r="F16" s="138" t="s">
        <v>63</v>
      </c>
      <c r="G16" s="138" t="s">
        <v>59</v>
      </c>
      <c r="H16" s="138" t="s">
        <v>59</v>
      </c>
      <c r="I16" s="138" t="s">
        <v>54</v>
      </c>
      <c r="J16" s="138" t="s">
        <v>54</v>
      </c>
      <c r="K16" s="138" t="s">
        <v>68</v>
      </c>
      <c r="L16" s="138" t="s">
        <v>48</v>
      </c>
      <c r="M16" s="138" t="s">
        <v>48</v>
      </c>
      <c r="N16" s="138" t="s">
        <v>48</v>
      </c>
      <c r="O16" s="70" t="s">
        <v>65</v>
      </c>
      <c r="P16" s="70" t="s">
        <v>34</v>
      </c>
      <c r="Q16" s="138" t="s">
        <v>70</v>
      </c>
      <c r="R16" s="138" t="s">
        <v>21</v>
      </c>
      <c r="S16" s="138" t="s">
        <v>19</v>
      </c>
      <c r="T16" s="138"/>
      <c r="U16" s="138"/>
      <c r="V16" s="71"/>
      <c r="W16" s="144" t="s">
        <v>6</v>
      </c>
      <c r="X16" s="144" t="s">
        <v>89</v>
      </c>
      <c r="Z16" s="60" t="s">
        <v>72</v>
      </c>
      <c r="AA16" s="75"/>
      <c r="AB16" s="75"/>
      <c r="AC16" s="39">
        <f>ABS(Table!$AB$4*COS(Table!$AB$3*PI()/180))</f>
        <v>371.53155491270428</v>
      </c>
      <c r="AN16" s="119">
        <f>E91</f>
        <v>0.10422162162715103</v>
      </c>
      <c r="AO16" s="119">
        <f>$B91</f>
        <v>0.74643655719430668</v>
      </c>
      <c r="AP16" s="119">
        <f t="shared" si="0"/>
        <v>0.13930669075379176</v>
      </c>
      <c r="AR16" s="42">
        <v>9.9921582517046942E-2</v>
      </c>
      <c r="AS16" s="42"/>
      <c r="AT16" s="42"/>
      <c r="AU16" s="6"/>
      <c r="AV16" s="117"/>
    </row>
    <row r="17" spans="1:48" ht="12.4" customHeight="1" x14ac:dyDescent="0.2">
      <c r="A17" s="49"/>
      <c r="B17" s="69"/>
      <c r="C17" s="75"/>
      <c r="D17" s="84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55"/>
      <c r="S17" s="55"/>
      <c r="T17" s="55"/>
      <c r="U17" s="55"/>
      <c r="V17" s="55"/>
      <c r="W17" s="55"/>
      <c r="X17" s="55"/>
      <c r="AC17" s="24">
        <f ca="1">FORECAST(200,OFFSET(L$17,MATCH(200,L$18:L136, 1),-9,2,1),OFFSET(L$17,MATCH(200,L$18:L136, 1),0,2,1))</f>
        <v>0.25148213885322362</v>
      </c>
      <c r="AD17" s="156">
        <f ca="1">LOOKUP('Raw Data'!K27,Table!A18:A136,OFFSET(Table!S18:S136,-1,0))</f>
        <v>0</v>
      </c>
      <c r="AE17" s="156">
        <f ca="1">IF('Raw Data'!$I$27=0,Table!$E$18,OFFSET(INDEX($E$18:$E$136,MATCH('Raw Data'!$K$27,Table!$A$18:$A$136,0)),-1,0))</f>
        <v>8.4810881300045367</v>
      </c>
      <c r="AN17" s="119">
        <f>E81</f>
        <v>0.25452948229526612</v>
      </c>
      <c r="AO17" s="119">
        <f>$B81</f>
        <v>0.60712986644051492</v>
      </c>
      <c r="AP17" s="119">
        <f t="shared" si="0"/>
        <v>7.9299131038580328E-2</v>
      </c>
      <c r="AR17" s="42">
        <v>0.25452110435346964</v>
      </c>
      <c r="AS17" s="42"/>
      <c r="AT17" s="42"/>
      <c r="AU17" s="6"/>
      <c r="AV17" s="117"/>
    </row>
    <row r="18" spans="1:48" ht="12.4" customHeight="1" x14ac:dyDescent="0.2">
      <c r="A18" s="49">
        <f>'Raw Data'!A18</f>
        <v>1.5111188888549805</v>
      </c>
      <c r="B18" s="69">
        <f>'Raw Data'!E18</f>
        <v>0</v>
      </c>
      <c r="C18" s="69">
        <f t="shared" ref="C18:C136" si="1">1-B18</f>
        <v>1</v>
      </c>
      <c r="D18" s="23">
        <f t="shared" ref="D18:D136" si="2">B18-B17</f>
        <v>0</v>
      </c>
      <c r="E18" s="15">
        <f>(2*Table!$AC$16*0.147)/A18</f>
        <v>72.284370177585473</v>
      </c>
      <c r="F18" s="15">
        <f t="shared" ref="F18:F136" si="3">E18*2</f>
        <v>144.56874035517095</v>
      </c>
      <c r="G18" s="49">
        <f>IF((('Raw Data'!C18)/('Raw Data'!C$136)*100)&lt;0,0,('Raw Data'!C18)/('Raw Data'!C$136)*100)</f>
        <v>0</v>
      </c>
      <c r="H18" s="49">
        <f t="shared" ref="H18:H136" si="4">G18-G17</f>
        <v>0</v>
      </c>
      <c r="I18" s="31">
        <f t="shared" ref="I18:I136" si="5">IF(E17&gt;0,LOG(E17)-LOG(E18), LOG(E18))</f>
        <v>1.8590444013133005</v>
      </c>
      <c r="J18" s="15">
        <f>'Raw Data'!F18/I18</f>
        <v>0</v>
      </c>
      <c r="K18" s="78">
        <f t="shared" ref="K18:K136" si="6">(0.217*A18*(SQRT(P$9/P$10)))/($AB$4*-COS(RADIANS($AB$3)))</f>
        <v>8.2563162075004921E-3</v>
      </c>
      <c r="L18" s="49">
        <f>A18*Table!$AC$9/$AC$16</f>
        <v>0.2847088512971731</v>
      </c>
      <c r="M18" s="49">
        <f>A18*Table!$AD$9/$AC$16</f>
        <v>9.761446330188793E-2</v>
      </c>
      <c r="N18" s="49">
        <f>ABS(A18*Table!$AE$9/$AC$16)</f>
        <v>0.12328254895281904</v>
      </c>
      <c r="O18" s="49">
        <f>($L18*(Table!$AC$10/Table!$AC$9)/(Table!$AC$12-Table!$AC$14))</f>
        <v>0.61070109673353312</v>
      </c>
      <c r="P18" s="49">
        <f>$N18*(Table!$AE$10/Table!$AE$9)/(Table!$AC$12-Table!$AC$13)</f>
        <v>1.0121719946865271</v>
      </c>
      <c r="Q18" s="49">
        <f>'Raw Data'!C18</f>
        <v>0</v>
      </c>
      <c r="R18" s="49">
        <f>'Raw Data'!C18/'Raw Data'!I$23*100</f>
        <v>0</v>
      </c>
      <c r="S18" s="99">
        <f t="shared" ref="S18:S136" si="7">D18/MAX($D$18:$D$136)</f>
        <v>0</v>
      </c>
      <c r="T18" s="99">
        <f t="shared" ref="T18:T136" si="8">1-(X18/$X$136)</f>
        <v>1</v>
      </c>
      <c r="U18" s="76">
        <f t="shared" ref="U18:U136" si="9">R18/A18</f>
        <v>0</v>
      </c>
      <c r="V18" s="76">
        <f t="shared" ref="V18:V136" si="10">(U18^1.691)*399</f>
        <v>0</v>
      </c>
      <c r="W18" s="76">
        <f t="shared" ref="W18:W136" si="11">((E18*E18)/8)*S18</f>
        <v>0</v>
      </c>
      <c r="X18" s="162">
        <f t="shared" ref="X18:X136" si="12">W18+X17</f>
        <v>0</v>
      </c>
      <c r="Z18" s="10"/>
      <c r="AA18" s="75"/>
      <c r="AB18" s="75"/>
      <c r="AC18" s="40"/>
      <c r="AN18" s="119">
        <f>E73</f>
        <v>0.52506833303329836</v>
      </c>
      <c r="AO18" s="119">
        <f>$B73</f>
        <v>0.52783073540193459</v>
      </c>
      <c r="AP18" s="119">
        <f t="shared" si="0"/>
        <v>4.4397030929505366E-2</v>
      </c>
      <c r="AR18" s="42">
        <v>0.47874420207019219</v>
      </c>
      <c r="AS18" s="42"/>
      <c r="AT18" s="42"/>
      <c r="AU18" s="6"/>
      <c r="AV18" s="117"/>
    </row>
    <row r="19" spans="1:48" ht="12.4" customHeight="1" x14ac:dyDescent="0.2">
      <c r="A19" s="49">
        <f>'Raw Data'!A19</f>
        <v>1.5927377939224243</v>
      </c>
      <c r="B19" s="69">
        <f>'Raw Data'!E19</f>
        <v>0</v>
      </c>
      <c r="C19" s="69">
        <f t="shared" si="1"/>
        <v>1</v>
      </c>
      <c r="D19" s="23">
        <f t="shared" si="2"/>
        <v>0</v>
      </c>
      <c r="E19" s="15">
        <f>(2*Table!$AC$16*0.147)/A19</f>
        <v>68.580200432950363</v>
      </c>
      <c r="F19" s="15">
        <f t="shared" si="3"/>
        <v>137.16040086590073</v>
      </c>
      <c r="G19" s="49">
        <f>IF((('Raw Data'!C19)/('Raw Data'!C$136)*100)&lt;0,0,('Raw Data'!C19)/('Raw Data'!C$136)*100)</f>
        <v>0</v>
      </c>
      <c r="H19" s="49">
        <f t="shared" si="4"/>
        <v>0</v>
      </c>
      <c r="I19" s="31">
        <f t="shared" si="5"/>
        <v>2.2845651260576139E-2</v>
      </c>
      <c r="J19" s="15">
        <f>'Raw Data'!F19/I19</f>
        <v>0</v>
      </c>
      <c r="K19" s="78">
        <f t="shared" si="6"/>
        <v>8.702258279773438E-3</v>
      </c>
      <c r="L19" s="49">
        <f>A19*Table!$AC$9/$AC$16</f>
        <v>0.30008661202617359</v>
      </c>
      <c r="M19" s="49">
        <f>A19*Table!$AD$9/$AC$16</f>
        <v>0.10288683840897381</v>
      </c>
      <c r="N19" s="49">
        <f>ABS(A19*Table!$AE$9/$AC$16)</f>
        <v>0.12994131467513559</v>
      </c>
      <c r="O19" s="49">
        <f>($L19*(Table!$AC$10/Table!$AC$9)/(Table!$AC$12-Table!$AC$14))</f>
        <v>0.64368642648256891</v>
      </c>
      <c r="P19" s="49">
        <f>$N19*(Table!$AE$10/Table!$AE$9)/(Table!$AC$12-Table!$AC$13)</f>
        <v>1.0668416639994709</v>
      </c>
      <c r="Q19" s="49">
        <f>'Raw Data'!C19</f>
        <v>0</v>
      </c>
      <c r="R19" s="49">
        <f>'Raw Data'!C19/'Raw Data'!I$23*100</f>
        <v>0</v>
      </c>
      <c r="S19" s="99">
        <f t="shared" si="7"/>
        <v>0</v>
      </c>
      <c r="T19" s="99">
        <f t="shared" si="8"/>
        <v>1</v>
      </c>
      <c r="U19" s="76">
        <f t="shared" si="9"/>
        <v>0</v>
      </c>
      <c r="V19" s="76">
        <f t="shared" si="10"/>
        <v>0</v>
      </c>
      <c r="W19" s="76">
        <f t="shared" si="11"/>
        <v>0</v>
      </c>
      <c r="X19" s="162">
        <f t="shared" si="12"/>
        <v>0</v>
      </c>
      <c r="AN19" s="119">
        <f>E68</f>
        <v>0.82111871754702792</v>
      </c>
      <c r="AO19" s="119">
        <f>$B68</f>
        <v>0.48343370447242923</v>
      </c>
      <c r="AP19" s="119">
        <f t="shared" si="0"/>
        <v>3.6654861466982547E-2</v>
      </c>
      <c r="AR19" s="42">
        <v>0.74938444802644799</v>
      </c>
      <c r="AS19" s="42"/>
      <c r="AT19" s="42"/>
      <c r="AU19" s="6"/>
      <c r="AV19" s="117"/>
    </row>
    <row r="20" spans="1:48" ht="12.4" customHeight="1" x14ac:dyDescent="0.2">
      <c r="A20" s="49">
        <f>'Raw Data'!A20</f>
        <v>1.8091528415679932</v>
      </c>
      <c r="B20" s="69">
        <f>'Raw Data'!E20</f>
        <v>0</v>
      </c>
      <c r="C20" s="69">
        <f t="shared" si="1"/>
        <v>1</v>
      </c>
      <c r="D20" s="23">
        <f t="shared" si="2"/>
        <v>0</v>
      </c>
      <c r="E20" s="15">
        <f>(2*Table!$AC$16*0.147)/A20</f>
        <v>60.376478224838728</v>
      </c>
      <c r="F20" s="15">
        <f t="shared" si="3"/>
        <v>120.75295644967746</v>
      </c>
      <c r="G20" s="49">
        <f>IF((('Raw Data'!C20)/('Raw Data'!C$136)*100)&lt;0,0,('Raw Data'!C20)/('Raw Data'!C$136)*100)</f>
        <v>0</v>
      </c>
      <c r="H20" s="49">
        <f t="shared" si="4"/>
        <v>0</v>
      </c>
      <c r="I20" s="31">
        <f t="shared" si="5"/>
        <v>5.5330973133215444E-2</v>
      </c>
      <c r="J20" s="15">
        <f>'Raw Data'!F20/I20</f>
        <v>0</v>
      </c>
      <c r="K20" s="78">
        <f t="shared" si="6"/>
        <v>9.8846874576503721E-3</v>
      </c>
      <c r="L20" s="49">
        <f>A20*Table!$AC$9/$AC$16</f>
        <v>0.3408612195524422</v>
      </c>
      <c r="M20" s="49">
        <f>A20*Table!$AD$9/$AC$16</f>
        <v>0.11686670384655161</v>
      </c>
      <c r="N20" s="49">
        <f>ABS(A20*Table!$AE$9/$AC$16)</f>
        <v>0.14759723764867996</v>
      </c>
      <c r="O20" s="49">
        <f>($L20*(Table!$AC$10/Table!$AC$9)/(Table!$AC$12-Table!$AC$14))</f>
        <v>0.73114804708803571</v>
      </c>
      <c r="P20" s="49">
        <f>$N20*(Table!$AE$10/Table!$AE$9)/(Table!$AC$12-Table!$AC$13)</f>
        <v>1.2117999806952375</v>
      </c>
      <c r="Q20" s="49">
        <f>'Raw Data'!C20</f>
        <v>0</v>
      </c>
      <c r="R20" s="49">
        <f>'Raw Data'!C20/'Raw Data'!I$23*100</f>
        <v>0</v>
      </c>
      <c r="S20" s="99">
        <f t="shared" si="7"/>
        <v>0</v>
      </c>
      <c r="T20" s="99">
        <f t="shared" si="8"/>
        <v>1</v>
      </c>
      <c r="U20" s="76">
        <f t="shared" si="9"/>
        <v>0</v>
      </c>
      <c r="V20" s="76">
        <f t="shared" si="10"/>
        <v>0</v>
      </c>
      <c r="W20" s="76">
        <f t="shared" si="11"/>
        <v>0</v>
      </c>
      <c r="X20" s="162">
        <f t="shared" si="12"/>
        <v>0</v>
      </c>
      <c r="AN20" s="2">
        <f>E64</f>
        <v>1.1763774264416309</v>
      </c>
      <c r="AO20" s="119">
        <f>$B64</f>
        <v>0.44677884300544668</v>
      </c>
      <c r="AP20" s="119">
        <f t="shared" si="0"/>
        <v>0.14438295122240002</v>
      </c>
      <c r="AR20" s="87">
        <v>1.0742552826940897</v>
      </c>
      <c r="AS20" s="42"/>
      <c r="AT20" s="42"/>
      <c r="AU20" s="6"/>
      <c r="AV20" s="117"/>
    </row>
    <row r="21" spans="1:48" ht="12.4" customHeight="1" x14ac:dyDescent="0.2">
      <c r="A21" s="49">
        <f>'Raw Data'!A21</f>
        <v>2.0080840587615967</v>
      </c>
      <c r="B21" s="69">
        <f>'Raw Data'!E21</f>
        <v>0</v>
      </c>
      <c r="C21" s="69">
        <f t="shared" si="1"/>
        <v>1</v>
      </c>
      <c r="D21" s="23">
        <f t="shared" si="2"/>
        <v>0</v>
      </c>
      <c r="E21" s="15">
        <f>(2*Table!$AC$16*0.147)/A21</f>
        <v>54.395271287447166</v>
      </c>
      <c r="F21" s="15">
        <f t="shared" si="3"/>
        <v>108.79054257489433</v>
      </c>
      <c r="G21" s="49">
        <f>IF((('Raw Data'!C21)/('Raw Data'!C$136)*100)&lt;0,0,('Raw Data'!C21)/('Raw Data'!C$136)*100)</f>
        <v>0</v>
      </c>
      <c r="H21" s="49">
        <f t="shared" si="4"/>
        <v>0</v>
      </c>
      <c r="I21" s="31">
        <f t="shared" si="5"/>
        <v>4.5306629850559998E-2</v>
      </c>
      <c r="J21" s="15">
        <f>'Raw Data'!F21/I21</f>
        <v>0</v>
      </c>
      <c r="K21" s="78">
        <f t="shared" si="6"/>
        <v>1.0971590046723212E-2</v>
      </c>
      <c r="L21" s="49">
        <f>A21*Table!$AC$9/$AC$16</f>
        <v>0.37834171083083207</v>
      </c>
      <c r="M21" s="49">
        <f>A21*Table!$AD$9/$AC$16</f>
        <v>0.12971715799914244</v>
      </c>
      <c r="N21" s="49">
        <f>ABS(A21*Table!$AE$9/$AC$16)</f>
        <v>0.16382676644538335</v>
      </c>
      <c r="O21" s="49">
        <f>($L21*(Table!$AC$10/Table!$AC$9)/(Table!$AC$12-Table!$AC$14))</f>
        <v>0.8115437812759162</v>
      </c>
      <c r="P21" s="49">
        <f>$N21*(Table!$AE$10/Table!$AE$9)/(Table!$AC$12-Table!$AC$13)</f>
        <v>1.3450473435581554</v>
      </c>
      <c r="Q21" s="49">
        <f>'Raw Data'!C21</f>
        <v>0</v>
      </c>
      <c r="R21" s="49">
        <f>'Raw Data'!C21/'Raw Data'!I$23*100</f>
        <v>0</v>
      </c>
      <c r="S21" s="99">
        <f t="shared" si="7"/>
        <v>0</v>
      </c>
      <c r="T21" s="99">
        <f t="shared" si="8"/>
        <v>1</v>
      </c>
      <c r="U21" s="76">
        <f t="shared" si="9"/>
        <v>0</v>
      </c>
      <c r="V21" s="76">
        <f t="shared" si="10"/>
        <v>0</v>
      </c>
      <c r="W21" s="76">
        <f t="shared" si="11"/>
        <v>0</v>
      </c>
      <c r="X21" s="162">
        <f t="shared" si="12"/>
        <v>0</v>
      </c>
      <c r="AN21" s="2">
        <f>$E55</f>
        <v>2.6614569527624075</v>
      </c>
      <c r="AO21" s="119">
        <f>$B55</f>
        <v>0.30239589178304666</v>
      </c>
      <c r="AP21" s="119">
        <f t="shared" si="0"/>
        <v>0.27537814598185817</v>
      </c>
      <c r="AR21" s="87">
        <v>2.3818202604521379</v>
      </c>
      <c r="AS21" s="42"/>
      <c r="AT21" s="42"/>
      <c r="AU21" s="6"/>
      <c r="AV21" s="117"/>
    </row>
    <row r="22" spans="1:48" ht="12.4" customHeight="1" x14ac:dyDescent="0.2">
      <c r="A22" s="49">
        <f>'Raw Data'!A22</f>
        <v>2.1665682792663574</v>
      </c>
      <c r="B22" s="69">
        <f>'Raw Data'!E22</f>
        <v>0</v>
      </c>
      <c r="C22" s="69">
        <f t="shared" si="1"/>
        <v>1</v>
      </c>
      <c r="D22" s="23">
        <f t="shared" si="2"/>
        <v>0</v>
      </c>
      <c r="E22" s="15">
        <f>(2*Table!$AC$16*0.147)/A22</f>
        <v>50.416263447428747</v>
      </c>
      <c r="F22" s="15">
        <f t="shared" si="3"/>
        <v>100.83252689485749</v>
      </c>
      <c r="G22" s="49">
        <f>IF((('Raw Data'!C22)/('Raw Data'!C$136)*100)&lt;0,0,('Raw Data'!C22)/('Raw Data'!C$136)*100)</f>
        <v>0</v>
      </c>
      <c r="H22" s="49">
        <f t="shared" si="4"/>
        <v>0</v>
      </c>
      <c r="I22" s="31">
        <f t="shared" si="5"/>
        <v>3.2990491851019765E-2</v>
      </c>
      <c r="J22" s="15">
        <f>'Raw Data'!F22/I22</f>
        <v>0</v>
      </c>
      <c r="K22" s="78">
        <f t="shared" si="6"/>
        <v>1.1837501953481272E-2</v>
      </c>
      <c r="L22" s="49">
        <f>A22*Table!$AC$9/$AC$16</f>
        <v>0.4082016117965519</v>
      </c>
      <c r="M22" s="49">
        <f>A22*Table!$AD$9/$AC$16</f>
        <v>0.13995483833024636</v>
      </c>
      <c r="N22" s="49">
        <f>ABS(A22*Table!$AE$9/$AC$16)</f>
        <v>0.17675648284078377</v>
      </c>
      <c r="O22" s="49">
        <f>($L22*(Table!$AC$10/Table!$AC$9)/(Table!$AC$12-Table!$AC$14))</f>
        <v>0.87559333289693686</v>
      </c>
      <c r="P22" s="49">
        <f>$N22*(Table!$AE$10/Table!$AE$9)/(Table!$AC$12-Table!$AC$13)</f>
        <v>1.4512026505811471</v>
      </c>
      <c r="Q22" s="49">
        <f>'Raw Data'!C22</f>
        <v>0</v>
      </c>
      <c r="R22" s="49">
        <f>'Raw Data'!C22/'Raw Data'!I$23*100</f>
        <v>0</v>
      </c>
      <c r="S22" s="99">
        <f t="shared" si="7"/>
        <v>0</v>
      </c>
      <c r="T22" s="99">
        <f t="shared" si="8"/>
        <v>1</v>
      </c>
      <c r="U22" s="76">
        <f t="shared" si="9"/>
        <v>0</v>
      </c>
      <c r="V22" s="76">
        <f t="shared" si="10"/>
        <v>0</v>
      </c>
      <c r="W22" s="76">
        <f t="shared" si="11"/>
        <v>0</v>
      </c>
      <c r="X22" s="162">
        <f t="shared" si="12"/>
        <v>0</v>
      </c>
      <c r="AN22" s="2">
        <f>$E47</f>
        <v>5.3910953680387221</v>
      </c>
      <c r="AO22" s="119">
        <f>$B47</f>
        <v>2.7017745801188511E-2</v>
      </c>
      <c r="AP22" s="119">
        <f t="shared" si="0"/>
        <v>2.7017745801188511E-2</v>
      </c>
      <c r="AR22" s="87">
        <v>4.9092259390712378</v>
      </c>
      <c r="AS22" s="42"/>
      <c r="AT22" s="42"/>
      <c r="AU22" s="6"/>
      <c r="AV22" s="117"/>
    </row>
    <row r="23" spans="1:48" ht="12.4" customHeight="1" x14ac:dyDescent="0.2">
      <c r="A23" s="49">
        <f>'Raw Data'!A23</f>
        <v>2.3601815700531006</v>
      </c>
      <c r="B23" s="69">
        <f>'Raw Data'!E23</f>
        <v>0</v>
      </c>
      <c r="C23" s="69">
        <f t="shared" si="1"/>
        <v>1</v>
      </c>
      <c r="D23" s="23">
        <f t="shared" si="2"/>
        <v>0</v>
      </c>
      <c r="E23" s="15">
        <f>(2*Table!$AC$16*0.147)/A23</f>
        <v>46.280455084596532</v>
      </c>
      <c r="F23" s="15">
        <f t="shared" si="3"/>
        <v>92.560910169193065</v>
      </c>
      <c r="G23" s="49">
        <f>IF((('Raw Data'!C23)/('Raw Data'!C$136)*100)&lt;0,0,('Raw Data'!C23)/('Raw Data'!C$136)*100)</f>
        <v>0</v>
      </c>
      <c r="H23" s="49">
        <f t="shared" si="4"/>
        <v>0</v>
      </c>
      <c r="I23" s="31">
        <f t="shared" si="5"/>
        <v>3.7173034416234652E-2</v>
      </c>
      <c r="J23" s="15">
        <f>'Raw Data'!F23/I23</f>
        <v>0</v>
      </c>
      <c r="K23" s="78">
        <f t="shared" si="6"/>
        <v>1.2895348931968417E-2</v>
      </c>
      <c r="L23" s="49">
        <f>A23*Table!$AC$9/$AC$16</f>
        <v>0.4446801562858792</v>
      </c>
      <c r="M23" s="49">
        <f>A23*Table!$AD$9/$AC$16</f>
        <v>0.15246176786944429</v>
      </c>
      <c r="N23" s="49">
        <f>ABS(A23*Table!$AE$9/$AC$16)</f>
        <v>0.19255215595120292</v>
      </c>
      <c r="O23" s="49">
        <f>($L23*(Table!$AC$10/Table!$AC$9)/(Table!$AC$12-Table!$AC$14))</f>
        <v>0.95383988907310002</v>
      </c>
      <c r="P23" s="49">
        <f>$N23*(Table!$AE$10/Table!$AE$9)/(Table!$AC$12-Table!$AC$13)</f>
        <v>1.5808879798949336</v>
      </c>
      <c r="Q23" s="49">
        <f>'Raw Data'!C23</f>
        <v>0</v>
      </c>
      <c r="R23" s="49">
        <f>'Raw Data'!C23/'Raw Data'!I$23*100</f>
        <v>0</v>
      </c>
      <c r="S23" s="99">
        <f t="shared" si="7"/>
        <v>0</v>
      </c>
      <c r="T23" s="99">
        <f t="shared" si="8"/>
        <v>1</v>
      </c>
      <c r="U23" s="76">
        <f t="shared" si="9"/>
        <v>0</v>
      </c>
      <c r="V23" s="76">
        <f t="shared" si="10"/>
        <v>0</v>
      </c>
      <c r="W23" s="76">
        <f t="shared" si="11"/>
        <v>0</v>
      </c>
      <c r="X23" s="162">
        <f t="shared" si="12"/>
        <v>0</v>
      </c>
      <c r="AN23" s="2">
        <f>$E42</f>
        <v>8.4810881300045367</v>
      </c>
      <c r="AO23" s="119">
        <f>$B42</f>
        <v>0</v>
      </c>
      <c r="AP23" s="119">
        <f t="shared" si="0"/>
        <v>0</v>
      </c>
      <c r="AR23" s="87">
        <v>7.6545393934362336</v>
      </c>
      <c r="AS23" s="42"/>
      <c r="AT23" s="42"/>
      <c r="AU23" s="6"/>
      <c r="AV23" s="117"/>
    </row>
    <row r="24" spans="1:48" ht="12.4" customHeight="1" x14ac:dyDescent="0.2">
      <c r="A24" s="49">
        <f>'Raw Data'!A24</f>
        <v>2.5801417827606201</v>
      </c>
      <c r="B24" s="69">
        <f>'Raw Data'!E24</f>
        <v>0</v>
      </c>
      <c r="C24" s="69">
        <f t="shared" si="1"/>
        <v>1</v>
      </c>
      <c r="D24" s="23">
        <f t="shared" si="2"/>
        <v>0</v>
      </c>
      <c r="E24" s="15">
        <f>(2*Table!$AC$16*0.147)/A24</f>
        <v>42.334990221918822</v>
      </c>
      <c r="F24" s="15">
        <f t="shared" si="3"/>
        <v>84.669980443837645</v>
      </c>
      <c r="G24" s="49">
        <f>IF((('Raw Data'!C24)/('Raw Data'!C$136)*100)&lt;0,0,('Raw Data'!C24)/('Raw Data'!C$136)*100)</f>
        <v>0</v>
      </c>
      <c r="H24" s="49">
        <f t="shared" si="4"/>
        <v>0</v>
      </c>
      <c r="I24" s="31">
        <f t="shared" si="5"/>
        <v>3.8698157002682754E-2</v>
      </c>
      <c r="J24" s="15">
        <f>'Raw Data'!F24/I24</f>
        <v>0</v>
      </c>
      <c r="K24" s="78">
        <f t="shared" si="6"/>
        <v>1.4097147865577428E-2</v>
      </c>
      <c r="L24" s="49">
        <f>A24*Table!$AC$9/$AC$16</f>
        <v>0.48612270587805079</v>
      </c>
      <c r="M24" s="49">
        <f>A24*Table!$AD$9/$AC$16</f>
        <v>0.16667064201533169</v>
      </c>
      <c r="N24" s="49">
        <f>ABS(A24*Table!$AE$9/$AC$16)</f>
        <v>0.21049730632341143</v>
      </c>
      <c r="O24" s="49">
        <f>($L24*(Table!$AC$10/Table!$AC$9)/(Table!$AC$12-Table!$AC$14))</f>
        <v>1.0427342468426659</v>
      </c>
      <c r="P24" s="49">
        <f>$N24*(Table!$AE$10/Table!$AE$9)/(Table!$AC$12-Table!$AC$13)</f>
        <v>1.7282209057751345</v>
      </c>
      <c r="Q24" s="49">
        <f>'Raw Data'!C24</f>
        <v>0</v>
      </c>
      <c r="R24" s="49">
        <f>'Raw Data'!C24/'Raw Data'!I$23*100</f>
        <v>0</v>
      </c>
      <c r="S24" s="99">
        <f t="shared" si="7"/>
        <v>0</v>
      </c>
      <c r="T24" s="99">
        <f t="shared" si="8"/>
        <v>1</v>
      </c>
      <c r="U24" s="76">
        <f t="shared" si="9"/>
        <v>0</v>
      </c>
      <c r="V24" s="76">
        <f t="shared" si="10"/>
        <v>0</v>
      </c>
      <c r="W24" s="76">
        <f t="shared" si="11"/>
        <v>0</v>
      </c>
      <c r="X24" s="162">
        <f t="shared" si="12"/>
        <v>0</v>
      </c>
      <c r="AN24" s="148">
        <f>$E39</f>
        <v>11.058307894745314</v>
      </c>
      <c r="AO24" s="119">
        <f>$B39</f>
        <v>0</v>
      </c>
      <c r="AP24" s="119">
        <f t="shared" si="0"/>
        <v>0</v>
      </c>
      <c r="AR24" s="72">
        <v>10.01194107647434</v>
      </c>
      <c r="AS24" s="42"/>
      <c r="AT24" s="42"/>
      <c r="AU24" s="6"/>
      <c r="AV24" s="117"/>
    </row>
    <row r="25" spans="1:48" ht="12.4" customHeight="1" x14ac:dyDescent="0.2">
      <c r="A25" s="49">
        <f>'Raw Data'!A25</f>
        <v>2.8124294281005859</v>
      </c>
      <c r="B25" s="69">
        <f>'Raw Data'!E25</f>
        <v>0</v>
      </c>
      <c r="C25" s="69">
        <f t="shared" si="1"/>
        <v>1</v>
      </c>
      <c r="D25" s="23">
        <f t="shared" si="2"/>
        <v>0</v>
      </c>
      <c r="E25" s="15">
        <f>(2*Table!$AC$16*0.147)/A25</f>
        <v>38.838406415803028</v>
      </c>
      <c r="F25" s="15">
        <f t="shared" si="3"/>
        <v>77.676812831606057</v>
      </c>
      <c r="G25" s="49">
        <f>IF((('Raw Data'!C25)/('Raw Data'!C$136)*100)&lt;0,0,('Raw Data'!C25)/('Raw Data'!C$136)*100)</f>
        <v>0</v>
      </c>
      <c r="H25" s="49">
        <f t="shared" si="4"/>
        <v>0</v>
      </c>
      <c r="I25" s="31">
        <f t="shared" si="5"/>
        <v>3.7438061796348121E-2</v>
      </c>
      <c r="J25" s="15">
        <f>'Raw Data'!F25/I25</f>
        <v>0</v>
      </c>
      <c r="K25" s="78">
        <f t="shared" si="6"/>
        <v>1.5366300322850785E-2</v>
      </c>
      <c r="L25" s="49">
        <f>A25*Table!$AC$9/$AC$16</f>
        <v>0.52988785841702724</v>
      </c>
      <c r="M25" s="49">
        <f>A25*Table!$AD$9/$AC$16</f>
        <v>0.1816758371715522</v>
      </c>
      <c r="N25" s="49">
        <f>ABS(A25*Table!$AE$9/$AC$16)</f>
        <v>0.22944817327303874</v>
      </c>
      <c r="O25" s="49">
        <f>($L25*(Table!$AC$10/Table!$AC$9)/(Table!$AC$12-Table!$AC$14))</f>
        <v>1.1366105929151165</v>
      </c>
      <c r="P25" s="49">
        <f>$N25*(Table!$AE$10/Table!$AE$9)/(Table!$AC$12-Table!$AC$13)</f>
        <v>1.8838109464124688</v>
      </c>
      <c r="Q25" s="49">
        <f>'Raw Data'!C25</f>
        <v>0</v>
      </c>
      <c r="R25" s="49">
        <f>'Raw Data'!C25/'Raw Data'!I$23*100</f>
        <v>0</v>
      </c>
      <c r="S25" s="99">
        <f t="shared" si="7"/>
        <v>0</v>
      </c>
      <c r="T25" s="99">
        <f t="shared" si="8"/>
        <v>1</v>
      </c>
      <c r="U25" s="76">
        <f t="shared" si="9"/>
        <v>0</v>
      </c>
      <c r="V25" s="76">
        <f t="shared" si="10"/>
        <v>0</v>
      </c>
      <c r="W25" s="76">
        <f t="shared" si="11"/>
        <v>0</v>
      </c>
      <c r="X25" s="162">
        <f t="shared" si="12"/>
        <v>0</v>
      </c>
      <c r="AN25" s="148">
        <f>$E29</f>
        <v>27.054348233018054</v>
      </c>
      <c r="AO25" s="119">
        <f>$B29</f>
        <v>0</v>
      </c>
      <c r="AP25" s="119">
        <f t="shared" si="0"/>
        <v>0</v>
      </c>
      <c r="AR25" s="72">
        <v>23.954008145687514</v>
      </c>
      <c r="AS25" s="42"/>
      <c r="AT25" s="42"/>
      <c r="AU25" s="6"/>
      <c r="AV25" s="117"/>
    </row>
    <row r="26" spans="1:48" ht="12.4" customHeight="1" x14ac:dyDescent="0.2">
      <c r="A26" s="49">
        <f>'Raw Data'!A26</f>
        <v>3.0823440551757812</v>
      </c>
      <c r="B26" s="69">
        <f>'Raw Data'!E26</f>
        <v>0</v>
      </c>
      <c r="C26" s="69">
        <f t="shared" si="1"/>
        <v>1</v>
      </c>
      <c r="D26" s="23">
        <f t="shared" si="2"/>
        <v>0</v>
      </c>
      <c r="E26" s="15">
        <f>(2*Table!$AC$16*0.147)/A26</f>
        <v>35.437405814876115</v>
      </c>
      <c r="F26" s="15">
        <f t="shared" si="3"/>
        <v>70.87481162975223</v>
      </c>
      <c r="G26" s="49">
        <f>IF((('Raw Data'!C26)/('Raw Data'!C$136)*100)&lt;0,0,('Raw Data'!C26)/('Raw Data'!C$136)*100)</f>
        <v>0</v>
      </c>
      <c r="H26" s="49">
        <f t="shared" si="4"/>
        <v>0</v>
      </c>
      <c r="I26" s="31">
        <f t="shared" si="5"/>
        <v>3.979948002695699E-2</v>
      </c>
      <c r="J26" s="15">
        <f>'Raw Data'!F26/I26</f>
        <v>0</v>
      </c>
      <c r="K26" s="78">
        <f t="shared" si="6"/>
        <v>1.6841035717000338E-2</v>
      </c>
      <c r="L26" s="49">
        <f>A26*Table!$AC$9/$AC$16</f>
        <v>0.58074228422670859</v>
      </c>
      <c r="M26" s="49">
        <f>A26*Table!$AD$9/$AC$16</f>
        <v>0.19911164030630008</v>
      </c>
      <c r="N26" s="49">
        <f>ABS(A26*Table!$AE$9/$AC$16)</f>
        <v>0.25146878559606628</v>
      </c>
      <c r="O26" s="49">
        <f>($L26*(Table!$AC$10/Table!$AC$9)/(Table!$AC$12-Table!$AC$14))</f>
        <v>1.2456934453597355</v>
      </c>
      <c r="P26" s="49">
        <f>$N26*(Table!$AE$10/Table!$AE$9)/(Table!$AC$12-Table!$AC$13)</f>
        <v>2.0646041510350264</v>
      </c>
      <c r="Q26" s="49">
        <f>'Raw Data'!C26</f>
        <v>0</v>
      </c>
      <c r="R26" s="49">
        <f>'Raw Data'!C26/'Raw Data'!I$23*100</f>
        <v>0</v>
      </c>
      <c r="S26" s="99">
        <f t="shared" si="7"/>
        <v>0</v>
      </c>
      <c r="T26" s="99">
        <f t="shared" si="8"/>
        <v>1</v>
      </c>
      <c r="U26" s="76">
        <f t="shared" si="9"/>
        <v>0</v>
      </c>
      <c r="V26" s="76">
        <f t="shared" si="10"/>
        <v>0</v>
      </c>
      <c r="W26" s="76">
        <f t="shared" si="11"/>
        <v>0</v>
      </c>
      <c r="X26" s="162">
        <f t="shared" si="12"/>
        <v>0</v>
      </c>
      <c r="AN26" s="148">
        <f>$E21</f>
        <v>54.395271287447166</v>
      </c>
      <c r="AO26" s="119">
        <f>$B22</f>
        <v>0</v>
      </c>
      <c r="AP26" s="119">
        <f t="shared" si="0"/>
        <v>0</v>
      </c>
      <c r="AR26" s="72">
        <v>51.76790385987443</v>
      </c>
      <c r="AS26" s="42"/>
      <c r="AT26" s="42"/>
      <c r="AU26" s="6"/>
      <c r="AV26" s="117"/>
    </row>
    <row r="27" spans="1:48" ht="12.4" customHeight="1" x14ac:dyDescent="0.2">
      <c r="A27" s="49">
        <f>'Raw Data'!A27</f>
        <v>3.380378246307373</v>
      </c>
      <c r="B27" s="69">
        <f>'Raw Data'!E27</f>
        <v>0</v>
      </c>
      <c r="C27" s="69">
        <f t="shared" si="1"/>
        <v>1</v>
      </c>
      <c r="D27" s="23">
        <f t="shared" si="2"/>
        <v>0</v>
      </c>
      <c r="E27" s="15">
        <f>(2*Table!$AC$16*0.147)/A27</f>
        <v>32.313033981819942</v>
      </c>
      <c r="F27" s="15">
        <f t="shared" si="3"/>
        <v>64.626067963639883</v>
      </c>
      <c r="G27" s="49">
        <f>IF((('Raw Data'!C27)/('Raw Data'!C$136)*100)&lt;0,0,('Raw Data'!C27)/('Raw Data'!C$136)*100)</f>
        <v>0</v>
      </c>
      <c r="H27" s="49">
        <f t="shared" si="4"/>
        <v>0</v>
      </c>
      <c r="I27" s="31">
        <f t="shared" si="5"/>
        <v>4.0084184642008358E-2</v>
      </c>
      <c r="J27" s="15">
        <f>'Raw Data'!F27/I27</f>
        <v>0</v>
      </c>
      <c r="K27" s="78">
        <f t="shared" si="6"/>
        <v>1.8469408269800328E-2</v>
      </c>
      <c r="L27" s="49">
        <f>A27*Table!$AC$9/$AC$16</f>
        <v>0.63689469740225513</v>
      </c>
      <c r="M27" s="49">
        <f>A27*Table!$AD$9/$AC$16</f>
        <v>0.21836389625220173</v>
      </c>
      <c r="N27" s="49">
        <f>ABS(A27*Table!$AE$9/$AC$16)</f>
        <v>0.27578349374297789</v>
      </c>
      <c r="O27" s="49">
        <f>($L27*(Table!$AC$10/Table!$AC$9)/(Table!$AC$12-Table!$AC$14))</f>
        <v>1.3661404920683295</v>
      </c>
      <c r="P27" s="49">
        <f>$N27*(Table!$AE$10/Table!$AE$9)/(Table!$AC$12-Table!$AC$13)</f>
        <v>2.2642322967403765</v>
      </c>
      <c r="Q27" s="49">
        <f>'Raw Data'!C27</f>
        <v>0</v>
      </c>
      <c r="R27" s="49">
        <f>'Raw Data'!C27/'Raw Data'!I$23*100</f>
        <v>0</v>
      </c>
      <c r="S27" s="99">
        <f t="shared" si="7"/>
        <v>0</v>
      </c>
      <c r="T27" s="99">
        <f t="shared" si="8"/>
        <v>1</v>
      </c>
      <c r="U27" s="76">
        <f t="shared" si="9"/>
        <v>0</v>
      </c>
      <c r="V27" s="76">
        <f t="shared" si="10"/>
        <v>0</v>
      </c>
      <c r="W27" s="76">
        <f t="shared" si="11"/>
        <v>0</v>
      </c>
      <c r="X27" s="162">
        <f t="shared" si="12"/>
        <v>0</v>
      </c>
      <c r="AN27" s="148">
        <f>$E18</f>
        <v>72.284370177585473</v>
      </c>
      <c r="AO27" s="119">
        <f>$B18</f>
        <v>0</v>
      </c>
      <c r="AP27" s="119">
        <f t="shared" si="0"/>
        <v>0</v>
      </c>
      <c r="AR27" s="72">
        <v>72.33793188366559</v>
      </c>
      <c r="AS27" s="42"/>
      <c r="AT27" s="42"/>
      <c r="AU27" s="6"/>
      <c r="AV27" s="117"/>
    </row>
    <row r="28" spans="1:48" ht="12.4" customHeight="1" x14ac:dyDescent="0.2">
      <c r="A28" s="49">
        <f>'Raw Data'!A28</f>
        <v>3.6872751712799072</v>
      </c>
      <c r="B28" s="69">
        <f>'Raw Data'!E28</f>
        <v>0</v>
      </c>
      <c r="C28" s="69">
        <f t="shared" si="1"/>
        <v>1</v>
      </c>
      <c r="D28" s="23">
        <f t="shared" si="2"/>
        <v>0</v>
      </c>
      <c r="E28" s="15">
        <f>(2*Table!$AC$16*0.147)/A28</f>
        <v>29.623576237305777</v>
      </c>
      <c r="F28" s="15">
        <f t="shared" si="3"/>
        <v>59.247152474611553</v>
      </c>
      <c r="G28" s="49">
        <f>IF((('Raw Data'!C28)/('Raw Data'!C$136)*100)&lt;0,0,('Raw Data'!C28)/('Raw Data'!C$136)*100)</f>
        <v>0</v>
      </c>
      <c r="H28" s="49">
        <f t="shared" si="4"/>
        <v>0</v>
      </c>
      <c r="I28" s="31">
        <f t="shared" si="5"/>
        <v>3.7740250792853924E-2</v>
      </c>
      <c r="J28" s="15">
        <f>'Raw Data'!F28/I28</f>
        <v>0</v>
      </c>
      <c r="K28" s="78">
        <f t="shared" si="6"/>
        <v>2.0146204234942924E-2</v>
      </c>
      <c r="L28" s="49">
        <f>A28*Table!$AC$9/$AC$16</f>
        <v>0.69471693205235108</v>
      </c>
      <c r="M28" s="49">
        <f>A28*Table!$AD$9/$AC$16</f>
        <v>0.23818866241794892</v>
      </c>
      <c r="N28" s="49">
        <f>ABS(A28*Table!$AE$9/$AC$16)</f>
        <v>0.30082125579826191</v>
      </c>
      <c r="O28" s="49">
        <f>($L28*(Table!$AC$10/Table!$AC$9)/(Table!$AC$12-Table!$AC$14))</f>
        <v>1.4901693094216026</v>
      </c>
      <c r="P28" s="49">
        <f>$N28*(Table!$AE$10/Table!$AE$9)/(Table!$AC$12-Table!$AC$13)</f>
        <v>2.4697968456343338</v>
      </c>
      <c r="Q28" s="49">
        <f>'Raw Data'!C28</f>
        <v>0</v>
      </c>
      <c r="R28" s="49">
        <f>'Raw Data'!C28/'Raw Data'!I$23*100</f>
        <v>0</v>
      </c>
      <c r="S28" s="99">
        <f t="shared" si="7"/>
        <v>0</v>
      </c>
      <c r="T28" s="99">
        <f t="shared" si="8"/>
        <v>1</v>
      </c>
      <c r="U28" s="76">
        <f t="shared" si="9"/>
        <v>0</v>
      </c>
      <c r="V28" s="76">
        <f t="shared" si="10"/>
        <v>0</v>
      </c>
      <c r="W28" s="76">
        <f t="shared" si="11"/>
        <v>0</v>
      </c>
      <c r="X28" s="162">
        <f t="shared" si="12"/>
        <v>0</v>
      </c>
      <c r="AN28" s="38"/>
      <c r="AO28" s="119"/>
      <c r="AP28" s="119"/>
      <c r="AS28" s="42"/>
      <c r="AT28" s="42"/>
      <c r="AU28" s="117"/>
      <c r="AV28" s="117"/>
    </row>
    <row r="29" spans="1:48" ht="12.4" customHeight="1" x14ac:dyDescent="0.2">
      <c r="A29" s="49">
        <f>'Raw Data'!A29</f>
        <v>4.0374388694763184</v>
      </c>
      <c r="B29" s="69">
        <f>'Raw Data'!E29</f>
        <v>0</v>
      </c>
      <c r="C29" s="69">
        <f t="shared" si="1"/>
        <v>1</v>
      </c>
      <c r="D29" s="23">
        <f t="shared" si="2"/>
        <v>0</v>
      </c>
      <c r="E29" s="15">
        <f>(2*Table!$AC$16*0.147)/A29</f>
        <v>27.054348233018054</v>
      </c>
      <c r="F29" s="15">
        <f t="shared" si="3"/>
        <v>54.108696466036108</v>
      </c>
      <c r="G29" s="49">
        <f>IF((('Raw Data'!C29)/('Raw Data'!C$136)*100)&lt;0,0,('Raw Data'!C29)/('Raw Data'!C$136)*100)</f>
        <v>0</v>
      </c>
      <c r="H29" s="49">
        <f t="shared" si="4"/>
        <v>0</v>
      </c>
      <c r="I29" s="31">
        <f t="shared" si="5"/>
        <v>3.94004107454764E-2</v>
      </c>
      <c r="J29" s="15">
        <f>'Raw Data'!F29/I29</f>
        <v>0</v>
      </c>
      <c r="K29" s="78">
        <f t="shared" si="6"/>
        <v>2.2059397325188773E-2</v>
      </c>
      <c r="L29" s="49">
        <f>A29*Table!$AC$9/$AC$16</f>
        <v>0.76069102913680464</v>
      </c>
      <c r="M29" s="49">
        <f>A29*Table!$AD$9/$AC$16</f>
        <v>0.26080835284690446</v>
      </c>
      <c r="N29" s="49">
        <f>ABS(A29*Table!$AE$9/$AC$16)</f>
        <v>0.32938887783170073</v>
      </c>
      <c r="O29" s="49">
        <f>($L29*(Table!$AC$10/Table!$AC$9)/(Table!$AC$12-Table!$AC$14))</f>
        <v>1.6316838891823353</v>
      </c>
      <c r="P29" s="49">
        <f>$N29*(Table!$AE$10/Table!$AE$9)/(Table!$AC$12-Table!$AC$13)</f>
        <v>2.7043421825262781</v>
      </c>
      <c r="Q29" s="49">
        <f>'Raw Data'!C29</f>
        <v>0</v>
      </c>
      <c r="R29" s="49">
        <f>'Raw Data'!C29/'Raw Data'!I$23*100</f>
        <v>0</v>
      </c>
      <c r="S29" s="99">
        <f t="shared" si="7"/>
        <v>0</v>
      </c>
      <c r="T29" s="99">
        <f t="shared" si="8"/>
        <v>1</v>
      </c>
      <c r="U29" s="76">
        <f t="shared" si="9"/>
        <v>0</v>
      </c>
      <c r="V29" s="76">
        <f t="shared" si="10"/>
        <v>0</v>
      </c>
      <c r="W29" s="76">
        <f t="shared" si="11"/>
        <v>0</v>
      </c>
      <c r="X29" s="162">
        <f t="shared" si="12"/>
        <v>0</v>
      </c>
      <c r="AS29" s="42"/>
      <c r="AT29" s="42"/>
    </row>
    <row r="30" spans="1:48" ht="12.4" customHeight="1" x14ac:dyDescent="0.2">
      <c r="A30" s="49">
        <f>'Raw Data'!A30</f>
        <v>4.4162859916687012</v>
      </c>
      <c r="B30" s="69">
        <f>'Raw Data'!E30</f>
        <v>0</v>
      </c>
      <c r="C30" s="69">
        <f t="shared" si="1"/>
        <v>1</v>
      </c>
      <c r="D30" s="23">
        <f t="shared" si="2"/>
        <v>0</v>
      </c>
      <c r="E30" s="15">
        <f>(2*Table!$AC$16*0.147)/A30</f>
        <v>24.733515300050168</v>
      </c>
      <c r="F30" s="15">
        <f t="shared" si="3"/>
        <v>49.467030600100337</v>
      </c>
      <c r="G30" s="49">
        <f>IF((('Raw Data'!C30)/('Raw Data'!C$136)*100)&lt;0,0,('Raw Data'!C30)/('Raw Data'!C$136)*100)</f>
        <v>0</v>
      </c>
      <c r="H30" s="49">
        <f t="shared" si="4"/>
        <v>0</v>
      </c>
      <c r="I30" s="31">
        <f t="shared" si="5"/>
        <v>3.8951230080330523E-2</v>
      </c>
      <c r="J30" s="15">
        <f>'Raw Data'!F30/I30</f>
        <v>0</v>
      </c>
      <c r="K30" s="78">
        <f t="shared" si="6"/>
        <v>2.4129308341582712E-2</v>
      </c>
      <c r="L30" s="49">
        <f>A30*Table!$AC$9/$AC$16</f>
        <v>0.83206935004335003</v>
      </c>
      <c r="M30" s="49">
        <f>A30*Table!$AD$9/$AC$16</f>
        <v>0.28528092001486288</v>
      </c>
      <c r="N30" s="49">
        <f>ABS(A30*Table!$AE$9/$AC$16)</f>
        <v>0.36029659742397385</v>
      </c>
      <c r="O30" s="49">
        <f>($L30*(Table!$AC$10/Table!$AC$9)/(Table!$AC$12-Table!$AC$14))</f>
        <v>1.7847905406335267</v>
      </c>
      <c r="P30" s="49">
        <f>$N30*(Table!$AE$10/Table!$AE$9)/(Table!$AC$12-Table!$AC$13)</f>
        <v>2.9581001430539722</v>
      </c>
      <c r="Q30" s="49">
        <f>'Raw Data'!C30</f>
        <v>0</v>
      </c>
      <c r="R30" s="49">
        <f>'Raw Data'!C30/'Raw Data'!I$23*100</f>
        <v>0</v>
      </c>
      <c r="S30" s="99">
        <f t="shared" si="7"/>
        <v>0</v>
      </c>
      <c r="T30" s="99">
        <f t="shared" si="8"/>
        <v>1</v>
      </c>
      <c r="U30" s="76">
        <f t="shared" si="9"/>
        <v>0</v>
      </c>
      <c r="V30" s="76">
        <f t="shared" si="10"/>
        <v>0</v>
      </c>
      <c r="W30" s="76">
        <f t="shared" si="11"/>
        <v>0</v>
      </c>
      <c r="X30" s="162">
        <f t="shared" si="12"/>
        <v>0</v>
      </c>
      <c r="AS30" s="42"/>
      <c r="AT30" s="42"/>
    </row>
    <row r="31" spans="1:48" ht="12.4" customHeight="1" x14ac:dyDescent="0.2">
      <c r="A31" s="49">
        <f>'Raw Data'!A31</f>
        <v>4.8212385177612305</v>
      </c>
      <c r="B31" s="69">
        <f>'Raw Data'!E31</f>
        <v>0</v>
      </c>
      <c r="C31" s="69">
        <f t="shared" si="1"/>
        <v>1</v>
      </c>
      <c r="D31" s="23">
        <f t="shared" si="2"/>
        <v>0</v>
      </c>
      <c r="E31" s="15">
        <f>(2*Table!$AC$16*0.147)/A31</f>
        <v>22.656061661735986</v>
      </c>
      <c r="F31" s="15">
        <f t="shared" si="3"/>
        <v>45.312123323471972</v>
      </c>
      <c r="G31" s="49">
        <f>IF((('Raw Data'!C31)/('Raw Data'!C$136)*100)&lt;0,0,('Raw Data'!C31)/('Raw Data'!C$136)*100)</f>
        <v>0</v>
      </c>
      <c r="H31" s="49">
        <f t="shared" si="4"/>
        <v>0</v>
      </c>
      <c r="I31" s="31">
        <f t="shared" si="5"/>
        <v>3.8101427708750357E-2</v>
      </c>
      <c r="J31" s="15">
        <f>'Raw Data'!F31/I31</f>
        <v>0</v>
      </c>
      <c r="K31" s="78">
        <f t="shared" si="6"/>
        <v>2.6341851728542441E-2</v>
      </c>
      <c r="L31" s="49">
        <f>A31*Table!$AC$9/$AC$16</f>
        <v>0.90836617181165835</v>
      </c>
      <c r="M31" s="49">
        <f>A31*Table!$AD$9/$AC$16</f>
        <v>0.31143983033542572</v>
      </c>
      <c r="N31" s="49">
        <f>ABS(A31*Table!$AE$9/$AC$16)</f>
        <v>0.39333409036365813</v>
      </c>
      <c r="O31" s="49">
        <f>($L31*(Table!$AC$10/Table!$AC$9)/(Table!$AC$12-Table!$AC$14))</f>
        <v>1.9484473869833945</v>
      </c>
      <c r="P31" s="49">
        <f>$N31*(Table!$AE$10/Table!$AE$9)/(Table!$AC$12-Table!$AC$13)</f>
        <v>3.2293439274520366</v>
      </c>
      <c r="Q31" s="49">
        <f>'Raw Data'!C31</f>
        <v>0</v>
      </c>
      <c r="R31" s="49">
        <f>'Raw Data'!C31/'Raw Data'!I$23*100</f>
        <v>0</v>
      </c>
      <c r="S31" s="99">
        <f t="shared" si="7"/>
        <v>0</v>
      </c>
      <c r="T31" s="99">
        <f t="shared" si="8"/>
        <v>1</v>
      </c>
      <c r="U31" s="76">
        <f t="shared" si="9"/>
        <v>0</v>
      </c>
      <c r="V31" s="76">
        <f t="shared" si="10"/>
        <v>0</v>
      </c>
      <c r="W31" s="76">
        <f t="shared" si="11"/>
        <v>0</v>
      </c>
      <c r="X31" s="162">
        <f t="shared" si="12"/>
        <v>0</v>
      </c>
      <c r="AS31" s="42"/>
      <c r="AT31" s="42"/>
    </row>
    <row r="32" spans="1:48" ht="12.4" customHeight="1" x14ac:dyDescent="0.2">
      <c r="A32" s="49">
        <f>'Raw Data'!A32</f>
        <v>5.2617230415344238</v>
      </c>
      <c r="B32" s="69">
        <f>'Raw Data'!E32</f>
        <v>0</v>
      </c>
      <c r="C32" s="69">
        <f t="shared" si="1"/>
        <v>1</v>
      </c>
      <c r="D32" s="23">
        <f t="shared" si="2"/>
        <v>0</v>
      </c>
      <c r="E32" s="15">
        <f>(2*Table!$AC$16*0.147)/A32</f>
        <v>20.759412132129498</v>
      </c>
      <c r="F32" s="15">
        <f t="shared" si="3"/>
        <v>41.518824264258996</v>
      </c>
      <c r="G32" s="49">
        <f>IF((('Raw Data'!C32)/('Raw Data'!C$136)*100)&lt;0,0,('Raw Data'!C32)/('Raw Data'!C$136)*100)</f>
        <v>0</v>
      </c>
      <c r="H32" s="49">
        <f t="shared" si="4"/>
        <v>0</v>
      </c>
      <c r="I32" s="31">
        <f t="shared" si="5"/>
        <v>3.7969367066241322E-2</v>
      </c>
      <c r="J32" s="15">
        <f>'Raw Data'!F32/I32</f>
        <v>0</v>
      </c>
      <c r="K32" s="78">
        <f t="shared" si="6"/>
        <v>2.8748531665908222E-2</v>
      </c>
      <c r="L32" s="49">
        <f>A32*Table!$AC$9/$AC$16</f>
        <v>0.99135755237250556</v>
      </c>
      <c r="M32" s="49">
        <f>A32*Table!$AD$9/$AC$16</f>
        <v>0.33989401795628765</v>
      </c>
      <c r="N32" s="49">
        <f>ABS(A32*Table!$AE$9/$AC$16)</f>
        <v>0.42927041229407598</v>
      </c>
      <c r="O32" s="49">
        <f>($L32*(Table!$AC$10/Table!$AC$9)/(Table!$AC$12-Table!$AC$14))</f>
        <v>2.1264640763031011</v>
      </c>
      <c r="P32" s="49">
        <f>$N32*(Table!$AE$10/Table!$AE$9)/(Table!$AC$12-Table!$AC$13)</f>
        <v>3.5243876214620351</v>
      </c>
      <c r="Q32" s="49">
        <f>'Raw Data'!C32</f>
        <v>0</v>
      </c>
      <c r="R32" s="49">
        <f>'Raw Data'!C32/'Raw Data'!I$23*100</f>
        <v>0</v>
      </c>
      <c r="S32" s="99">
        <f t="shared" si="7"/>
        <v>0</v>
      </c>
      <c r="T32" s="99">
        <f t="shared" si="8"/>
        <v>1</v>
      </c>
      <c r="U32" s="76">
        <f t="shared" si="9"/>
        <v>0</v>
      </c>
      <c r="V32" s="76">
        <f t="shared" si="10"/>
        <v>0</v>
      </c>
      <c r="W32" s="76">
        <f t="shared" si="11"/>
        <v>0</v>
      </c>
      <c r="X32" s="162">
        <f t="shared" si="12"/>
        <v>0</v>
      </c>
      <c r="AS32" s="42"/>
      <c r="AT32" s="42"/>
    </row>
    <row r="33" spans="1:46" ht="12.4" customHeight="1" x14ac:dyDescent="0.2">
      <c r="A33" s="49">
        <f>'Raw Data'!A33</f>
        <v>5.769646167755127</v>
      </c>
      <c r="B33" s="69">
        <f>'Raw Data'!E33</f>
        <v>0</v>
      </c>
      <c r="C33" s="69">
        <f t="shared" si="1"/>
        <v>1</v>
      </c>
      <c r="D33" s="23">
        <f t="shared" si="2"/>
        <v>0</v>
      </c>
      <c r="E33" s="15">
        <f>(2*Table!$AC$16*0.147)/A33</f>
        <v>18.931884896996159</v>
      </c>
      <c r="F33" s="15">
        <f t="shared" si="3"/>
        <v>37.863769793992319</v>
      </c>
      <c r="G33" s="49">
        <f>IF((('Raw Data'!C33)/('Raw Data'!C$136)*100)&lt;0,0,('Raw Data'!C33)/('Raw Data'!C$136)*100)</f>
        <v>0</v>
      </c>
      <c r="H33" s="49">
        <f t="shared" si="4"/>
        <v>0</v>
      </c>
      <c r="I33" s="31">
        <f t="shared" si="5"/>
        <v>4.0021195580988822E-2</v>
      </c>
      <c r="J33" s="15">
        <f>'Raw Data'!F33/I33</f>
        <v>0</v>
      </c>
      <c r="K33" s="78">
        <f t="shared" si="6"/>
        <v>3.1523676606593797E-2</v>
      </c>
      <c r="L33" s="49">
        <f>A33*Table!$AC$9/$AC$16</f>
        <v>1.0870549927791575</v>
      </c>
      <c r="M33" s="49">
        <f>A33*Table!$AD$9/$AC$16</f>
        <v>0.37270456895285398</v>
      </c>
      <c r="N33" s="49">
        <f>ABS(A33*Table!$AE$9/$AC$16)</f>
        <v>0.47070861952872994</v>
      </c>
      <c r="O33" s="49">
        <f>($L33*(Table!$AC$10/Table!$AC$9)/(Table!$AC$12-Table!$AC$14))</f>
        <v>2.3317352912465843</v>
      </c>
      <c r="P33" s="49">
        <f>$N33*(Table!$AE$10/Table!$AE$9)/(Table!$AC$12-Table!$AC$13)</f>
        <v>3.8646027875921991</v>
      </c>
      <c r="Q33" s="49">
        <f>'Raw Data'!C33</f>
        <v>0</v>
      </c>
      <c r="R33" s="49">
        <f>'Raw Data'!C33/'Raw Data'!I$23*100</f>
        <v>0</v>
      </c>
      <c r="S33" s="99">
        <f t="shared" si="7"/>
        <v>0</v>
      </c>
      <c r="T33" s="99">
        <f t="shared" si="8"/>
        <v>1</v>
      </c>
      <c r="U33" s="76">
        <f t="shared" si="9"/>
        <v>0</v>
      </c>
      <c r="V33" s="76">
        <f t="shared" si="10"/>
        <v>0</v>
      </c>
      <c r="W33" s="76">
        <f t="shared" si="11"/>
        <v>0</v>
      </c>
      <c r="X33" s="162">
        <f t="shared" si="12"/>
        <v>0</v>
      </c>
      <c r="AS33" s="42"/>
      <c r="AT33" s="42"/>
    </row>
    <row r="34" spans="1:46" ht="12.4" customHeight="1" x14ac:dyDescent="0.2">
      <c r="A34" s="49">
        <f>'Raw Data'!A34</f>
        <v>6.3070578575134277</v>
      </c>
      <c r="B34" s="69">
        <f>'Raw Data'!E34</f>
        <v>0</v>
      </c>
      <c r="C34" s="69">
        <f t="shared" si="1"/>
        <v>1</v>
      </c>
      <c r="D34" s="23">
        <f t="shared" si="2"/>
        <v>0</v>
      </c>
      <c r="E34" s="15">
        <f>(2*Table!$AC$16*0.147)/A34</f>
        <v>17.318737137350336</v>
      </c>
      <c r="F34" s="15">
        <f t="shared" si="3"/>
        <v>34.637474274700672</v>
      </c>
      <c r="G34" s="49">
        <f>IF((('Raw Data'!C34)/('Raw Data'!C$136)*100)&lt;0,0,('Raw Data'!C34)/('Raw Data'!C$136)*100)</f>
        <v>0</v>
      </c>
      <c r="H34" s="49">
        <f t="shared" si="4"/>
        <v>0</v>
      </c>
      <c r="I34" s="31">
        <f t="shared" si="5"/>
        <v>3.8677634783733428E-2</v>
      </c>
      <c r="J34" s="15">
        <f>'Raw Data'!F34/I34</f>
        <v>0</v>
      </c>
      <c r="K34" s="78">
        <f t="shared" si="6"/>
        <v>3.4459938522831086E-2</v>
      </c>
      <c r="L34" s="49">
        <f>A34*Table!$AC$9/$AC$16</f>
        <v>1.1883083527849314</v>
      </c>
      <c r="M34" s="49">
        <f>A34*Table!$AD$9/$AC$16</f>
        <v>0.40742000666911937</v>
      </c>
      <c r="N34" s="49">
        <f>ABS(A34*Table!$AE$9/$AC$16)</f>
        <v>0.51455261052049572</v>
      </c>
      <c r="O34" s="49">
        <f>($L34*(Table!$AC$10/Table!$AC$9)/(Table!$AC$12-Table!$AC$14))</f>
        <v>2.5489239656476439</v>
      </c>
      <c r="P34" s="49">
        <f>$N34*(Table!$AE$10/Table!$AE$9)/(Table!$AC$12-Table!$AC$13)</f>
        <v>4.2245698729104735</v>
      </c>
      <c r="Q34" s="49">
        <f>'Raw Data'!C34</f>
        <v>0</v>
      </c>
      <c r="R34" s="49">
        <f>'Raw Data'!C34/'Raw Data'!I$23*100</f>
        <v>0</v>
      </c>
      <c r="S34" s="99">
        <f t="shared" si="7"/>
        <v>0</v>
      </c>
      <c r="T34" s="99">
        <f t="shared" si="8"/>
        <v>1</v>
      </c>
      <c r="U34" s="76">
        <f t="shared" si="9"/>
        <v>0</v>
      </c>
      <c r="V34" s="76">
        <f t="shared" si="10"/>
        <v>0</v>
      </c>
      <c r="W34" s="76">
        <f t="shared" si="11"/>
        <v>0</v>
      </c>
      <c r="X34" s="162">
        <f t="shared" si="12"/>
        <v>0</v>
      </c>
      <c r="AS34" s="42"/>
      <c r="AT34" s="42"/>
    </row>
    <row r="35" spans="1:46" ht="12.4" customHeight="1" x14ac:dyDescent="0.2">
      <c r="A35" s="49">
        <f>'Raw Data'!A35</f>
        <v>6.8961162567138672</v>
      </c>
      <c r="B35" s="69">
        <f>'Raw Data'!E35</f>
        <v>0</v>
      </c>
      <c r="C35" s="69">
        <f t="shared" si="1"/>
        <v>1</v>
      </c>
      <c r="D35" s="23">
        <f t="shared" si="2"/>
        <v>0</v>
      </c>
      <c r="E35" s="15">
        <f>(2*Table!$AC$16*0.147)/A35</f>
        <v>15.839390329011852</v>
      </c>
      <c r="F35" s="15">
        <f t="shared" si="3"/>
        <v>31.678780658023705</v>
      </c>
      <c r="G35" s="49">
        <f>IF((('Raw Data'!C35)/('Raw Data'!C$136)*100)&lt;0,0,('Raw Data'!C35)/('Raw Data'!C$136)*100)</f>
        <v>0</v>
      </c>
      <c r="H35" s="49">
        <f t="shared" si="4"/>
        <v>0</v>
      </c>
      <c r="I35" s="31">
        <f t="shared" si="5"/>
        <v>3.877775934720229E-2</v>
      </c>
      <c r="J35" s="15">
        <f>'Raw Data'!F35/I35</f>
        <v>0</v>
      </c>
      <c r="K35" s="78">
        <f t="shared" si="6"/>
        <v>3.7678383110052192E-2</v>
      </c>
      <c r="L35" s="49">
        <f>A35*Table!$AC$9/$AC$16</f>
        <v>1.2992924331377274</v>
      </c>
      <c r="M35" s="49">
        <f>A35*Table!$AD$9/$AC$16</f>
        <v>0.44547169136150649</v>
      </c>
      <c r="N35" s="49">
        <f>ABS(A35*Table!$AE$9/$AC$16)</f>
        <v>0.56261012702108315</v>
      </c>
      <c r="O35" s="49">
        <f>($L35*(Table!$AC$10/Table!$AC$9)/(Table!$AC$12-Table!$AC$14))</f>
        <v>2.7869850560654816</v>
      </c>
      <c r="P35" s="49">
        <f>$N35*(Table!$AE$10/Table!$AE$9)/(Table!$AC$12-Table!$AC$13)</f>
        <v>4.6191307637198937</v>
      </c>
      <c r="Q35" s="49">
        <f>'Raw Data'!C35</f>
        <v>0</v>
      </c>
      <c r="R35" s="49">
        <f>'Raw Data'!C35/'Raw Data'!I$23*100</f>
        <v>0</v>
      </c>
      <c r="S35" s="99">
        <f t="shared" si="7"/>
        <v>0</v>
      </c>
      <c r="T35" s="99">
        <f t="shared" si="8"/>
        <v>1</v>
      </c>
      <c r="U35" s="76">
        <f t="shared" si="9"/>
        <v>0</v>
      </c>
      <c r="V35" s="76">
        <f t="shared" si="10"/>
        <v>0</v>
      </c>
      <c r="W35" s="76">
        <f t="shared" si="11"/>
        <v>0</v>
      </c>
      <c r="X35" s="162">
        <f t="shared" si="12"/>
        <v>0</v>
      </c>
      <c r="AS35" s="42"/>
      <c r="AT35" s="42"/>
    </row>
    <row r="36" spans="1:46" ht="12.4" customHeight="1" x14ac:dyDescent="0.2">
      <c r="A36" s="49">
        <f>'Raw Data'!A36</f>
        <v>7.5426220893859863</v>
      </c>
      <c r="B36" s="69">
        <f>'Raw Data'!E36</f>
        <v>0</v>
      </c>
      <c r="C36" s="69">
        <f t="shared" si="1"/>
        <v>1</v>
      </c>
      <c r="D36" s="23">
        <f t="shared" si="2"/>
        <v>0</v>
      </c>
      <c r="E36" s="15">
        <f>(2*Table!$AC$16*0.147)/A36</f>
        <v>14.48173802821759</v>
      </c>
      <c r="F36" s="15">
        <f t="shared" si="3"/>
        <v>28.96347605643518</v>
      </c>
      <c r="G36" s="49">
        <f>IF((('Raw Data'!C36)/('Raw Data'!C$136)*100)&lt;0,0,('Raw Data'!C36)/('Raw Data'!C$136)*100)</f>
        <v>0</v>
      </c>
      <c r="H36" s="49">
        <f t="shared" si="4"/>
        <v>0</v>
      </c>
      <c r="I36" s="31">
        <f t="shared" si="5"/>
        <v>3.8917774313968811E-2</v>
      </c>
      <c r="J36" s="15">
        <f>'Raw Data'!F36/I36</f>
        <v>0</v>
      </c>
      <c r="K36" s="78">
        <f t="shared" si="6"/>
        <v>4.1210703845304862E-2</v>
      </c>
      <c r="L36" s="49">
        <f>A36*Table!$AC$9/$AC$16</f>
        <v>1.421100144188493</v>
      </c>
      <c r="M36" s="49">
        <f>A36*Table!$AD$9/$AC$16</f>
        <v>0.48723433515034043</v>
      </c>
      <c r="N36" s="49">
        <f>ABS(A36*Table!$AE$9/$AC$16)</f>
        <v>0.6153544130944818</v>
      </c>
      <c r="O36" s="49">
        <f>($L36*(Table!$AC$10/Table!$AC$9)/(Table!$AC$12-Table!$AC$14))</f>
        <v>3.0482628575471753</v>
      </c>
      <c r="P36" s="49">
        <f>$N36*(Table!$AE$10/Table!$AE$9)/(Table!$AC$12-Table!$AC$13)</f>
        <v>5.0521708792650379</v>
      </c>
      <c r="Q36" s="49">
        <f>'Raw Data'!C36</f>
        <v>0</v>
      </c>
      <c r="R36" s="49">
        <f>'Raw Data'!C36/'Raw Data'!I$23*100</f>
        <v>0</v>
      </c>
      <c r="S36" s="99">
        <f t="shared" si="7"/>
        <v>0</v>
      </c>
      <c r="T36" s="99">
        <f t="shared" si="8"/>
        <v>1</v>
      </c>
      <c r="U36" s="76">
        <f t="shared" si="9"/>
        <v>0</v>
      </c>
      <c r="V36" s="76">
        <f t="shared" si="10"/>
        <v>0</v>
      </c>
      <c r="W36" s="76">
        <f t="shared" si="11"/>
        <v>0</v>
      </c>
      <c r="X36" s="162">
        <f t="shared" si="12"/>
        <v>0</v>
      </c>
      <c r="AS36" s="42"/>
      <c r="AT36" s="42"/>
    </row>
    <row r="37" spans="1:46" ht="12.4" customHeight="1" x14ac:dyDescent="0.2">
      <c r="A37" s="49">
        <f>'Raw Data'!A37</f>
        <v>8.2507648468017578</v>
      </c>
      <c r="B37" s="69">
        <f>'Raw Data'!E37</f>
        <v>0</v>
      </c>
      <c r="C37" s="69">
        <f t="shared" si="1"/>
        <v>1</v>
      </c>
      <c r="D37" s="23">
        <f t="shared" si="2"/>
        <v>0</v>
      </c>
      <c r="E37" s="15">
        <f>(2*Table!$AC$16*0.147)/A37</f>
        <v>13.238806240693668</v>
      </c>
      <c r="F37" s="15">
        <f t="shared" si="3"/>
        <v>26.477612481387336</v>
      </c>
      <c r="G37" s="49">
        <f>IF((('Raw Data'!C37)/('Raw Data'!C$136)*100)&lt;0,0,('Raw Data'!C37)/('Raw Data'!C$136)*100)</f>
        <v>0</v>
      </c>
      <c r="H37" s="49">
        <f t="shared" si="4"/>
        <v>0</v>
      </c>
      <c r="I37" s="31">
        <f t="shared" si="5"/>
        <v>3.897186090813598E-2</v>
      </c>
      <c r="J37" s="15">
        <f>'Raw Data'!F37/I37</f>
        <v>0</v>
      </c>
      <c r="K37" s="78">
        <f t="shared" si="6"/>
        <v>4.5079790896229162E-2</v>
      </c>
      <c r="L37" s="49">
        <f>A37*Table!$AC$9/$AC$16</f>
        <v>1.5545208250530054</v>
      </c>
      <c r="M37" s="49">
        <f>A37*Table!$AD$9/$AC$16</f>
        <v>0.53297856858960191</v>
      </c>
      <c r="N37" s="49">
        <f>ABS(A37*Table!$AE$9/$AC$16)</f>
        <v>0.67312726260392386</v>
      </c>
      <c r="O37" s="49">
        <f>($L37*(Table!$AC$10/Table!$AC$9)/(Table!$AC$12-Table!$AC$14))</f>
        <v>3.334450504189201</v>
      </c>
      <c r="P37" s="49">
        <f>$N37*(Table!$AE$10/Table!$AE$9)/(Table!$AC$12-Table!$AC$13)</f>
        <v>5.5264964088992095</v>
      </c>
      <c r="Q37" s="49">
        <f>'Raw Data'!C37</f>
        <v>0</v>
      </c>
      <c r="R37" s="49">
        <f>'Raw Data'!C37/'Raw Data'!I$23*100</f>
        <v>0</v>
      </c>
      <c r="S37" s="99">
        <f t="shared" si="7"/>
        <v>0</v>
      </c>
      <c r="T37" s="99">
        <f t="shared" si="8"/>
        <v>1</v>
      </c>
      <c r="U37" s="76">
        <f t="shared" si="9"/>
        <v>0</v>
      </c>
      <c r="V37" s="76">
        <f t="shared" si="10"/>
        <v>0</v>
      </c>
      <c r="W37" s="76">
        <f t="shared" si="11"/>
        <v>0</v>
      </c>
      <c r="X37" s="162">
        <f t="shared" si="12"/>
        <v>0</v>
      </c>
      <c r="AS37" s="42"/>
      <c r="AT37" s="42"/>
    </row>
    <row r="38" spans="1:46" ht="12.4" customHeight="1" x14ac:dyDescent="0.2">
      <c r="A38" s="49">
        <f>'Raw Data'!A38</f>
        <v>9.032470703125</v>
      </c>
      <c r="B38" s="69">
        <f>'Raw Data'!E38</f>
        <v>0</v>
      </c>
      <c r="C38" s="69">
        <f t="shared" si="1"/>
        <v>1</v>
      </c>
      <c r="D38" s="23">
        <f t="shared" si="2"/>
        <v>0</v>
      </c>
      <c r="E38" s="15">
        <f>(2*Table!$AC$16*0.147)/A38</f>
        <v>12.093067415822807</v>
      </c>
      <c r="F38" s="15">
        <f t="shared" si="3"/>
        <v>24.186134831645614</v>
      </c>
      <c r="G38" s="49">
        <f>IF((('Raw Data'!C38)/('Raw Data'!C$136)*100)&lt;0,0,('Raw Data'!C38)/('Raw Data'!C$136)*100)</f>
        <v>0</v>
      </c>
      <c r="H38" s="49">
        <f t="shared" si="4"/>
        <v>0</v>
      </c>
      <c r="I38" s="31">
        <f t="shared" si="5"/>
        <v>3.9312352043562537E-2</v>
      </c>
      <c r="J38" s="15">
        <f>'Raw Data'!F38/I38</f>
        <v>0</v>
      </c>
      <c r="K38" s="78">
        <f t="shared" si="6"/>
        <v>4.9350805426363213E-2</v>
      </c>
      <c r="L38" s="49">
        <f>A38*Table!$AC$9/$AC$16</f>
        <v>1.7018014778510804</v>
      </c>
      <c r="M38" s="49">
        <f>A38*Table!$AD$9/$AC$16</f>
        <v>0.58347479240608469</v>
      </c>
      <c r="N38" s="49">
        <f>ABS(A38*Table!$AE$9/$AC$16)</f>
        <v>0.73690165600846824</v>
      </c>
      <c r="O38" s="49">
        <f>($L38*(Table!$AC$10/Table!$AC$9)/(Table!$AC$12-Table!$AC$14))</f>
        <v>3.6503678203583885</v>
      </c>
      <c r="P38" s="49">
        <f>$N38*(Table!$AE$10/Table!$AE$9)/(Table!$AC$12-Table!$AC$13)</f>
        <v>6.0500956979348777</v>
      </c>
      <c r="Q38" s="49">
        <f>'Raw Data'!C38</f>
        <v>0</v>
      </c>
      <c r="R38" s="49">
        <f>'Raw Data'!C38/'Raw Data'!I$23*100</f>
        <v>0</v>
      </c>
      <c r="S38" s="99">
        <f t="shared" si="7"/>
        <v>0</v>
      </c>
      <c r="T38" s="99">
        <f t="shared" si="8"/>
        <v>1</v>
      </c>
      <c r="U38" s="76">
        <f t="shared" si="9"/>
        <v>0</v>
      </c>
      <c r="V38" s="76">
        <f t="shared" si="10"/>
        <v>0</v>
      </c>
      <c r="W38" s="76">
        <f t="shared" si="11"/>
        <v>0</v>
      </c>
      <c r="X38" s="162">
        <f t="shared" si="12"/>
        <v>0</v>
      </c>
      <c r="AS38" s="42"/>
      <c r="AT38" s="42"/>
    </row>
    <row r="39" spans="1:46" ht="12.4" customHeight="1" x14ac:dyDescent="0.2">
      <c r="A39" s="49">
        <f>'Raw Data'!A39</f>
        <v>9.8776664733886719</v>
      </c>
      <c r="B39" s="69">
        <f>'Raw Data'!E39</f>
        <v>0</v>
      </c>
      <c r="C39" s="69">
        <f t="shared" si="1"/>
        <v>1</v>
      </c>
      <c r="D39" s="23">
        <f t="shared" si="2"/>
        <v>0</v>
      </c>
      <c r="E39" s="15">
        <f>(2*Table!$AC$16*0.147)/A39</f>
        <v>11.058307894745314</v>
      </c>
      <c r="F39" s="15">
        <f t="shared" si="3"/>
        <v>22.116615789490627</v>
      </c>
      <c r="G39" s="49">
        <f>IF((('Raw Data'!C39)/('Raw Data'!C$136)*100)&lt;0,0,('Raw Data'!C39)/('Raw Data'!C$136)*100)</f>
        <v>0</v>
      </c>
      <c r="H39" s="49">
        <f t="shared" si="4"/>
        <v>0</v>
      </c>
      <c r="I39" s="31">
        <f t="shared" si="5"/>
        <v>3.8847796197740703E-2</v>
      </c>
      <c r="J39" s="15">
        <f>'Raw Data'!F39/I39</f>
        <v>0</v>
      </c>
      <c r="K39" s="78">
        <f t="shared" si="6"/>
        <v>5.3968710468782731E-2</v>
      </c>
      <c r="L39" s="49">
        <f>A39*Table!$AC$9/$AC$16</f>
        <v>1.861044220859432</v>
      </c>
      <c r="M39" s="49">
        <f>A39*Table!$AD$9/$AC$16</f>
        <v>0.63807230429466244</v>
      </c>
      <c r="N39" s="49">
        <f>ABS(A39*Table!$AE$9/$AC$16)</f>
        <v>0.80585578641524291</v>
      </c>
      <c r="O39" s="49">
        <f>($L39*(Table!$AC$10/Table!$AC$9)/(Table!$AC$12-Table!$AC$14))</f>
        <v>3.9919438456873282</v>
      </c>
      <c r="P39" s="49">
        <f>$N39*(Table!$AE$10/Table!$AE$9)/(Table!$AC$12-Table!$AC$13)</f>
        <v>6.6162215633435366</v>
      </c>
      <c r="Q39" s="49">
        <f>'Raw Data'!C39</f>
        <v>0</v>
      </c>
      <c r="R39" s="49">
        <f>'Raw Data'!C39/'Raw Data'!I$23*100</f>
        <v>0</v>
      </c>
      <c r="S39" s="99">
        <f t="shared" si="7"/>
        <v>0</v>
      </c>
      <c r="T39" s="99">
        <f t="shared" si="8"/>
        <v>1</v>
      </c>
      <c r="U39" s="76">
        <f t="shared" si="9"/>
        <v>0</v>
      </c>
      <c r="V39" s="76">
        <f t="shared" si="10"/>
        <v>0</v>
      </c>
      <c r="W39" s="76">
        <f t="shared" si="11"/>
        <v>0</v>
      </c>
      <c r="X39" s="162">
        <f t="shared" si="12"/>
        <v>0</v>
      </c>
      <c r="AS39" s="42"/>
      <c r="AT39" s="42"/>
    </row>
    <row r="40" spans="1:46" ht="12.4" customHeight="1" x14ac:dyDescent="0.2">
      <c r="A40" s="49">
        <f>'Raw Data'!A40</f>
        <v>10.784820556640625</v>
      </c>
      <c r="B40" s="69">
        <f>'Raw Data'!E40</f>
        <v>0</v>
      </c>
      <c r="C40" s="69">
        <f t="shared" si="1"/>
        <v>1</v>
      </c>
      <c r="D40" s="23">
        <f t="shared" si="2"/>
        <v>0</v>
      </c>
      <c r="E40" s="15">
        <f>(2*Table!$AC$16*0.147)/A40</f>
        <v>10.128149705474497</v>
      </c>
      <c r="F40" s="15">
        <f t="shared" si="3"/>
        <v>20.256299410948994</v>
      </c>
      <c r="G40" s="49">
        <f>IF((('Raw Data'!C40)/('Raw Data'!C$136)*100)&lt;0,0,('Raw Data'!C40)/('Raw Data'!C$136)*100)</f>
        <v>0</v>
      </c>
      <c r="H40" s="49">
        <f t="shared" si="4"/>
        <v>0</v>
      </c>
      <c r="I40" s="31">
        <f t="shared" si="5"/>
        <v>3.8158565681779333E-2</v>
      </c>
      <c r="J40" s="15">
        <f>'Raw Data'!F40/I40</f>
        <v>0</v>
      </c>
      <c r="K40" s="78">
        <f t="shared" si="6"/>
        <v>5.8925137799215072E-2</v>
      </c>
      <c r="L40" s="49">
        <f>A40*Table!$AC$9/$AC$16</f>
        <v>2.0319604862155658</v>
      </c>
      <c r="M40" s="49">
        <f>A40*Table!$AD$9/$AC$16</f>
        <v>0.69667216670247967</v>
      </c>
      <c r="N40" s="49">
        <f>ABS(A40*Table!$AE$9/$AC$16)</f>
        <v>0.87986470027442998</v>
      </c>
      <c r="O40" s="49">
        <f>($L40*(Table!$AC$10/Table!$AC$9)/(Table!$AC$12-Table!$AC$14))</f>
        <v>4.3585596014919901</v>
      </c>
      <c r="P40" s="49">
        <f>$N40*(Table!$AE$10/Table!$AE$9)/(Table!$AC$12-Table!$AC$13)</f>
        <v>7.2238481139115747</v>
      </c>
      <c r="Q40" s="49">
        <f>'Raw Data'!C40</f>
        <v>0</v>
      </c>
      <c r="R40" s="49">
        <f>'Raw Data'!C40/'Raw Data'!I$23*100</f>
        <v>0</v>
      </c>
      <c r="S40" s="99">
        <f t="shared" si="7"/>
        <v>0</v>
      </c>
      <c r="T40" s="99">
        <f t="shared" si="8"/>
        <v>1</v>
      </c>
      <c r="U40" s="76">
        <f t="shared" si="9"/>
        <v>0</v>
      </c>
      <c r="V40" s="76">
        <f t="shared" si="10"/>
        <v>0</v>
      </c>
      <c r="W40" s="76">
        <f t="shared" si="11"/>
        <v>0</v>
      </c>
      <c r="X40" s="162">
        <f t="shared" si="12"/>
        <v>0</v>
      </c>
      <c r="AS40" s="42"/>
      <c r="AT40" s="42"/>
    </row>
    <row r="41" spans="1:46" ht="12.4" customHeight="1" x14ac:dyDescent="0.2">
      <c r="A41" s="49">
        <f>'Raw Data'!A41</f>
        <v>11.881881713867188</v>
      </c>
      <c r="B41" s="69">
        <f>'Raw Data'!E41</f>
        <v>0</v>
      </c>
      <c r="C41" s="69">
        <f t="shared" si="1"/>
        <v>1</v>
      </c>
      <c r="D41" s="23">
        <f t="shared" si="2"/>
        <v>0</v>
      </c>
      <c r="E41" s="15">
        <f>(2*Table!$AC$16*0.147)/A41</f>
        <v>9.1930116605060821</v>
      </c>
      <c r="F41" s="15">
        <f t="shared" si="3"/>
        <v>18.386023321012164</v>
      </c>
      <c r="G41" s="49">
        <f>IF((('Raw Data'!C41)/('Raw Data'!C$136)*100)&lt;0,0,('Raw Data'!C41)/('Raw Data'!C$136)*100)</f>
        <v>0</v>
      </c>
      <c r="H41" s="49">
        <f t="shared" si="4"/>
        <v>0</v>
      </c>
      <c r="I41" s="31">
        <f t="shared" si="5"/>
        <v>4.2072301102499932E-2</v>
      </c>
      <c r="J41" s="15">
        <f>'Raw Data'!F41/I41</f>
        <v>0</v>
      </c>
      <c r="K41" s="78">
        <f t="shared" si="6"/>
        <v>6.4919162412256717E-2</v>
      </c>
      <c r="L41" s="49">
        <f>A41*Table!$AC$9/$AC$16</f>
        <v>2.2386570103476897</v>
      </c>
      <c r="M41" s="49">
        <f>A41*Table!$AD$9/$AC$16</f>
        <v>0.76753954640492228</v>
      </c>
      <c r="N41" s="49">
        <f>ABS(A41*Table!$AE$9/$AC$16)</f>
        <v>0.96936692066061125</v>
      </c>
      <c r="O41" s="49">
        <f>($L41*(Table!$AC$10/Table!$AC$9)/(Table!$AC$12-Table!$AC$14))</f>
        <v>4.8019240891198844</v>
      </c>
      <c r="P41" s="49">
        <f>$N41*(Table!$AE$10/Table!$AE$9)/(Table!$AC$12-Table!$AC$13)</f>
        <v>7.958677509528826</v>
      </c>
      <c r="Q41" s="49">
        <f>'Raw Data'!C41</f>
        <v>0</v>
      </c>
      <c r="R41" s="49">
        <f>'Raw Data'!C41/'Raw Data'!I$23*100</f>
        <v>0</v>
      </c>
      <c r="S41" s="99">
        <f t="shared" si="7"/>
        <v>0</v>
      </c>
      <c r="T41" s="99">
        <f t="shared" si="8"/>
        <v>1</v>
      </c>
      <c r="U41" s="76">
        <f t="shared" si="9"/>
        <v>0</v>
      </c>
      <c r="V41" s="76">
        <f t="shared" si="10"/>
        <v>0</v>
      </c>
      <c r="W41" s="76">
        <f t="shared" si="11"/>
        <v>0</v>
      </c>
      <c r="X41" s="162">
        <f t="shared" si="12"/>
        <v>0</v>
      </c>
      <c r="AS41" s="42"/>
      <c r="AT41" s="42"/>
    </row>
    <row r="42" spans="1:46" ht="12.4" customHeight="1" x14ac:dyDescent="0.2">
      <c r="A42" s="49">
        <f>'Raw Data'!A42</f>
        <v>12.879276275634766</v>
      </c>
      <c r="B42" s="69">
        <f>'Raw Data'!E42</f>
        <v>0</v>
      </c>
      <c r="C42" s="69">
        <f t="shared" si="1"/>
        <v>1</v>
      </c>
      <c r="D42" s="23">
        <f t="shared" si="2"/>
        <v>0</v>
      </c>
      <c r="E42" s="15">
        <f>(2*Table!$AC$16*0.147)/A42</f>
        <v>8.4810881300045367</v>
      </c>
      <c r="F42" s="15">
        <f t="shared" si="3"/>
        <v>16.962176260009073</v>
      </c>
      <c r="G42" s="49">
        <f>IF((('Raw Data'!C42)/('Raw Data'!C$136)*100)&lt;0,0,('Raw Data'!C42)/('Raw Data'!C$136)*100)</f>
        <v>0</v>
      </c>
      <c r="H42" s="49">
        <f t="shared" si="4"/>
        <v>0</v>
      </c>
      <c r="I42" s="31">
        <f t="shared" si="5"/>
        <v>3.5006234839310091E-2</v>
      </c>
      <c r="J42" s="15">
        <f>'Raw Data'!F42/I42</f>
        <v>0</v>
      </c>
      <c r="K42" s="78">
        <f t="shared" si="6"/>
        <v>7.0368637596723682E-2</v>
      </c>
      <c r="L42" s="49">
        <f>A42*Table!$AC$9/$AC$16</f>
        <v>2.4265754210467083</v>
      </c>
      <c r="M42" s="49">
        <f>A42*Table!$AD$9/$AC$16</f>
        <v>0.8319687157874428</v>
      </c>
      <c r="N42" s="49">
        <f>ABS(A42*Table!$AE$9/$AC$16)</f>
        <v>1.050737979412685</v>
      </c>
      <c r="O42" s="49">
        <f>($L42*(Table!$AC$10/Table!$AC$9)/(Table!$AC$12-Table!$AC$14))</f>
        <v>5.2050094831546732</v>
      </c>
      <c r="P42" s="49">
        <f>$N42*(Table!$AE$10/Table!$AE$9)/(Table!$AC$12-Table!$AC$13)</f>
        <v>8.6267485994473301</v>
      </c>
      <c r="Q42" s="49">
        <f>'Raw Data'!C42</f>
        <v>0</v>
      </c>
      <c r="R42" s="49">
        <f>'Raw Data'!C42/'Raw Data'!I$23*100</f>
        <v>0</v>
      </c>
      <c r="S42" s="99">
        <f t="shared" si="7"/>
        <v>0</v>
      </c>
      <c r="T42" s="99">
        <f t="shared" si="8"/>
        <v>1</v>
      </c>
      <c r="U42" s="76">
        <f t="shared" si="9"/>
        <v>0</v>
      </c>
      <c r="V42" s="76">
        <f t="shared" si="10"/>
        <v>0</v>
      </c>
      <c r="W42" s="76">
        <f t="shared" si="11"/>
        <v>0</v>
      </c>
      <c r="X42" s="162">
        <f t="shared" si="12"/>
        <v>0</v>
      </c>
      <c r="AS42" s="42"/>
      <c r="AT42" s="42"/>
    </row>
    <row r="43" spans="1:46" ht="12.4" customHeight="1" x14ac:dyDescent="0.2">
      <c r="A43" s="49">
        <f>'Raw Data'!A43</f>
        <v>14.174222946166992</v>
      </c>
      <c r="B43" s="69">
        <f>'Raw Data'!E43</f>
        <v>1.2134968752424142E-3</v>
      </c>
      <c r="C43" s="69">
        <f t="shared" si="1"/>
        <v>0.99878650312475759</v>
      </c>
      <c r="D43" s="23">
        <f t="shared" si="2"/>
        <v>1.2134968752424142E-3</v>
      </c>
      <c r="E43" s="15">
        <f>(2*Table!$AC$16*0.147)/A43</f>
        <v>7.7062621040452317</v>
      </c>
      <c r="F43" s="15">
        <f t="shared" si="3"/>
        <v>15.412524208090463</v>
      </c>
      <c r="G43" s="49">
        <f>IF((('Raw Data'!C43)/('Raw Data'!C$136)*100)&lt;0,0,('Raw Data'!C43)/('Raw Data'!C$136)*100)</f>
        <v>0.12134968752424143</v>
      </c>
      <c r="H43" s="49">
        <f t="shared" si="4"/>
        <v>0.12134968752424143</v>
      </c>
      <c r="I43" s="31">
        <f t="shared" si="5"/>
        <v>4.1607800064619505E-2</v>
      </c>
      <c r="J43" s="15">
        <f>'Raw Data'!F43/I43</f>
        <v>2.9165129455481376E-2</v>
      </c>
      <c r="K43" s="78">
        <f t="shared" si="6"/>
        <v>7.7443851375478892E-2</v>
      </c>
      <c r="L43" s="49">
        <f>A43*Table!$AC$9/$AC$16</f>
        <v>2.6705554161202203</v>
      </c>
      <c r="M43" s="49">
        <f>A43*Table!$AD$9/$AC$16</f>
        <v>0.91561899981264694</v>
      </c>
      <c r="N43" s="49">
        <f>ABS(A43*Table!$AE$9/$AC$16)</f>
        <v>1.1563844162871169</v>
      </c>
      <c r="O43" s="49">
        <f>($L43*(Table!$AC$10/Table!$AC$9)/(Table!$AC$12-Table!$AC$14))</f>
        <v>5.7283470959249696</v>
      </c>
      <c r="P43" s="49">
        <f>$N43*(Table!$AE$10/Table!$AE$9)/(Table!$AC$12-Table!$AC$13)</f>
        <v>9.4941249284656521</v>
      </c>
      <c r="Q43" s="49">
        <f>'Raw Data'!C43</f>
        <v>1.343810876598581E-3</v>
      </c>
      <c r="R43" s="49">
        <f>'Raw Data'!C43/'Raw Data'!I$23*100</f>
        <v>2.7987244848792874E-2</v>
      </c>
      <c r="S43" s="99">
        <f t="shared" si="7"/>
        <v>2.5657938254155029E-2</v>
      </c>
      <c r="T43" s="99">
        <f t="shared" si="8"/>
        <v>0.98627595127055445</v>
      </c>
      <c r="U43" s="76">
        <f t="shared" si="9"/>
        <v>1.9745170479600234E-3</v>
      </c>
      <c r="V43" s="76">
        <f t="shared" si="10"/>
        <v>1.0656074715924739E-2</v>
      </c>
      <c r="W43" s="76">
        <f t="shared" si="11"/>
        <v>0.19046681556168282</v>
      </c>
      <c r="X43" s="162">
        <f t="shared" si="12"/>
        <v>0.19046681556168282</v>
      </c>
      <c r="AS43" s="42"/>
      <c r="AT43" s="42"/>
    </row>
    <row r="44" spans="1:46" ht="12.4" customHeight="1" x14ac:dyDescent="0.2">
      <c r="A44" s="49">
        <f>'Raw Data'!A44</f>
        <v>15.475774765014648</v>
      </c>
      <c r="B44" s="69">
        <f>'Raw Data'!E44</f>
        <v>3.4160318929525001E-3</v>
      </c>
      <c r="C44" s="69">
        <f t="shared" si="1"/>
        <v>0.99658396810704752</v>
      </c>
      <c r="D44" s="23">
        <f t="shared" si="2"/>
        <v>2.2025350177100858E-3</v>
      </c>
      <c r="E44" s="15">
        <f>(2*Table!$AC$16*0.147)/A44</f>
        <v>7.0581459605671419</v>
      </c>
      <c r="F44" s="15">
        <f t="shared" si="3"/>
        <v>14.116291921134284</v>
      </c>
      <c r="G44" s="49">
        <f>IF((('Raw Data'!C44)/('Raw Data'!C$136)*100)&lt;0,0,('Raw Data'!C44)/('Raw Data'!C$136)*100)</f>
        <v>0.34160318929525002</v>
      </c>
      <c r="H44" s="49">
        <f t="shared" si="4"/>
        <v>0.22025350177100861</v>
      </c>
      <c r="I44" s="31">
        <f t="shared" si="5"/>
        <v>3.8153140866178492E-2</v>
      </c>
      <c r="J44" s="15">
        <f>'Raw Data'!F44/I44</f>
        <v>5.7728799456784982E-2</v>
      </c>
      <c r="K44" s="78">
        <f t="shared" si="6"/>
        <v>8.4555153772735162E-2</v>
      </c>
      <c r="L44" s="49">
        <f>A44*Table!$AC$9/$AC$16</f>
        <v>2.9157798825608783</v>
      </c>
      <c r="M44" s="49">
        <f>A44*Table!$AD$9/$AC$16</f>
        <v>0.99969595973515823</v>
      </c>
      <c r="N44" s="49">
        <f>ABS(A44*Table!$AE$9/$AC$16)</f>
        <v>1.262569725070664</v>
      </c>
      <c r="O44" s="49">
        <f>($L44*(Table!$AC$10/Table!$AC$9)/(Table!$AC$12-Table!$AC$14))</f>
        <v>6.2543541024471869</v>
      </c>
      <c r="P44" s="49">
        <f>$N44*(Table!$AE$10/Table!$AE$9)/(Table!$AC$12-Table!$AC$13)</f>
        <v>10.365925493191</v>
      </c>
      <c r="Q44" s="49">
        <f>'Raw Data'!C44</f>
        <v>3.7828699077945196E-3</v>
      </c>
      <c r="R44" s="49">
        <f>'Raw Data'!C44/'Raw Data'!I$23*100</f>
        <v>7.8784975017136674E-2</v>
      </c>
      <c r="S44" s="99">
        <f t="shared" si="7"/>
        <v>4.6569965395032768E-2</v>
      </c>
      <c r="T44" s="99">
        <f t="shared" si="8"/>
        <v>0.96538009707520389</v>
      </c>
      <c r="U44" s="76">
        <f t="shared" si="9"/>
        <v>5.090858209906372E-3</v>
      </c>
      <c r="V44" s="76">
        <f t="shared" si="10"/>
        <v>5.2863568800214047E-2</v>
      </c>
      <c r="W44" s="76">
        <f t="shared" si="11"/>
        <v>0.2899994663011094</v>
      </c>
      <c r="X44" s="162">
        <f t="shared" si="12"/>
        <v>0.48046628186279222</v>
      </c>
      <c r="AS44" s="42"/>
      <c r="AT44" s="42"/>
    </row>
    <row r="45" spans="1:46" ht="12.4" customHeight="1" x14ac:dyDescent="0.2">
      <c r="A45" s="49">
        <f>'Raw Data'!A45</f>
        <v>16.869663238525391</v>
      </c>
      <c r="B45" s="69">
        <f>'Raw Data'!E45</f>
        <v>7.0571265884230867E-3</v>
      </c>
      <c r="C45" s="69">
        <f t="shared" si="1"/>
        <v>0.99294287341157694</v>
      </c>
      <c r="D45" s="23">
        <f t="shared" si="2"/>
        <v>3.6410946954705866E-3</v>
      </c>
      <c r="E45" s="15">
        <f>(2*Table!$AC$16*0.147)/A45</f>
        <v>6.4749530325469067</v>
      </c>
      <c r="F45" s="15">
        <f t="shared" si="3"/>
        <v>12.949906065093813</v>
      </c>
      <c r="G45" s="49">
        <f>IF((('Raw Data'!C45)/('Raw Data'!C$136)*100)&lt;0,0,('Raw Data'!C45)/('Raw Data'!C$136)*100)</f>
        <v>0.70571265884230872</v>
      </c>
      <c r="H45" s="49">
        <f t="shared" si="4"/>
        <v>0.3641094695470587</v>
      </c>
      <c r="I45" s="31">
        <f t="shared" si="5"/>
        <v>3.7454012693281524E-2</v>
      </c>
      <c r="J45" s="15">
        <f>'Raw Data'!F45/I45</f>
        <v>9.7215076133183559E-2</v>
      </c>
      <c r="K45" s="78">
        <f t="shared" si="6"/>
        <v>9.2170956923746744E-2</v>
      </c>
      <c r="L45" s="49">
        <f>A45*Table!$AC$9/$AC$16</f>
        <v>3.1784014334239745</v>
      </c>
      <c r="M45" s="49">
        <f>A45*Table!$AD$9/$AC$16</f>
        <v>1.0897376343167913</v>
      </c>
      <c r="N45" s="49">
        <f>ABS(A45*Table!$AE$9/$AC$16)</f>
        <v>1.3762881923850181</v>
      </c>
      <c r="O45" s="49">
        <f>($L45*(Table!$AC$10/Table!$AC$9)/(Table!$AC$12-Table!$AC$14))</f>
        <v>6.8176778923723189</v>
      </c>
      <c r="P45" s="49">
        <f>$N45*(Table!$AE$10/Table!$AE$9)/(Table!$AC$12-Table!$AC$13)</f>
        <v>11.299574650123299</v>
      </c>
      <c r="Q45" s="49">
        <f>'Raw Data'!C45</f>
        <v>7.8149714766768737E-3</v>
      </c>
      <c r="R45" s="49">
        <f>'Raw Data'!C45/'Raw Data'!I$23*100</f>
        <v>0.16276064140640473</v>
      </c>
      <c r="S45" s="99">
        <f t="shared" si="7"/>
        <v>7.6986587093809428E-2</v>
      </c>
      <c r="T45" s="99">
        <f t="shared" si="8"/>
        <v>0.93630901107421727</v>
      </c>
      <c r="U45" s="76">
        <f t="shared" si="9"/>
        <v>9.6481262906722935E-3</v>
      </c>
      <c r="V45" s="76">
        <f t="shared" si="10"/>
        <v>0.15583534765164317</v>
      </c>
      <c r="W45" s="76">
        <f t="shared" si="11"/>
        <v>0.40345799440712271</v>
      </c>
      <c r="X45" s="162">
        <f t="shared" si="12"/>
        <v>0.88392427626991488</v>
      </c>
      <c r="AS45" s="42"/>
      <c r="AT45" s="42"/>
    </row>
    <row r="46" spans="1:46" ht="12.4" customHeight="1" x14ac:dyDescent="0.2">
      <c r="A46" s="49">
        <f>'Raw Data'!A46</f>
        <v>18.461271286010742</v>
      </c>
      <c r="B46" s="69">
        <f>'Raw Data'!E46</f>
        <v>1.5869059315980465E-2</v>
      </c>
      <c r="C46" s="69">
        <f t="shared" si="1"/>
        <v>0.98413094068401952</v>
      </c>
      <c r="D46" s="23">
        <f t="shared" si="2"/>
        <v>8.8119327275573787E-3</v>
      </c>
      <c r="E46" s="15">
        <f>(2*Table!$AC$16*0.147)/A46</f>
        <v>5.9167256388841247</v>
      </c>
      <c r="F46" s="15">
        <f t="shared" si="3"/>
        <v>11.833451277768249</v>
      </c>
      <c r="G46" s="49">
        <f>IF((('Raw Data'!C46)/('Raw Data'!C$136)*100)&lt;0,0,('Raw Data'!C46)/('Raw Data'!C$136)*100)</f>
        <v>1.5869059315980465</v>
      </c>
      <c r="H46" s="49">
        <f t="shared" si="4"/>
        <v>0.88119327275573778</v>
      </c>
      <c r="I46" s="31">
        <f t="shared" si="5"/>
        <v>3.9155191195285211E-2</v>
      </c>
      <c r="J46" s="15">
        <f>'Raw Data'!F46/I46</f>
        <v>0.22505145444465224</v>
      </c>
      <c r="K46" s="78">
        <f t="shared" si="6"/>
        <v>0.10086704259599898</v>
      </c>
      <c r="L46" s="49">
        <f>A46*Table!$AC$9/$AC$16</f>
        <v>3.4782751907153364</v>
      </c>
      <c r="M46" s="49">
        <f>A46*Table!$AD$9/$AC$16</f>
        <v>1.1925514939595439</v>
      </c>
      <c r="N46" s="49">
        <f>ABS(A46*Table!$AE$9/$AC$16)</f>
        <v>1.5061373382563226</v>
      </c>
      <c r="O46" s="49">
        <f>($L46*(Table!$AC$10/Table!$AC$9)/(Table!$AC$12-Table!$AC$14))</f>
        <v>7.4609077449921433</v>
      </c>
      <c r="P46" s="49">
        <f>$N46*(Table!$AE$10/Table!$AE$9)/(Table!$AC$12-Table!$AC$13)</f>
        <v>12.365659591595421</v>
      </c>
      <c r="Q46" s="49">
        <f>'Raw Data'!C46</f>
        <v>1.7573192766518329E-2</v>
      </c>
      <c r="R46" s="49">
        <f>'Raw Data'!C46/'Raw Data'!I$23*100</f>
        <v>0.36599290666293721</v>
      </c>
      <c r="S46" s="99">
        <f t="shared" si="7"/>
        <v>0.18631776515969112</v>
      </c>
      <c r="T46" s="99">
        <f t="shared" si="8"/>
        <v>0.87756141873847948</v>
      </c>
      <c r="U46" s="76">
        <f t="shared" si="9"/>
        <v>1.9824902683721078E-2</v>
      </c>
      <c r="V46" s="76">
        <f t="shared" si="10"/>
        <v>0.52669210101220976</v>
      </c>
      <c r="W46" s="76">
        <f t="shared" si="11"/>
        <v>0.81531820927568921</v>
      </c>
      <c r="X46" s="162">
        <f t="shared" si="12"/>
        <v>1.6992424855456041</v>
      </c>
      <c r="AS46" s="42"/>
      <c r="AT46" s="42"/>
    </row>
    <row r="47" spans="1:46" ht="12.4" customHeight="1" x14ac:dyDescent="0.2">
      <c r="A47" s="49">
        <f>'Raw Data'!A47</f>
        <v>20.261240005493164</v>
      </c>
      <c r="B47" s="69">
        <f>'Raw Data'!E47</f>
        <v>2.7017745801188511E-2</v>
      </c>
      <c r="C47" s="69">
        <f t="shared" si="1"/>
        <v>0.97298225419881146</v>
      </c>
      <c r="D47" s="23">
        <f t="shared" si="2"/>
        <v>1.1148686485208045E-2</v>
      </c>
      <c r="E47" s="15">
        <f>(2*Table!$AC$16*0.147)/A47</f>
        <v>5.3910953680387221</v>
      </c>
      <c r="F47" s="15">
        <f t="shared" si="3"/>
        <v>10.782190736077444</v>
      </c>
      <c r="G47" s="49">
        <f>IF((('Raw Data'!C47)/('Raw Data'!C$136)*100)&lt;0,0,('Raw Data'!C47)/('Raw Data'!C$136)*100)</f>
        <v>2.7017745801188511</v>
      </c>
      <c r="H47" s="49">
        <f t="shared" si="4"/>
        <v>1.1148686485208046</v>
      </c>
      <c r="I47" s="31">
        <f t="shared" si="5"/>
        <v>4.0404416791096187E-2</v>
      </c>
      <c r="J47" s="15">
        <f>'Raw Data'!F47/I47</f>
        <v>0.27592742008504506</v>
      </c>
      <c r="K47" s="78">
        <f t="shared" si="6"/>
        <v>0.11070155066896559</v>
      </c>
      <c r="L47" s="49">
        <f>A47*Table!$AC$9/$AC$16</f>
        <v>3.8174060362591939</v>
      </c>
      <c r="M47" s="49">
        <f>A47*Table!$AD$9/$AC$16</f>
        <v>1.3088249267174379</v>
      </c>
      <c r="N47" s="49">
        <f>ABS(A47*Table!$AE$9/$AC$16)</f>
        <v>1.6529853019802612</v>
      </c>
      <c r="O47" s="49">
        <f>($L47*(Table!$AC$10/Table!$AC$9)/(Table!$AC$12-Table!$AC$14))</f>
        <v>8.1883441361201097</v>
      </c>
      <c r="P47" s="49">
        <f>$N47*(Table!$AE$10/Table!$AE$9)/(Table!$AC$12-Table!$AC$13)</f>
        <v>13.571307898031698</v>
      </c>
      <c r="Q47" s="49">
        <f>'Raw Data'!C47</f>
        <v>2.9919105198816395E-2</v>
      </c>
      <c r="R47" s="49">
        <f>'Raw Data'!C47/'Raw Data'!I$23*100</f>
        <v>0.62311842941437789</v>
      </c>
      <c r="S47" s="99">
        <f t="shared" si="7"/>
        <v>0.23572562508268297</v>
      </c>
      <c r="T47" s="99">
        <f t="shared" si="8"/>
        <v>0.815854513110845</v>
      </c>
      <c r="U47" s="76">
        <f t="shared" si="9"/>
        <v>3.0754209971622662E-2</v>
      </c>
      <c r="V47" s="76">
        <f t="shared" si="10"/>
        <v>1.1066735551533879</v>
      </c>
      <c r="W47" s="76">
        <f t="shared" si="11"/>
        <v>0.85638852242224739</v>
      </c>
      <c r="X47" s="162">
        <f t="shared" si="12"/>
        <v>2.5556310079678513</v>
      </c>
      <c r="AS47" s="42"/>
      <c r="AT47" s="42"/>
    </row>
    <row r="48" spans="1:46" ht="12.4" customHeight="1" x14ac:dyDescent="0.2">
      <c r="A48" s="49">
        <f>'Raw Data'!A48</f>
        <v>22.154106140136719</v>
      </c>
      <c r="B48" s="69">
        <f>'Raw Data'!E48</f>
        <v>3.9650760280741611E-2</v>
      </c>
      <c r="C48" s="69">
        <f t="shared" si="1"/>
        <v>0.96034923971925834</v>
      </c>
      <c r="D48" s="23">
        <f t="shared" si="2"/>
        <v>1.26330144795531E-2</v>
      </c>
      <c r="E48" s="15">
        <f>(2*Table!$AC$16*0.147)/A48</f>
        <v>4.9304754817637146</v>
      </c>
      <c r="F48" s="15">
        <f t="shared" si="3"/>
        <v>9.8609509635274293</v>
      </c>
      <c r="G48" s="49">
        <f>IF((('Raw Data'!C48)/('Raw Data'!C$136)*100)&lt;0,0,('Raw Data'!C48)/('Raw Data'!C$136)*100)</f>
        <v>3.965076028074161</v>
      </c>
      <c r="H48" s="49">
        <f t="shared" si="4"/>
        <v>1.26330144795531</v>
      </c>
      <c r="I48" s="31">
        <f t="shared" si="5"/>
        <v>3.8788211044751719E-2</v>
      </c>
      <c r="J48" s="15">
        <f>'Raw Data'!F48/I48</f>
        <v>0.32569211467313658</v>
      </c>
      <c r="K48" s="78">
        <f t="shared" si="6"/>
        <v>0.12104362332873377</v>
      </c>
      <c r="L48" s="49">
        <f>A48*Table!$AC$9/$AC$16</f>
        <v>4.1740396187181092</v>
      </c>
      <c r="M48" s="49">
        <f>A48*Table!$AD$9/$AC$16</f>
        <v>1.4310992978462087</v>
      </c>
      <c r="N48" s="49">
        <f>ABS(A48*Table!$AE$9/$AC$16)</f>
        <v>1.8074121731062973</v>
      </c>
      <c r="O48" s="49">
        <f>($L48*(Table!$AC$10/Table!$AC$9)/(Table!$AC$12-Table!$AC$14))</f>
        <v>8.9533239354742804</v>
      </c>
      <c r="P48" s="49">
        <f>$N48*(Table!$AE$10/Table!$AE$9)/(Table!$AC$12-Table!$AC$13)</f>
        <v>14.839180403171568</v>
      </c>
      <c r="Q48" s="49">
        <f>'Raw Data'!C48</f>
        <v>4.3908743415609928E-2</v>
      </c>
      <c r="R48" s="49">
        <f>'Raw Data'!C48/'Raw Data'!I$23*100</f>
        <v>0.9144774568918641</v>
      </c>
      <c r="S48" s="99">
        <f t="shared" si="7"/>
        <v>0.26710996302769102</v>
      </c>
      <c r="T48" s="99">
        <f t="shared" si="8"/>
        <v>0.75737003244401802</v>
      </c>
      <c r="U48" s="76">
        <f t="shared" si="9"/>
        <v>4.1278011900245444E-2</v>
      </c>
      <c r="V48" s="76">
        <f t="shared" si="10"/>
        <v>1.8203434649015231</v>
      </c>
      <c r="W48" s="76">
        <f t="shared" si="11"/>
        <v>0.81166665988946263</v>
      </c>
      <c r="X48" s="162">
        <f t="shared" si="12"/>
        <v>3.3672976678573141</v>
      </c>
      <c r="AS48" s="42"/>
      <c r="AT48" s="42"/>
    </row>
    <row r="49" spans="1:46" ht="12.4" customHeight="1" x14ac:dyDescent="0.2">
      <c r="A49" s="49">
        <f>'Raw Data'!A49</f>
        <v>24.297954559326172</v>
      </c>
      <c r="B49" s="69">
        <f>'Raw Data'!E49</f>
        <v>6.1679214162009284E-2</v>
      </c>
      <c r="C49" s="69">
        <f t="shared" si="1"/>
        <v>0.93832078583799072</v>
      </c>
      <c r="D49" s="23">
        <f t="shared" si="2"/>
        <v>2.2028453881267673E-2</v>
      </c>
      <c r="E49" s="15">
        <f>(2*Table!$AC$16*0.147)/A49</f>
        <v>4.4954515359569509</v>
      </c>
      <c r="F49" s="15">
        <f t="shared" si="3"/>
        <v>8.9909030719139018</v>
      </c>
      <c r="G49" s="49">
        <f>IF((('Raw Data'!C49)/('Raw Data'!C$136)*100)&lt;0,0,('Raw Data'!C49)/('Raw Data'!C$136)*100)</f>
        <v>6.1679214162009286</v>
      </c>
      <c r="H49" s="49">
        <f t="shared" si="4"/>
        <v>2.2028453881267676</v>
      </c>
      <c r="I49" s="31">
        <f t="shared" si="5"/>
        <v>4.0115483450978373E-2</v>
      </c>
      <c r="J49" s="15">
        <f>'Raw Data'!F49/I49</f>
        <v>0.54912597297217469</v>
      </c>
      <c r="K49" s="78">
        <f t="shared" si="6"/>
        <v>0.13275699054313625</v>
      </c>
      <c r="L49" s="49">
        <f>A49*Table!$AC$9/$AC$16</f>
        <v>4.577960597593032</v>
      </c>
      <c r="M49" s="49">
        <f>A49*Table!$AD$9/$AC$16</f>
        <v>1.5695864906033252</v>
      </c>
      <c r="N49" s="49">
        <f>ABS(A49*Table!$AE$9/$AC$16)</f>
        <v>1.9823150875198778</v>
      </c>
      <c r="O49" s="49">
        <f>($L49*(Table!$AC$10/Table!$AC$9)/(Table!$AC$12-Table!$AC$14))</f>
        <v>9.8197353015723561</v>
      </c>
      <c r="P49" s="49">
        <f>$N49*(Table!$AE$10/Table!$AE$9)/(Table!$AC$12-Table!$AC$13)</f>
        <v>16.275164922166478</v>
      </c>
      <c r="Q49" s="49">
        <f>'Raw Data'!C49</f>
        <v>6.830277072975878E-2</v>
      </c>
      <c r="R49" s="49">
        <f>'Raw Data'!C49/'Raw Data'!I$23*100</f>
        <v>1.4225263402416641</v>
      </c>
      <c r="S49" s="99">
        <f t="shared" si="7"/>
        <v>0.46576527805822282</v>
      </c>
      <c r="T49" s="99">
        <f t="shared" si="8"/>
        <v>0.67259134407364418</v>
      </c>
      <c r="U49" s="76">
        <f t="shared" si="9"/>
        <v>5.854510661662516E-2</v>
      </c>
      <c r="V49" s="76">
        <f t="shared" si="10"/>
        <v>3.2869984733306983</v>
      </c>
      <c r="W49" s="76">
        <f t="shared" si="11"/>
        <v>1.1765862333872432</v>
      </c>
      <c r="X49" s="162">
        <f t="shared" si="12"/>
        <v>4.5438839012445573</v>
      </c>
      <c r="AS49" s="42"/>
      <c r="AT49" s="42"/>
    </row>
    <row r="50" spans="1:46" ht="12.4" customHeight="1" x14ac:dyDescent="0.2">
      <c r="A50" s="49">
        <f>'Raw Data'!A50</f>
        <v>26.598430633544922</v>
      </c>
      <c r="B50" s="69">
        <f>'Raw Data'!E50</f>
        <v>0.10897439677653216</v>
      </c>
      <c r="C50" s="69">
        <f t="shared" si="1"/>
        <v>0.8910256032234678</v>
      </c>
      <c r="D50" s="23">
        <f t="shared" si="2"/>
        <v>4.7295182614522875E-2</v>
      </c>
      <c r="E50" s="15">
        <f>(2*Table!$AC$16*0.147)/A50</f>
        <v>4.1066436832020461</v>
      </c>
      <c r="F50" s="15">
        <f t="shared" si="3"/>
        <v>8.2132873664040922</v>
      </c>
      <c r="G50" s="49">
        <f>IF((('Raw Data'!C50)/('Raw Data'!C$136)*100)&lt;0,0,('Raw Data'!C50)/('Raw Data'!C$136)*100)</f>
        <v>10.897439677653216</v>
      </c>
      <c r="H50" s="49">
        <f t="shared" si="4"/>
        <v>4.729518261452287</v>
      </c>
      <c r="I50" s="31">
        <f t="shared" si="5"/>
        <v>3.9286297515423563E-2</v>
      </c>
      <c r="J50" s="15">
        <f>'Raw Data'!F50/I50</f>
        <v>1.2038595033282298</v>
      </c>
      <c r="K50" s="78">
        <f t="shared" si="6"/>
        <v>0.14532612592793132</v>
      </c>
      <c r="L50" s="49">
        <f>A50*Table!$AC$9/$AC$16</f>
        <v>5.0113916832329828</v>
      </c>
      <c r="M50" s="49">
        <f>A50*Table!$AD$9/$AC$16</f>
        <v>1.7181914342513085</v>
      </c>
      <c r="N50" s="49">
        <f>ABS(A50*Table!$AE$9/$AC$16)</f>
        <v>2.1699962529969112</v>
      </c>
      <c r="O50" s="49">
        <f>($L50*(Table!$AC$10/Table!$AC$9)/(Table!$AC$12-Table!$AC$14))</f>
        <v>10.749445909980659</v>
      </c>
      <c r="P50" s="49">
        <f>$N50*(Table!$AE$10/Table!$AE$9)/(Table!$AC$12-Table!$AC$13)</f>
        <v>17.816061190450828</v>
      </c>
      <c r="Q50" s="49">
        <f>'Raw Data'!C50</f>
        <v>0.12067684939841274</v>
      </c>
      <c r="R50" s="49">
        <f>'Raw Data'!C50/'Raw Data'!I$23*100</f>
        <v>2.5133094176489319</v>
      </c>
      <c r="S50" s="99">
        <f t="shared" si="7"/>
        <v>1</v>
      </c>
      <c r="T50" s="99">
        <f t="shared" si="8"/>
        <v>0.52069511629690934</v>
      </c>
      <c r="U50" s="76">
        <f t="shared" si="9"/>
        <v>9.4490891296392585E-2</v>
      </c>
      <c r="V50" s="76">
        <f t="shared" si="10"/>
        <v>7.3851155292585187</v>
      </c>
      <c r="W50" s="76">
        <f t="shared" si="11"/>
        <v>2.1080652925979084</v>
      </c>
      <c r="X50" s="162">
        <f t="shared" si="12"/>
        <v>6.6519491938424657</v>
      </c>
      <c r="AS50" s="42"/>
      <c r="AT50" s="42"/>
    </row>
    <row r="51" spans="1:46" ht="12.4" customHeight="1" x14ac:dyDescent="0.2">
      <c r="A51" s="49">
        <f>'Raw Data'!A51</f>
        <v>28.984798431396484</v>
      </c>
      <c r="B51" s="69">
        <f>'Raw Data'!E51</f>
        <v>0.15366457544601606</v>
      </c>
      <c r="C51" s="69">
        <f t="shared" si="1"/>
        <v>0.84633542455398392</v>
      </c>
      <c r="D51" s="23">
        <f t="shared" si="2"/>
        <v>4.4690178669483896E-2</v>
      </c>
      <c r="E51" s="15">
        <f>(2*Table!$AC$16*0.147)/A51</f>
        <v>3.7685367177166995</v>
      </c>
      <c r="F51" s="15">
        <f t="shared" si="3"/>
        <v>7.537073435433399</v>
      </c>
      <c r="G51" s="49">
        <f>IF((('Raw Data'!C51)/('Raw Data'!C$136)*100)&lt;0,0,('Raw Data'!C51)/('Raw Data'!C$136)*100)</f>
        <v>15.366457544601605</v>
      </c>
      <c r="H51" s="49">
        <f t="shared" si="4"/>
        <v>4.4690178669483895</v>
      </c>
      <c r="I51" s="31">
        <f t="shared" si="5"/>
        <v>3.7314271460442527E-2</v>
      </c>
      <c r="J51" s="15">
        <f>'Raw Data'!F51/I51</f>
        <v>1.1976698705443221</v>
      </c>
      <c r="K51" s="78">
        <f t="shared" si="6"/>
        <v>0.15836454882885101</v>
      </c>
      <c r="L51" s="49">
        <f>A51*Table!$AC$9/$AC$16</f>
        <v>5.4610055683546888</v>
      </c>
      <c r="M51" s="49">
        <f>A51*Table!$AD$9/$AC$16</f>
        <v>1.8723447662930361</v>
      </c>
      <c r="N51" s="49">
        <f>ABS(A51*Table!$AE$9/$AC$16)</f>
        <v>2.3646847762017189</v>
      </c>
      <c r="O51" s="49">
        <f>($L51*(Table!$AC$10/Table!$AC$9)/(Table!$AC$12-Table!$AC$14))</f>
        <v>11.713868657989467</v>
      </c>
      <c r="P51" s="49">
        <f>$N51*(Table!$AE$10/Table!$AE$9)/(Table!$AC$12-Table!$AC$13)</f>
        <v>19.414489131376996</v>
      </c>
      <c r="Q51" s="49">
        <f>'Raw Data'!C51</f>
        <v>0.17016618010739329</v>
      </c>
      <c r="R51" s="49">
        <f>'Raw Data'!C51/'Raw Data'!I$23*100</f>
        <v>3.5440125024914773</v>
      </c>
      <c r="S51" s="99">
        <f t="shared" si="7"/>
        <v>0.94492031109656682</v>
      </c>
      <c r="T51" s="99">
        <f t="shared" si="8"/>
        <v>0.39982647783440284</v>
      </c>
      <c r="U51" s="76">
        <f t="shared" si="9"/>
        <v>0.12227142137557818</v>
      </c>
      <c r="V51" s="76">
        <f t="shared" si="10"/>
        <v>11.419297944188141</v>
      </c>
      <c r="W51" s="76">
        <f t="shared" si="11"/>
        <v>1.6774543083511722</v>
      </c>
      <c r="X51" s="162">
        <f t="shared" si="12"/>
        <v>8.3294035021936388</v>
      </c>
      <c r="AS51" s="42"/>
      <c r="AT51" s="42"/>
    </row>
    <row r="52" spans="1:46" ht="12.4" customHeight="1" x14ac:dyDescent="0.2">
      <c r="A52" s="49">
        <f>'Raw Data'!A52</f>
        <v>30.067842483520508</v>
      </c>
      <c r="B52" s="69">
        <f>'Raw Data'!E52</f>
        <v>0.19631529574318185</v>
      </c>
      <c r="C52" s="69">
        <f t="shared" si="1"/>
        <v>0.80368470425681815</v>
      </c>
      <c r="D52" s="23">
        <f t="shared" si="2"/>
        <v>4.2650720297165795E-2</v>
      </c>
      <c r="E52" s="15">
        <f>(2*Table!$AC$16*0.147)/A52</f>
        <v>3.6327939792887252</v>
      </c>
      <c r="F52" s="15">
        <f t="shared" si="3"/>
        <v>7.2655879585774503</v>
      </c>
      <c r="G52" s="49">
        <f>IF((('Raw Data'!C52)/('Raw Data'!C$136)*100)&lt;0,0,('Raw Data'!C52)/('Raw Data'!C$136)*100)</f>
        <v>19.631529574318186</v>
      </c>
      <c r="H52" s="49">
        <f t="shared" si="4"/>
        <v>4.2650720297165812</v>
      </c>
      <c r="I52" s="31">
        <f t="shared" si="5"/>
        <v>1.5931981931585515E-2</v>
      </c>
      <c r="J52" s="15">
        <f>'Raw Data'!F52/I52</f>
        <v>2.6770505063534986</v>
      </c>
      <c r="K52" s="78">
        <f t="shared" si="6"/>
        <v>0.16428198803693622</v>
      </c>
      <c r="L52" s="49">
        <f>A52*Table!$AC$9/$AC$16</f>
        <v>5.665061139533548</v>
      </c>
      <c r="M52" s="49">
        <f>A52*Table!$AD$9/$AC$16</f>
        <v>1.9423066764115022</v>
      </c>
      <c r="N52" s="49">
        <f>ABS(A52*Table!$AE$9/$AC$16)</f>
        <v>2.4530434304140369</v>
      </c>
      <c r="O52" s="49">
        <f>($L52*(Table!$AC$10/Table!$AC$9)/(Table!$AC$12-Table!$AC$14))</f>
        <v>12.151568295867758</v>
      </c>
      <c r="P52" s="49">
        <f>$N52*(Table!$AE$10/Table!$AE$9)/(Table!$AC$12-Table!$AC$13)</f>
        <v>20.139929642151365</v>
      </c>
      <c r="Q52" s="49">
        <f>'Raw Data'!C52</f>
        <v>0.21739704077083408</v>
      </c>
      <c r="R52" s="49">
        <f>'Raw Data'!C52/'Raw Data'!I$23*100</f>
        <v>4.527678943079307</v>
      </c>
      <c r="S52" s="99">
        <f t="shared" si="7"/>
        <v>0.90179840608267547</v>
      </c>
      <c r="T52" s="99">
        <f t="shared" si="8"/>
        <v>0.29263409005663898</v>
      </c>
      <c r="U52" s="76">
        <f t="shared" si="9"/>
        <v>0.15058210264207761</v>
      </c>
      <c r="V52" s="76">
        <f t="shared" si="10"/>
        <v>16.240060489137726</v>
      </c>
      <c r="W52" s="76">
        <f t="shared" si="11"/>
        <v>1.4876508496125467</v>
      </c>
      <c r="X52" s="162">
        <f t="shared" si="12"/>
        <v>9.8170543518061848</v>
      </c>
      <c r="AS52" s="42"/>
      <c r="AT52" s="42"/>
    </row>
    <row r="53" spans="1:46" ht="12.4" customHeight="1" x14ac:dyDescent="0.2">
      <c r="A53" s="49">
        <f>'Raw Data'!A53</f>
        <v>33.794597625732422</v>
      </c>
      <c r="B53" s="69">
        <f>'Raw Data'!E53</f>
        <v>0.23510019791800249</v>
      </c>
      <c r="C53" s="69">
        <f t="shared" si="1"/>
        <v>0.76489980208199748</v>
      </c>
      <c r="D53" s="23">
        <f t="shared" si="2"/>
        <v>3.878490217482064E-2</v>
      </c>
      <c r="E53" s="15">
        <f>(2*Table!$AC$16*0.147)/A53</f>
        <v>3.2321816153586389</v>
      </c>
      <c r="F53" s="15">
        <f t="shared" si="3"/>
        <v>6.4643632307172778</v>
      </c>
      <c r="G53" s="49">
        <f>IF((('Raw Data'!C53)/('Raw Data'!C$136)*100)&lt;0,0,('Raw Data'!C53)/('Raw Data'!C$136)*100)</f>
        <v>23.51001979180025</v>
      </c>
      <c r="H53" s="49">
        <f t="shared" si="4"/>
        <v>3.8784902174820637</v>
      </c>
      <c r="I53" s="31">
        <f t="shared" si="5"/>
        <v>5.0745013456840127E-2</v>
      </c>
      <c r="J53" s="15">
        <f>'Raw Data'!F53/I53</f>
        <v>0.76430962438916583</v>
      </c>
      <c r="K53" s="78">
        <f t="shared" si="6"/>
        <v>0.18464389940536921</v>
      </c>
      <c r="L53" s="49">
        <f>A53*Table!$AC$9/$AC$16</f>
        <v>6.3672164652531338</v>
      </c>
      <c r="M53" s="49">
        <f>A53*Table!$AD$9/$AC$16</f>
        <v>2.1830456452296461</v>
      </c>
      <c r="N53" s="49">
        <f>ABS(A53*Table!$AE$9/$AC$16)</f>
        <v>2.7570856051518859</v>
      </c>
      <c r="O53" s="49">
        <f>($L53*(Table!$AC$10/Table!$AC$9)/(Table!$AC$12-Table!$AC$14))</f>
        <v>13.65769297566095</v>
      </c>
      <c r="P53" s="49">
        <f>$N53*(Table!$AE$10/Table!$AE$9)/(Table!$AC$12-Table!$AC$13)</f>
        <v>22.636170814054889</v>
      </c>
      <c r="Q53" s="49">
        <f>'Raw Data'!C53</f>
        <v>0.26034694402453984</v>
      </c>
      <c r="R53" s="49">
        <f>'Raw Data'!C53/'Raw Data'!I$23*100</f>
        <v>5.4221868530286779</v>
      </c>
      <c r="S53" s="99">
        <f t="shared" si="7"/>
        <v>0.82006031123582146</v>
      </c>
      <c r="T53" s="99">
        <f t="shared" si="8"/>
        <v>0.21547088670639247</v>
      </c>
      <c r="U53" s="76">
        <f t="shared" si="9"/>
        <v>0.16044537393456135</v>
      </c>
      <c r="V53" s="76">
        <f t="shared" si="10"/>
        <v>18.07928248040843</v>
      </c>
      <c r="W53" s="76">
        <f t="shared" si="11"/>
        <v>1.0708960533728542</v>
      </c>
      <c r="X53" s="162">
        <f t="shared" si="12"/>
        <v>10.887950405179039</v>
      </c>
      <c r="Z53" s="69"/>
      <c r="AS53" s="42"/>
      <c r="AT53" s="42"/>
    </row>
    <row r="54" spans="1:46" ht="12.4" customHeight="1" x14ac:dyDescent="0.2">
      <c r="A54" s="49">
        <f>'Raw Data'!A54</f>
        <v>37.1572265625</v>
      </c>
      <c r="B54" s="69">
        <f>'Raw Data'!E54</f>
        <v>0.27023866812244357</v>
      </c>
      <c r="C54" s="69">
        <f t="shared" si="1"/>
        <v>0.72976133187755643</v>
      </c>
      <c r="D54" s="23">
        <f t="shared" si="2"/>
        <v>3.513847020444108E-2</v>
      </c>
      <c r="E54" s="15">
        <f>(2*Table!$AC$16*0.147)/A54</f>
        <v>2.939677883671032</v>
      </c>
      <c r="F54" s="15">
        <f t="shared" si="3"/>
        <v>5.879355767342064</v>
      </c>
      <c r="G54" s="49">
        <f>IF((('Raw Data'!C54)/('Raw Data'!C$136)*100)&lt;0,0,('Raw Data'!C54)/('Raw Data'!C$136)*100)</f>
        <v>27.023866812244357</v>
      </c>
      <c r="H54" s="49">
        <f t="shared" si="4"/>
        <v>3.513847020444107</v>
      </c>
      <c r="I54" s="31">
        <f t="shared" si="5"/>
        <v>4.1196010635475344E-2</v>
      </c>
      <c r="J54" s="15">
        <f>'Raw Data'!F54/I54</f>
        <v>0.85295808167847442</v>
      </c>
      <c r="K54" s="78">
        <f t="shared" si="6"/>
        <v>0.2030163305854738</v>
      </c>
      <c r="L54" s="49">
        <f>A54*Table!$AC$9/$AC$16</f>
        <v>7.0007670276785428</v>
      </c>
      <c r="M54" s="49">
        <f>A54*Table!$AD$9/$AC$16</f>
        <v>2.4002629809183573</v>
      </c>
      <c r="N54" s="49">
        <f>ABS(A54*Table!$AE$9/$AC$16)</f>
        <v>3.0314210459730475</v>
      </c>
      <c r="O54" s="49">
        <f>($L54*(Table!$AC$10/Table!$AC$9)/(Table!$AC$12-Table!$AC$14))</f>
        <v>15.016660291030767</v>
      </c>
      <c r="P54" s="49">
        <f>$N54*(Table!$AE$10/Table!$AE$9)/(Table!$AC$12-Table!$AC$13)</f>
        <v>24.888514334754078</v>
      </c>
      <c r="Q54" s="49">
        <f>'Raw Data'!C54</f>
        <v>0.29925883527957936</v>
      </c>
      <c r="R54" s="49">
        <f>'Raw Data'!C54/'Raw Data'!I$23*100</f>
        <v>6.232596001405966</v>
      </c>
      <c r="S54" s="99">
        <f t="shared" si="7"/>
        <v>0.74296087385549392</v>
      </c>
      <c r="T54" s="99">
        <f t="shared" si="8"/>
        <v>0.15764285945428869</v>
      </c>
      <c r="U54" s="76">
        <f t="shared" si="9"/>
        <v>0.1677357698083973</v>
      </c>
      <c r="V54" s="76">
        <f t="shared" si="10"/>
        <v>19.490138757105026</v>
      </c>
      <c r="W54" s="76">
        <f t="shared" si="11"/>
        <v>0.80255618571877041</v>
      </c>
      <c r="X54" s="162">
        <f t="shared" si="12"/>
        <v>11.69050659089781</v>
      </c>
      <c r="Z54" s="69"/>
      <c r="AS54" s="42"/>
      <c r="AT54" s="42"/>
    </row>
    <row r="55" spans="1:46" ht="12.4" customHeight="1" x14ac:dyDescent="0.2">
      <c r="A55" s="49">
        <f>'Raw Data'!A55</f>
        <v>41.041534423828125</v>
      </c>
      <c r="B55" s="69">
        <f>'Raw Data'!E55</f>
        <v>0.30239589178304666</v>
      </c>
      <c r="C55" s="69">
        <f t="shared" si="1"/>
        <v>0.69760410821695329</v>
      </c>
      <c r="D55" s="23">
        <f t="shared" si="2"/>
        <v>3.2157223660603085E-2</v>
      </c>
      <c r="E55" s="15">
        <f>(2*Table!$AC$16*0.147)/A55</f>
        <v>2.6614569527624075</v>
      </c>
      <c r="F55" s="15">
        <f t="shared" si="3"/>
        <v>5.3229139055248149</v>
      </c>
      <c r="G55" s="49">
        <f>IF((('Raw Data'!C55)/('Raw Data'!C$136)*100)&lt;0,0,('Raw Data'!C55)/('Raw Data'!C$136)*100)</f>
        <v>30.239589178304666</v>
      </c>
      <c r="H55" s="49">
        <f t="shared" si="4"/>
        <v>3.2157223660603087</v>
      </c>
      <c r="I55" s="31">
        <f t="shared" si="5"/>
        <v>4.3180298884437418E-2</v>
      </c>
      <c r="J55" s="15">
        <f>'Raw Data'!F55/I55</f>
        <v>0.74471980258091375</v>
      </c>
      <c r="K55" s="78">
        <f t="shared" si="6"/>
        <v>0.22423906440670574</v>
      </c>
      <c r="L55" s="49">
        <f>A55*Table!$AC$9/$AC$16</f>
        <v>7.7326067508397562</v>
      </c>
      <c r="M55" s="49">
        <f>A55*Table!$AD$9/$AC$16</f>
        <v>2.6511794574307737</v>
      </c>
      <c r="N55" s="49">
        <f>ABS(A55*Table!$AE$9/$AC$16)</f>
        <v>3.3483169418511385</v>
      </c>
      <c r="O55" s="49">
        <f>($L55*(Table!$AC$10/Table!$AC$9)/(Table!$AC$12-Table!$AC$14))</f>
        <v>16.586458067009346</v>
      </c>
      <c r="P55" s="49">
        <f>$N55*(Table!$AE$10/Table!$AE$9)/(Table!$AC$12-Table!$AC$13)</f>
        <v>27.490286878909174</v>
      </c>
      <c r="Q55" s="49">
        <f>'Raw Data'!C55</f>
        <v>0.33486933234633048</v>
      </c>
      <c r="R55" s="49">
        <f>'Raw Data'!C55/'Raw Data'!I$23*100</f>
        <v>6.9742477605560724</v>
      </c>
      <c r="S55" s="99">
        <f t="shared" si="7"/>
        <v>0.67992598575417285</v>
      </c>
      <c r="T55" s="99">
        <f t="shared" si="8"/>
        <v>0.11426446481501107</v>
      </c>
      <c r="U55" s="76">
        <f t="shared" si="9"/>
        <v>0.16993145744830934</v>
      </c>
      <c r="V55" s="76">
        <f t="shared" si="10"/>
        <v>19.923510427393396</v>
      </c>
      <c r="W55" s="76">
        <f t="shared" si="11"/>
        <v>0.60201948083981704</v>
      </c>
      <c r="X55" s="162">
        <f t="shared" si="12"/>
        <v>12.292526071737626</v>
      </c>
      <c r="Z55" s="69"/>
      <c r="AS55" s="42"/>
      <c r="AT55" s="42"/>
    </row>
    <row r="56" spans="1:46" ht="12.4" customHeight="1" x14ac:dyDescent="0.2">
      <c r="A56" s="49">
        <f>'Raw Data'!A56</f>
        <v>44.37725830078125</v>
      </c>
      <c r="B56" s="69">
        <f>'Raw Data'!E56</f>
        <v>0.32947779349566475</v>
      </c>
      <c r="C56" s="69">
        <f t="shared" si="1"/>
        <v>0.67052220650433525</v>
      </c>
      <c r="D56" s="23">
        <f t="shared" si="2"/>
        <v>2.7081901712618095E-2</v>
      </c>
      <c r="E56" s="15">
        <f>(2*Table!$AC$16*0.147)/A56</f>
        <v>2.4614021083499895</v>
      </c>
      <c r="F56" s="15">
        <f t="shared" si="3"/>
        <v>4.922804216699979</v>
      </c>
      <c r="G56" s="49">
        <f>IF((('Raw Data'!C56)/('Raw Data'!C$136)*100)&lt;0,0,('Raw Data'!C56)/('Raw Data'!C$136)*100)</f>
        <v>32.947779349566474</v>
      </c>
      <c r="H56" s="49">
        <f t="shared" si="4"/>
        <v>2.7081901712618084</v>
      </c>
      <c r="I56" s="31">
        <f t="shared" si="5"/>
        <v>3.393687788790728E-2</v>
      </c>
      <c r="J56" s="15">
        <f>'Raw Data'!F56/I56</f>
        <v>0.79800804900406541</v>
      </c>
      <c r="K56" s="78">
        <f t="shared" si="6"/>
        <v>0.24246449412779333</v>
      </c>
      <c r="L56" s="49">
        <f>A56*Table!$AC$9/$AC$16</f>
        <v>8.3610881497927529</v>
      </c>
      <c r="M56" s="49">
        <f>A56*Table!$AD$9/$AC$16</f>
        <v>2.8666587942146582</v>
      </c>
      <c r="N56" s="49">
        <f>ABS(A56*Table!$AE$9/$AC$16)</f>
        <v>3.6204573705007776</v>
      </c>
      <c r="O56" s="49">
        <f>($L56*(Table!$AC$10/Table!$AC$9)/(Table!$AC$12-Table!$AC$14))</f>
        <v>17.934552015857474</v>
      </c>
      <c r="P56" s="49">
        <f>$N56*(Table!$AE$10/Table!$AE$9)/(Table!$AC$12-Table!$AC$13)</f>
        <v>29.724608953208346</v>
      </c>
      <c r="Q56" s="49">
        <f>'Raw Data'!C56</f>
        <v>0.36485948297866722</v>
      </c>
      <c r="R56" s="49">
        <f>'Raw Data'!C56/'Raw Data'!I$23*100</f>
        <v>7.5988458371276115</v>
      </c>
      <c r="S56" s="99">
        <f t="shared" si="7"/>
        <v>0.57261438090529937</v>
      </c>
      <c r="T56" s="99">
        <f t="shared" si="8"/>
        <v>8.3018040140958593E-2</v>
      </c>
      <c r="U56" s="76">
        <f t="shared" si="9"/>
        <v>0.17123288206819742</v>
      </c>
      <c r="V56" s="76">
        <f t="shared" si="10"/>
        <v>20.182213411296051</v>
      </c>
      <c r="W56" s="76">
        <f t="shared" si="11"/>
        <v>0.43364805260314693</v>
      </c>
      <c r="X56" s="162">
        <f t="shared" si="12"/>
        <v>12.726174124340773</v>
      </c>
      <c r="Z56" s="69"/>
      <c r="AS56" s="42"/>
      <c r="AT56" s="42"/>
    </row>
    <row r="57" spans="1:46" ht="12.4" customHeight="1" x14ac:dyDescent="0.2">
      <c r="A57" s="49">
        <f>'Raw Data'!A57</f>
        <v>48.903038024902344</v>
      </c>
      <c r="B57" s="69">
        <f>'Raw Data'!E57</f>
        <v>0.35121304200849462</v>
      </c>
      <c r="C57" s="69">
        <f t="shared" si="1"/>
        <v>0.64878695799150532</v>
      </c>
      <c r="D57" s="23">
        <f t="shared" si="2"/>
        <v>2.1735248512829874E-2</v>
      </c>
      <c r="E57" s="15">
        <f>(2*Table!$AC$16*0.147)/A57</f>
        <v>2.2336092307539861</v>
      </c>
      <c r="F57" s="15">
        <f t="shared" si="3"/>
        <v>4.4672184615079722</v>
      </c>
      <c r="G57" s="49">
        <f>IF((('Raw Data'!C57)/('Raw Data'!C$136)*100)&lt;0,0,('Raw Data'!C57)/('Raw Data'!C$136)*100)</f>
        <v>35.121304200849465</v>
      </c>
      <c r="H57" s="49">
        <f t="shared" si="4"/>
        <v>2.1735248512829912</v>
      </c>
      <c r="I57" s="31">
        <f t="shared" si="5"/>
        <v>4.2175372523355181E-2</v>
      </c>
      <c r="J57" s="15">
        <f>'Raw Data'!F57/I57</f>
        <v>0.515354037496496</v>
      </c>
      <c r="K57" s="78">
        <f t="shared" si="6"/>
        <v>0.26719204452996692</v>
      </c>
      <c r="L57" s="49">
        <f>A57*Table!$AC$9/$AC$16</f>
        <v>9.2137871372661415</v>
      </c>
      <c r="M57" s="49">
        <f>A57*Table!$AD$9/$AC$16</f>
        <v>3.1590127327769628</v>
      </c>
      <c r="N57" s="49">
        <f>ABS(A57*Table!$AE$9/$AC$16)</f>
        <v>3.9896868629673889</v>
      </c>
      <c r="O57" s="49">
        <f>($L57*(Table!$AC$10/Table!$AC$9)/(Table!$AC$12-Table!$AC$14))</f>
        <v>19.763593173029051</v>
      </c>
      <c r="P57" s="49">
        <f>$N57*(Table!$AE$10/Table!$AE$9)/(Table!$AC$12-Table!$AC$13)</f>
        <v>32.756049778057374</v>
      </c>
      <c r="Q57" s="49">
        <f>'Raw Data'!C57</f>
        <v>0.38892881842815419</v>
      </c>
      <c r="R57" s="49">
        <f>'Raw Data'!C57/'Raw Data'!I$23*100</f>
        <v>8.1001324365318421</v>
      </c>
      <c r="S57" s="99">
        <f t="shared" si="7"/>
        <v>0.45956580165853206</v>
      </c>
      <c r="T57" s="99">
        <f t="shared" si="8"/>
        <v>6.2367327734493494E-2</v>
      </c>
      <c r="U57" s="76">
        <f t="shared" si="9"/>
        <v>0.16563658953881563</v>
      </c>
      <c r="V57" s="76">
        <f t="shared" si="10"/>
        <v>19.079463776803237</v>
      </c>
      <c r="W57" s="76">
        <f t="shared" si="11"/>
        <v>0.28659730875922329</v>
      </c>
      <c r="X57" s="162">
        <f t="shared" si="12"/>
        <v>13.012771433099996</v>
      </c>
      <c r="Z57" s="69"/>
      <c r="AS57" s="42"/>
      <c r="AT57" s="42"/>
    </row>
    <row r="58" spans="1:46" ht="12.4" customHeight="1" x14ac:dyDescent="0.2">
      <c r="A58" s="49">
        <f>'Raw Data'!A58</f>
        <v>53.485099792480469</v>
      </c>
      <c r="B58" s="69">
        <f>'Raw Data'!E58</f>
        <v>0.36904012599280223</v>
      </c>
      <c r="C58" s="69">
        <f t="shared" si="1"/>
        <v>0.63095987400719777</v>
      </c>
      <c r="D58" s="23">
        <f t="shared" si="2"/>
        <v>1.7827083984307601E-2</v>
      </c>
      <c r="E58" s="15">
        <f>(2*Table!$AC$16*0.147)/A58</f>
        <v>2.0422562090777263</v>
      </c>
      <c r="F58" s="15">
        <f t="shared" si="3"/>
        <v>4.0845124181554526</v>
      </c>
      <c r="G58" s="49">
        <f>IF((('Raw Data'!C58)/('Raw Data'!C$136)*100)&lt;0,0,('Raw Data'!C58)/('Raw Data'!C$136)*100)</f>
        <v>36.904012599280222</v>
      </c>
      <c r="H58" s="49">
        <f t="shared" si="4"/>
        <v>1.7827083984307563</v>
      </c>
      <c r="I58" s="31">
        <f t="shared" si="5"/>
        <v>3.8896970618967852E-2</v>
      </c>
      <c r="J58" s="15">
        <f>'Raw Data'!F58/I58</f>
        <v>0.45831548577241493</v>
      </c>
      <c r="K58" s="78">
        <f t="shared" si="6"/>
        <v>0.29222710372646027</v>
      </c>
      <c r="L58" s="49">
        <f>A58*Table!$AC$9/$AC$16</f>
        <v>10.077090185121206</v>
      </c>
      <c r="M58" s="49">
        <f>A58*Table!$AD$9/$AC$16</f>
        <v>3.4550023491844137</v>
      </c>
      <c r="N58" s="49">
        <f>ABS(A58*Table!$AE$9/$AC$16)</f>
        <v>4.3635080482708988</v>
      </c>
      <c r="O58" s="49">
        <f>($L58*(Table!$AC$10/Table!$AC$9)/(Table!$AC$12-Table!$AC$14))</f>
        <v>21.61538006246505</v>
      </c>
      <c r="P58" s="49">
        <f>$N58*(Table!$AE$10/Table!$AE$9)/(Table!$AC$12-Table!$AC$13)</f>
        <v>35.825189230467139</v>
      </c>
      <c r="Q58" s="49">
        <f>'Raw Data'!C58</f>
        <v>0.40867030260079645</v>
      </c>
      <c r="R58" s="49">
        <f>'Raw Data'!C58/'Raw Data'!I$23*100</f>
        <v>8.5112838573454663</v>
      </c>
      <c r="S58" s="99">
        <f t="shared" si="7"/>
        <v>0.376932342763245</v>
      </c>
      <c r="T58" s="99">
        <f t="shared" si="8"/>
        <v>4.820753821958379E-2</v>
      </c>
      <c r="U58" s="76">
        <f t="shared" si="9"/>
        <v>0.15913373800121575</v>
      </c>
      <c r="V58" s="76">
        <f t="shared" si="10"/>
        <v>17.830063286836292</v>
      </c>
      <c r="W58" s="76">
        <f t="shared" si="11"/>
        <v>0.19651416801968077</v>
      </c>
      <c r="X58" s="162">
        <f t="shared" si="12"/>
        <v>13.209285601119676</v>
      </c>
      <c r="Z58" s="69"/>
      <c r="AS58" s="42"/>
      <c r="AT58" s="42"/>
    </row>
    <row r="59" spans="1:46" ht="12.4" customHeight="1" x14ac:dyDescent="0.2">
      <c r="A59" s="49">
        <f>'Raw Data'!A59</f>
        <v>59.041698455810547</v>
      </c>
      <c r="B59" s="69">
        <f>'Raw Data'!E59</f>
        <v>0.38556628867090342</v>
      </c>
      <c r="C59" s="69">
        <f t="shared" si="1"/>
        <v>0.61443371132909652</v>
      </c>
      <c r="D59" s="23">
        <f t="shared" si="2"/>
        <v>1.6526162678101197E-2</v>
      </c>
      <c r="E59" s="15">
        <f>(2*Table!$AC$16*0.147)/A59</f>
        <v>1.8500530980843628</v>
      </c>
      <c r="F59" s="15">
        <f t="shared" si="3"/>
        <v>3.7001061961687256</v>
      </c>
      <c r="G59" s="49">
        <f>IF((('Raw Data'!C59)/('Raw Data'!C$136)*100)&lt;0,0,('Raw Data'!C59)/('Raw Data'!C$136)*100)</f>
        <v>38.556628867090339</v>
      </c>
      <c r="H59" s="49">
        <f t="shared" si="4"/>
        <v>1.6526162678101173</v>
      </c>
      <c r="I59" s="31">
        <f t="shared" si="5"/>
        <v>4.2926031920667129E-2</v>
      </c>
      <c r="J59" s="15">
        <f>'Raw Data'!F59/I59</f>
        <v>0.38499162253440261</v>
      </c>
      <c r="K59" s="78">
        <f t="shared" si="6"/>
        <v>0.32258675043658119</v>
      </c>
      <c r="L59" s="49">
        <f>A59*Table!$AC$9/$AC$16</f>
        <v>11.124005046833281</v>
      </c>
      <c r="M59" s="49">
        <f>A59*Table!$AD$9/$AC$16</f>
        <v>3.8139445874856959</v>
      </c>
      <c r="N59" s="49">
        <f>ABS(A59*Table!$AE$9/$AC$16)</f>
        <v>4.8168354811919629</v>
      </c>
      <c r="O59" s="49">
        <f>($L59*(Table!$AC$10/Table!$AC$9)/(Table!$AC$12-Table!$AC$14))</f>
        <v>23.861014686472075</v>
      </c>
      <c r="P59" s="49">
        <f>$N59*(Table!$AE$10/Table!$AE$9)/(Table!$AC$12-Table!$AC$13)</f>
        <v>39.547089336551409</v>
      </c>
      <c r="Q59" s="49">
        <f>'Raw Data'!C59</f>
        <v>0.42697116320320511</v>
      </c>
      <c r="R59" s="49">
        <f>'Raw Data'!C59/'Raw Data'!I$23*100</f>
        <v>8.892431737261191</v>
      </c>
      <c r="S59" s="99">
        <f t="shared" si="7"/>
        <v>0.34942591960785724</v>
      </c>
      <c r="T59" s="99">
        <f t="shared" si="8"/>
        <v>3.7435535688147281E-2</v>
      </c>
      <c r="U59" s="76">
        <f t="shared" si="9"/>
        <v>0.15061273591098814</v>
      </c>
      <c r="V59" s="76">
        <f t="shared" si="10"/>
        <v>16.2456475288643</v>
      </c>
      <c r="W59" s="76">
        <f t="shared" si="11"/>
        <v>0.14949735750960116</v>
      </c>
      <c r="X59" s="162">
        <f t="shared" si="12"/>
        <v>13.358782958629277</v>
      </c>
      <c r="Z59" s="69"/>
      <c r="AS59" s="42"/>
      <c r="AT59" s="42"/>
    </row>
    <row r="60" spans="1:46" ht="12.4" customHeight="1" x14ac:dyDescent="0.2">
      <c r="A60" s="49">
        <f>'Raw Data'!A60</f>
        <v>64.144638061523438</v>
      </c>
      <c r="B60" s="69">
        <f>'Raw Data'!E60</f>
        <v>0.39998427058449298</v>
      </c>
      <c r="C60" s="69">
        <f t="shared" si="1"/>
        <v>0.60001572941550707</v>
      </c>
      <c r="D60" s="23">
        <f t="shared" si="2"/>
        <v>1.4417981913589561E-2</v>
      </c>
      <c r="E60" s="15">
        <f>(2*Table!$AC$16*0.147)/A60</f>
        <v>1.7028746352823496</v>
      </c>
      <c r="F60" s="15">
        <f t="shared" si="3"/>
        <v>3.4057492705646992</v>
      </c>
      <c r="G60" s="49">
        <f>IF((('Raw Data'!C60)/('Raw Data'!C$136)*100)&lt;0,0,('Raw Data'!C60)/('Raw Data'!C$136)*100)</f>
        <v>39.998427058449302</v>
      </c>
      <c r="H60" s="49">
        <f t="shared" si="4"/>
        <v>1.4417981913589628</v>
      </c>
      <c r="I60" s="31">
        <f t="shared" si="5"/>
        <v>3.6001516587297472E-2</v>
      </c>
      <c r="J60" s="15">
        <f>'Raw Data'!F60/I60</f>
        <v>0.40048262629793502</v>
      </c>
      <c r="K60" s="78">
        <f t="shared" si="6"/>
        <v>0.35046773536984988</v>
      </c>
      <c r="L60" s="49">
        <f>A60*Table!$AC$9/$AC$16</f>
        <v>12.085446323291835</v>
      </c>
      <c r="M60" s="49">
        <f>A60*Table!$AD$9/$AC$16</f>
        <v>4.1435815965572012</v>
      </c>
      <c r="N60" s="49">
        <f>ABS(A60*Table!$AE$9/$AC$16)</f>
        <v>5.2331517660219857</v>
      </c>
      <c r="O60" s="49">
        <f>($L60*(Table!$AC$10/Table!$AC$9)/(Table!$AC$12-Table!$AC$14))</f>
        <v>25.923308286769277</v>
      </c>
      <c r="P60" s="49">
        <f>$N60*(Table!$AE$10/Table!$AE$9)/(Table!$AC$12-Table!$AC$13)</f>
        <v>42.965121231707592</v>
      </c>
      <c r="Q60" s="49">
        <f>'Raw Data'!C60</f>
        <v>0.44293745146432062</v>
      </c>
      <c r="R60" s="49">
        <f>'Raw Data'!C60/'Raw Data'!I$23*100</f>
        <v>9.2249580076403284</v>
      </c>
      <c r="S60" s="99">
        <f t="shared" si="7"/>
        <v>0.3048509619066837</v>
      </c>
      <c r="T60" s="99">
        <f t="shared" si="8"/>
        <v>2.9473467978330836E-2</v>
      </c>
      <c r="U60" s="76">
        <f t="shared" si="9"/>
        <v>0.14381495143510417</v>
      </c>
      <c r="V60" s="76">
        <f t="shared" si="10"/>
        <v>15.025174535582604</v>
      </c>
      <c r="W60" s="76">
        <f t="shared" si="11"/>
        <v>0.11050016739750312</v>
      </c>
      <c r="X60" s="162">
        <f t="shared" si="12"/>
        <v>13.469283126026781</v>
      </c>
      <c r="Z60" s="69"/>
      <c r="AS60" s="42"/>
      <c r="AT60" s="42"/>
    </row>
    <row r="61" spans="1:46" ht="12.4" customHeight="1" x14ac:dyDescent="0.2">
      <c r="A61" s="49">
        <f>'Raw Data'!A61</f>
        <v>70.58990478515625</v>
      </c>
      <c r="B61" s="69">
        <f>'Raw Data'!E61</f>
        <v>0.41293654672873847</v>
      </c>
      <c r="C61" s="69">
        <f t="shared" si="1"/>
        <v>0.58706345327126153</v>
      </c>
      <c r="D61" s="23">
        <f t="shared" si="2"/>
        <v>1.2952276144245489E-2</v>
      </c>
      <c r="E61" s="15">
        <f>(2*Table!$AC$16*0.147)/A61</f>
        <v>1.5473923286450466</v>
      </c>
      <c r="F61" s="15">
        <f t="shared" si="3"/>
        <v>3.0947846572900932</v>
      </c>
      <c r="G61" s="49">
        <f>IF((('Raw Data'!C61)/('Raw Data'!C$136)*100)&lt;0,0,('Raw Data'!C61)/('Raw Data'!C$136)*100)</f>
        <v>41.293654672873849</v>
      </c>
      <c r="H61" s="49">
        <f t="shared" si="4"/>
        <v>1.2952276144245474</v>
      </c>
      <c r="I61" s="31">
        <f t="shared" si="5"/>
        <v>4.1582237144709183E-2</v>
      </c>
      <c r="J61" s="15">
        <f>'Raw Data'!F61/I61</f>
        <v>0.31148579378186497</v>
      </c>
      <c r="K61" s="78">
        <f t="shared" si="6"/>
        <v>0.38568280713188385</v>
      </c>
      <c r="L61" s="49">
        <f>A61*Table!$AC$9/$AC$16</f>
        <v>13.299794511725802</v>
      </c>
      <c r="M61" s="49">
        <f>A61*Table!$AD$9/$AC$16</f>
        <v>4.5599295468774175</v>
      </c>
      <c r="N61" s="49">
        <f>ABS(A61*Table!$AE$9/$AC$16)</f>
        <v>5.7589799561336994</v>
      </c>
      <c r="O61" s="49">
        <f>($L61*(Table!$AC$10/Table!$AC$9)/(Table!$AC$12-Table!$AC$14))</f>
        <v>28.528087755739602</v>
      </c>
      <c r="P61" s="49">
        <f>$N61*(Table!$AE$10/Table!$AE$9)/(Table!$AC$12-Table!$AC$13)</f>
        <v>47.282265649701955</v>
      </c>
      <c r="Q61" s="49">
        <f>'Raw Data'!C61</f>
        <v>0.45728063595407747</v>
      </c>
      <c r="R61" s="49">
        <f>'Raw Data'!C61/'Raw Data'!I$23*100</f>
        <v>9.5236802632915953</v>
      </c>
      <c r="S61" s="99">
        <f t="shared" si="7"/>
        <v>0.27386036860904833</v>
      </c>
      <c r="T61" s="99">
        <f t="shared" si="8"/>
        <v>2.3567337857306803E-2</v>
      </c>
      <c r="U61" s="76">
        <f t="shared" si="9"/>
        <v>0.13491561282420442</v>
      </c>
      <c r="V61" s="76">
        <f t="shared" si="10"/>
        <v>13.486774417193226</v>
      </c>
      <c r="W61" s="76">
        <f t="shared" si="11"/>
        <v>8.1967196315092403E-2</v>
      </c>
      <c r="X61" s="162">
        <f t="shared" si="12"/>
        <v>13.551250322341874</v>
      </c>
      <c r="Z61" s="69"/>
      <c r="AS61" s="42"/>
      <c r="AT61" s="42"/>
    </row>
    <row r="62" spans="1:46" ht="12.4" customHeight="1" x14ac:dyDescent="0.2">
      <c r="A62" s="49">
        <f>'Raw Data'!A62</f>
        <v>77.080558776855469</v>
      </c>
      <c r="B62" s="69">
        <f>'Raw Data'!E62</f>
        <v>0.42447462048100731</v>
      </c>
      <c r="C62" s="69">
        <f t="shared" si="1"/>
        <v>0.57552537951899274</v>
      </c>
      <c r="D62" s="23">
        <f t="shared" si="2"/>
        <v>1.153807375226884E-2</v>
      </c>
      <c r="E62" s="15">
        <f>(2*Table!$AC$16*0.147)/A62</f>
        <v>1.417092440397993</v>
      </c>
      <c r="F62" s="15">
        <f t="shared" si="3"/>
        <v>2.834184880795986</v>
      </c>
      <c r="G62" s="49">
        <f>IF((('Raw Data'!C62)/('Raw Data'!C$136)*100)&lt;0,0,('Raw Data'!C62)/('Raw Data'!C$136)*100)</f>
        <v>42.447462048100732</v>
      </c>
      <c r="H62" s="49">
        <f t="shared" si="4"/>
        <v>1.1538073752268829</v>
      </c>
      <c r="I62" s="31">
        <f t="shared" si="5"/>
        <v>3.8202258207447465E-2</v>
      </c>
      <c r="J62" s="15">
        <f>'Raw Data'!F62/I62</f>
        <v>0.30202596112549995</v>
      </c>
      <c r="K62" s="78">
        <f t="shared" si="6"/>
        <v>0.42114586178905239</v>
      </c>
      <c r="L62" s="49">
        <f>A62*Table!$AC$9/$AC$16</f>
        <v>14.52269408354198</v>
      </c>
      <c r="M62" s="49">
        <f>A62*Table!$AD$9/$AC$16</f>
        <v>4.9792094000715359</v>
      </c>
      <c r="N62" s="49">
        <f>ABS(A62*Table!$AE$9/$AC$16)</f>
        <v>6.2885110038686607</v>
      </c>
      <c r="O62" s="49">
        <f>($L62*(Table!$AC$10/Table!$AC$9)/(Table!$AC$12-Table!$AC$14))</f>
        <v>31.15120996040751</v>
      </c>
      <c r="P62" s="49">
        <f>$N62*(Table!$AE$10/Table!$AE$9)/(Table!$AC$12-Table!$AC$13)</f>
        <v>51.629811197608042</v>
      </c>
      <c r="Q62" s="49">
        <f>'Raw Data'!C62</f>
        <v>0.47005775085204382</v>
      </c>
      <c r="R62" s="49">
        <f>'Raw Data'!C62/'Raw Data'!I$23*100</f>
        <v>9.7897863421586457</v>
      </c>
      <c r="S62" s="99">
        <f t="shared" si="7"/>
        <v>0.24395875255011401</v>
      </c>
      <c r="T62" s="99">
        <f t="shared" si="8"/>
        <v>1.9154827781401651E-2</v>
      </c>
      <c r="U62" s="76">
        <f t="shared" si="9"/>
        <v>0.12700720515661554</v>
      </c>
      <c r="V62" s="76">
        <f t="shared" si="10"/>
        <v>12.177177912908174</v>
      </c>
      <c r="W62" s="76">
        <f t="shared" si="11"/>
        <v>6.1238251142922973E-2</v>
      </c>
      <c r="X62" s="162">
        <f t="shared" si="12"/>
        <v>13.612488573484796</v>
      </c>
      <c r="Z62" s="69"/>
      <c r="AS62" s="42"/>
      <c r="AT62" s="42"/>
    </row>
    <row r="63" spans="1:46" x14ac:dyDescent="0.2">
      <c r="A63" s="49">
        <f>'Raw Data'!A63</f>
        <v>84.577743530273438</v>
      </c>
      <c r="B63" s="69">
        <f>'Raw Data'!E63</f>
        <v>0.43635115440756278</v>
      </c>
      <c r="C63" s="69">
        <f t="shared" si="1"/>
        <v>0.56364884559243722</v>
      </c>
      <c r="D63" s="23">
        <f t="shared" si="2"/>
        <v>1.1876533926555466E-2</v>
      </c>
      <c r="E63" s="15">
        <f>(2*Table!$AC$16*0.147)/A63</f>
        <v>1.2914777881871202</v>
      </c>
      <c r="F63" s="15">
        <f t="shared" si="3"/>
        <v>2.5829555763742404</v>
      </c>
      <c r="G63" s="49">
        <f>IF((('Raw Data'!C63)/('Raw Data'!C$136)*100)&lt;0,0,('Raw Data'!C63)/('Raw Data'!C$136)*100)</f>
        <v>43.63511544075628</v>
      </c>
      <c r="H63" s="49">
        <f t="shared" si="4"/>
        <v>1.1876533926555481</v>
      </c>
      <c r="I63" s="31">
        <f t="shared" si="5"/>
        <v>4.0311240012147934E-2</v>
      </c>
      <c r="J63" s="15">
        <f>'Raw Data'!F63/I63</f>
        <v>0.29462090282949449</v>
      </c>
      <c r="K63" s="78">
        <f t="shared" si="6"/>
        <v>0.46210830918270079</v>
      </c>
      <c r="L63" s="49">
        <f>A63*Table!$AC$9/$AC$16</f>
        <v>15.935233411089991</v>
      </c>
      <c r="M63" s="49">
        <f>A63*Table!$AD$9/$AC$16</f>
        <v>5.4635085980879969</v>
      </c>
      <c r="N63" s="49">
        <f>ABS(A63*Table!$AE$9/$AC$16)</f>
        <v>6.9001584746192428</v>
      </c>
      <c r="O63" s="49">
        <f>($L63*(Table!$AC$10/Table!$AC$9)/(Table!$AC$12-Table!$AC$14))</f>
        <v>34.181109847897879</v>
      </c>
      <c r="P63" s="49">
        <f>$N63*(Table!$AE$10/Table!$AE$9)/(Table!$AC$12-Table!$AC$13)</f>
        <v>56.651547410667007</v>
      </c>
      <c r="Q63" s="49">
        <f>'Raw Data'!C63</f>
        <v>0.48320967220627808</v>
      </c>
      <c r="R63" s="49">
        <f>'Raw Data'!C63/'Raw Data'!I$23*100</f>
        <v>10.063698430223235</v>
      </c>
      <c r="S63" s="99">
        <f t="shared" si="7"/>
        <v>0.25111508762646267</v>
      </c>
      <c r="T63" s="99">
        <f t="shared" si="8"/>
        <v>1.5382411304260879E-2</v>
      </c>
      <c r="U63" s="76">
        <f t="shared" si="9"/>
        <v>0.11898754932639073</v>
      </c>
      <c r="V63" s="76">
        <f t="shared" si="10"/>
        <v>10.905509634777619</v>
      </c>
      <c r="W63" s="76">
        <f t="shared" si="11"/>
        <v>5.2354823823366786E-2</v>
      </c>
      <c r="X63" s="162">
        <f t="shared" si="12"/>
        <v>13.664843397308163</v>
      </c>
      <c r="AS63" s="42"/>
      <c r="AT63" s="42"/>
    </row>
    <row r="64" spans="1:46" x14ac:dyDescent="0.2">
      <c r="A64" s="49">
        <f>'Raw Data'!A64</f>
        <v>92.85308837890625</v>
      </c>
      <c r="B64" s="69">
        <f>'Raw Data'!E64</f>
        <v>0.44677884300544668</v>
      </c>
      <c r="C64" s="69">
        <f t="shared" si="1"/>
        <v>0.55322115699455332</v>
      </c>
      <c r="D64" s="23">
        <f t="shared" si="2"/>
        <v>1.04276885978839E-2</v>
      </c>
      <c r="E64" s="15">
        <f>(2*Table!$AC$16*0.147)/A64</f>
        <v>1.1763774264416309</v>
      </c>
      <c r="F64" s="15">
        <f t="shared" si="3"/>
        <v>2.3527548528832618</v>
      </c>
      <c r="G64" s="49">
        <f>IF((('Raw Data'!C64)/('Raw Data'!C$136)*100)&lt;0,0,('Raw Data'!C64)/('Raw Data'!C$136)*100)</f>
        <v>44.677884300544669</v>
      </c>
      <c r="H64" s="49">
        <f t="shared" si="4"/>
        <v>1.0427688597883886</v>
      </c>
      <c r="I64" s="31">
        <f t="shared" si="5"/>
        <v>4.0540259029226172E-2</v>
      </c>
      <c r="J64" s="15">
        <f>'Raw Data'!F64/I64</f>
        <v>0.25721810485637003</v>
      </c>
      <c r="K64" s="78">
        <f t="shared" si="6"/>
        <v>0.50732239809412571</v>
      </c>
      <c r="L64" s="49">
        <f>A64*Table!$AC$9/$AC$16</f>
        <v>17.494385337069478</v>
      </c>
      <c r="M64" s="49">
        <f>A64*Table!$AD$9/$AC$16</f>
        <v>5.998074972709535</v>
      </c>
      <c r="N64" s="49">
        <f>ABS(A64*Table!$AE$9/$AC$16)</f>
        <v>7.5752910627480796</v>
      </c>
      <c r="O64" s="49">
        <f>($L64*(Table!$AC$10/Table!$AC$9)/(Table!$AC$12-Table!$AC$14))</f>
        <v>37.525494073508106</v>
      </c>
      <c r="P64" s="49">
        <f>$N64*(Table!$AE$10/Table!$AE$9)/(Table!$AC$12-Table!$AC$13)</f>
        <v>62.194507904335616</v>
      </c>
      <c r="Q64" s="49">
        <f>'Raw Data'!C64</f>
        <v>0.49475716082492011</v>
      </c>
      <c r="R64" s="49">
        <f>'Raw Data'!C64/'Raw Data'!I$23*100</f>
        <v>10.304195360994187</v>
      </c>
      <c r="S64" s="99">
        <f t="shared" si="7"/>
        <v>0.22048098815632614</v>
      </c>
      <c r="T64" s="99">
        <f t="shared" si="8"/>
        <v>1.2634280155334521E-2</v>
      </c>
      <c r="U64" s="76">
        <f t="shared" si="9"/>
        <v>0.11097310322028046</v>
      </c>
      <c r="V64" s="76">
        <f t="shared" si="10"/>
        <v>9.6925059947423211</v>
      </c>
      <c r="W64" s="76">
        <f t="shared" si="11"/>
        <v>3.813945862483311E-2</v>
      </c>
      <c r="X64" s="162">
        <f t="shared" si="12"/>
        <v>13.702982855932996</v>
      </c>
      <c r="AS64" s="42"/>
      <c r="AT64" s="42"/>
    </row>
    <row r="65" spans="1:46" x14ac:dyDescent="0.2">
      <c r="A65" s="49">
        <f>'Raw Data'!A65</f>
        <v>101.34757995605469</v>
      </c>
      <c r="B65" s="69">
        <f>'Raw Data'!E65</f>
        <v>0.45645449667433852</v>
      </c>
      <c r="C65" s="69">
        <f t="shared" si="1"/>
        <v>0.54354550332566154</v>
      </c>
      <c r="D65" s="23">
        <f t="shared" si="2"/>
        <v>9.6756536688918371E-3</v>
      </c>
      <c r="E65" s="15">
        <f>(2*Table!$AC$16*0.147)/A65</f>
        <v>1.0777788398272399</v>
      </c>
      <c r="F65" s="15">
        <f t="shared" si="3"/>
        <v>2.1555576796544798</v>
      </c>
      <c r="G65" s="49">
        <f>IF((('Raw Data'!C65)/('Raw Data'!C$136)*100)&lt;0,0,('Raw Data'!C65)/('Raw Data'!C$136)*100)</f>
        <v>45.645449667433851</v>
      </c>
      <c r="H65" s="49">
        <f t="shared" si="4"/>
        <v>0.9675653668891826</v>
      </c>
      <c r="I65" s="31">
        <f t="shared" si="5"/>
        <v>3.8017029435593742E-2</v>
      </c>
      <c r="J65" s="15">
        <f>'Raw Data'!F65/I65</f>
        <v>0.25450840879831949</v>
      </c>
      <c r="K65" s="78">
        <f t="shared" si="6"/>
        <v>0.55373384129700243</v>
      </c>
      <c r="L65" s="49">
        <f>A65*Table!$AC$9/$AC$16</f>
        <v>19.094826544654396</v>
      </c>
      <c r="M65" s="49">
        <f>A65*Table!$AD$9/$AC$16</f>
        <v>6.5467976724529358</v>
      </c>
      <c r="N65" s="49">
        <f>ABS(A65*Table!$AE$9/$AC$16)</f>
        <v>8.2683024342640703</v>
      </c>
      <c r="O65" s="49">
        <f>($L65*(Table!$AC$10/Table!$AC$9)/(Table!$AC$12-Table!$AC$14))</f>
        <v>40.95844389672758</v>
      </c>
      <c r="P65" s="49">
        <f>$N65*(Table!$AE$10/Table!$AE$9)/(Table!$AC$12-Table!$AC$13)</f>
        <v>67.884256438949663</v>
      </c>
      <c r="Q65" s="49">
        <f>'Raw Data'!C65</f>
        <v>0.50547185560801167</v>
      </c>
      <c r="R65" s="49">
        <f>'Raw Data'!C65/'Raw Data'!I$23*100</f>
        <v>10.527347883121038</v>
      </c>
      <c r="S65" s="99">
        <f t="shared" si="7"/>
        <v>0.20458011015102298</v>
      </c>
      <c r="T65" s="99">
        <f t="shared" si="8"/>
        <v>1.0493876631644361E-2</v>
      </c>
      <c r="U65" s="76">
        <f t="shared" si="9"/>
        <v>0.10387369770137383</v>
      </c>
      <c r="V65" s="76">
        <f t="shared" si="10"/>
        <v>8.6673004520490871</v>
      </c>
      <c r="W65" s="76">
        <f t="shared" si="11"/>
        <v>2.9705216821301009E-2</v>
      </c>
      <c r="X65" s="162">
        <f t="shared" si="12"/>
        <v>13.732688072754296</v>
      </c>
      <c r="AS65" s="42"/>
      <c r="AT65" s="42"/>
    </row>
    <row r="66" spans="1:46" x14ac:dyDescent="0.2">
      <c r="A66" s="49">
        <f>'Raw Data'!A66</f>
        <v>111.17726135253906</v>
      </c>
      <c r="B66" s="69">
        <f>'Raw Data'!E66</f>
        <v>0.46687793723150617</v>
      </c>
      <c r="C66" s="69">
        <f t="shared" si="1"/>
        <v>0.53312206276849383</v>
      </c>
      <c r="D66" s="23">
        <f t="shared" si="2"/>
        <v>1.0423440557167651E-2</v>
      </c>
      <c r="E66" s="15">
        <f>(2*Table!$AC$16*0.147)/A66</f>
        <v>0.98248756819049354</v>
      </c>
      <c r="F66" s="15">
        <f t="shared" si="3"/>
        <v>1.9649751363809871</v>
      </c>
      <c r="G66" s="49">
        <f>IF((('Raw Data'!C66)/('Raw Data'!C$136)*100)&lt;0,0,('Raw Data'!C66)/('Raw Data'!C$136)*100)</f>
        <v>46.687793723150619</v>
      </c>
      <c r="H66" s="49">
        <f t="shared" si="4"/>
        <v>1.042344055716768</v>
      </c>
      <c r="I66" s="31">
        <f t="shared" si="5"/>
        <v>4.0202589003554647E-2</v>
      </c>
      <c r="J66" s="15">
        <f>'Raw Data'!F66/I66</f>
        <v>0.25927286812911549</v>
      </c>
      <c r="K66" s="78">
        <f t="shared" si="6"/>
        <v>0.60744037519510952</v>
      </c>
      <c r="L66" s="49">
        <f>A66*Table!$AC$9/$AC$16</f>
        <v>20.946829930788255</v>
      </c>
      <c r="M66" s="49">
        <f>A66*Table!$AD$9/$AC$16</f>
        <v>7.1817702619845445</v>
      </c>
      <c r="N66" s="49">
        <f>ABS(A66*Table!$AE$9/$AC$16)</f>
        <v>9.0702434244074333</v>
      </c>
      <c r="O66" s="49">
        <f>($L66*(Table!$AC$10/Table!$AC$9)/(Table!$AC$12-Table!$AC$14))</f>
        <v>44.930995132535948</v>
      </c>
      <c r="P66" s="49">
        <f>$N66*(Table!$AE$10/Table!$AE$9)/(Table!$AC$12-Table!$AC$13)</f>
        <v>74.468336817795006</v>
      </c>
      <c r="Q66" s="49">
        <f>'Raw Data'!C66</f>
        <v>0.5170146400008454</v>
      </c>
      <c r="R66" s="49">
        <f>'Raw Data'!C66/'Raw Data'!I$23*100</f>
        <v>10.767746840046257</v>
      </c>
      <c r="S66" s="99">
        <f t="shared" si="7"/>
        <v>0.22039116842244602</v>
      </c>
      <c r="T66" s="99">
        <f t="shared" si="8"/>
        <v>8.5777630090035917E-3</v>
      </c>
      <c r="U66" s="76">
        <f t="shared" si="9"/>
        <v>9.6852060475766916E-2</v>
      </c>
      <c r="V66" s="76">
        <f t="shared" si="10"/>
        <v>7.6998627796442953</v>
      </c>
      <c r="W66" s="76">
        <f t="shared" si="11"/>
        <v>2.6592448566267694E-2</v>
      </c>
      <c r="X66" s="162">
        <f t="shared" si="12"/>
        <v>13.759280521320564</v>
      </c>
      <c r="AS66" s="42"/>
      <c r="AT66" s="42"/>
    </row>
    <row r="67" spans="1:46" x14ac:dyDescent="0.2">
      <c r="A67" s="49">
        <f>'Raw Data'!A67</f>
        <v>121.20176696777344</v>
      </c>
      <c r="B67" s="69">
        <f>'Raw Data'!E67</f>
        <v>0.47568909814934029</v>
      </c>
      <c r="C67" s="69">
        <f t="shared" si="1"/>
        <v>0.52431090185065976</v>
      </c>
      <c r="D67" s="23">
        <f t="shared" si="2"/>
        <v>8.8111609178341266E-3</v>
      </c>
      <c r="E67" s="15">
        <f>(2*Table!$AC$16*0.147)/A67</f>
        <v>0.90122677149895425</v>
      </c>
      <c r="F67" s="15">
        <f t="shared" si="3"/>
        <v>1.8024535429979085</v>
      </c>
      <c r="G67" s="49">
        <f>IF((('Raw Data'!C67)/('Raw Data'!C$136)*100)&lt;0,0,('Raw Data'!C67)/('Raw Data'!C$136)*100)</f>
        <v>47.568909814934031</v>
      </c>
      <c r="H67" s="49">
        <f t="shared" si="4"/>
        <v>0.88111609178341155</v>
      </c>
      <c r="I67" s="31">
        <f t="shared" si="5"/>
        <v>3.7492979550101641E-2</v>
      </c>
      <c r="J67" s="15">
        <f>'Raw Data'!F67/I67</f>
        <v>0.2350082875131283</v>
      </c>
      <c r="K67" s="78">
        <f t="shared" si="6"/>
        <v>0.66221137223158566</v>
      </c>
      <c r="L67" s="49">
        <f>A67*Table!$AC$9/$AC$16</f>
        <v>22.835540011500733</v>
      </c>
      <c r="M67" s="49">
        <f>A67*Table!$AD$9/$AC$16</f>
        <v>7.8293280039431083</v>
      </c>
      <c r="N67" s="49">
        <f>ABS(A67*Table!$AE$9/$AC$16)</f>
        <v>9.8880788795478143</v>
      </c>
      <c r="O67" s="49">
        <f>($L67*(Table!$AC$10/Table!$AC$9)/(Table!$AC$12-Table!$AC$14))</f>
        <v>48.982282306951383</v>
      </c>
      <c r="P67" s="49">
        <f>$N67*(Table!$AE$10/Table!$AE$9)/(Table!$AC$12-Table!$AC$13)</f>
        <v>81.182913625187297</v>
      </c>
      <c r="Q67" s="49">
        <f>'Raw Data'!C67</f>
        <v>0.52677200659849777</v>
      </c>
      <c r="R67" s="49">
        <f>'Raw Data'!C67/'Raw Data'!I$23*100</f>
        <v>10.970961304822096</v>
      </c>
      <c r="S67" s="99">
        <f t="shared" si="7"/>
        <v>0.18630144616734165</v>
      </c>
      <c r="T67" s="99">
        <f t="shared" si="8"/>
        <v>7.2148838883508981E-3</v>
      </c>
      <c r="U67" s="76">
        <f t="shared" si="9"/>
        <v>9.0518163054002218E-2</v>
      </c>
      <c r="V67" s="76">
        <f t="shared" si="10"/>
        <v>6.8677269252137423</v>
      </c>
      <c r="W67" s="76">
        <f t="shared" si="11"/>
        <v>1.8914480065148641E-2</v>
      </c>
      <c r="X67" s="162">
        <f t="shared" si="12"/>
        <v>13.778195001385713</v>
      </c>
      <c r="AS67" s="42"/>
      <c r="AT67" s="42"/>
    </row>
    <row r="68" spans="1:46" x14ac:dyDescent="0.2">
      <c r="A68" s="49">
        <f>'Raw Data'!A68</f>
        <v>133.02616882324219</v>
      </c>
      <c r="B68" s="69">
        <f>'Raw Data'!E68</f>
        <v>0.48343370447242923</v>
      </c>
      <c r="C68" s="69">
        <f t="shared" si="1"/>
        <v>0.51656629552757072</v>
      </c>
      <c r="D68" s="23">
        <f t="shared" si="2"/>
        <v>7.7446063230889317E-3</v>
      </c>
      <c r="E68" s="15">
        <f>(2*Table!$AC$16*0.147)/A68</f>
        <v>0.82111871754702792</v>
      </c>
      <c r="F68" s="15">
        <f t="shared" si="3"/>
        <v>1.6422374350940558</v>
      </c>
      <c r="G68" s="49">
        <f>IF((('Raw Data'!C68)/('Raw Data'!C$136)*100)&lt;0,0,('Raw Data'!C68)/('Raw Data'!C$136)*100)</f>
        <v>48.343370447242926</v>
      </c>
      <c r="H68" s="49">
        <f t="shared" si="4"/>
        <v>0.7744606323088945</v>
      </c>
      <c r="I68" s="31">
        <f t="shared" si="5"/>
        <v>4.0428132167268815E-2</v>
      </c>
      <c r="J68" s="15">
        <f>'Raw Data'!F68/I68</f>
        <v>0.19156478194555507</v>
      </c>
      <c r="K68" s="78">
        <f t="shared" si="6"/>
        <v>0.72681648133539667</v>
      </c>
      <c r="L68" s="49">
        <f>A68*Table!$AC$9/$AC$16</f>
        <v>25.063367281992718</v>
      </c>
      <c r="M68" s="49">
        <f>A68*Table!$AD$9/$AC$16</f>
        <v>8.5931544966832174</v>
      </c>
      <c r="N68" s="49">
        <f>ABS(A68*Table!$AE$9/$AC$16)</f>
        <v>10.852756385292716</v>
      </c>
      <c r="O68" s="49">
        <f>($L68*(Table!$AC$10/Table!$AC$9)/(Table!$AC$12-Table!$AC$14))</f>
        <v>53.760976580850965</v>
      </c>
      <c r="P68" s="49">
        <f>$N68*(Table!$AE$10/Table!$AE$9)/(Table!$AC$12-Table!$AC$13)</f>
        <v>89.103090191237385</v>
      </c>
      <c r="Q68" s="49">
        <f>'Raw Data'!C68</f>
        <v>0.53534828431644577</v>
      </c>
      <c r="R68" s="49">
        <f>'Raw Data'!C68/'Raw Data'!I$23*100</f>
        <v>11.149577498933432</v>
      </c>
      <c r="S68" s="99">
        <f t="shared" si="7"/>
        <v>0.16375042646966764</v>
      </c>
      <c r="T68" s="99">
        <f t="shared" si="8"/>
        <v>6.2204697566826672E-3</v>
      </c>
      <c r="U68" s="76">
        <f t="shared" si="9"/>
        <v>8.3814918504857297E-2</v>
      </c>
      <c r="V68" s="76">
        <f t="shared" si="10"/>
        <v>6.0298881972082619</v>
      </c>
      <c r="W68" s="76">
        <f t="shared" si="11"/>
        <v>1.3800803009537588E-2</v>
      </c>
      <c r="X68" s="162">
        <f t="shared" si="12"/>
        <v>13.791995804395251</v>
      </c>
      <c r="AS68" s="42"/>
      <c r="AT68" s="42"/>
    </row>
    <row r="69" spans="1:46" x14ac:dyDescent="0.2">
      <c r="A69" s="49">
        <f>'Raw Data'!A69</f>
        <v>145.13165283203125</v>
      </c>
      <c r="B69" s="69">
        <f>'Raw Data'!E69</f>
        <v>0.49208604135634793</v>
      </c>
      <c r="C69" s="69">
        <f t="shared" si="1"/>
        <v>0.50791395864365207</v>
      </c>
      <c r="D69" s="23">
        <f t="shared" si="2"/>
        <v>8.6523368839186987E-3</v>
      </c>
      <c r="E69" s="15">
        <f>(2*Table!$AC$16*0.147)/A69</f>
        <v>0.75262890632654189</v>
      </c>
      <c r="F69" s="15">
        <f t="shared" si="3"/>
        <v>1.5052578126530838</v>
      </c>
      <c r="G69" s="49">
        <f>IF((('Raw Data'!C69)/('Raw Data'!C$136)*100)&lt;0,0,('Raw Data'!C69)/('Raw Data'!C$136)*100)</f>
        <v>49.208604135634793</v>
      </c>
      <c r="H69" s="49">
        <f t="shared" si="4"/>
        <v>0.86523368839186787</v>
      </c>
      <c r="I69" s="31">
        <f t="shared" si="5"/>
        <v>3.7825057747749066E-2</v>
      </c>
      <c r="J69" s="15">
        <f>'Raw Data'!F69/I69</f>
        <v>0.2287461645563143</v>
      </c>
      <c r="K69" s="78">
        <f t="shared" si="6"/>
        <v>0.79295734196426215</v>
      </c>
      <c r="L69" s="49">
        <f>A69*Table!$AC$9/$AC$16</f>
        <v>27.344153044091275</v>
      </c>
      <c r="M69" s="49">
        <f>A69*Table!$AD$9/$AC$16</f>
        <v>9.3751381865455805</v>
      </c>
      <c r="N69" s="49">
        <f>ABS(A69*Table!$AE$9/$AC$16)</f>
        <v>11.840365590576317</v>
      </c>
      <c r="O69" s="49">
        <f>($L69*(Table!$AC$10/Table!$AC$9)/(Table!$AC$12-Table!$AC$14))</f>
        <v>58.653266932842719</v>
      </c>
      <c r="P69" s="49">
        <f>$N69*(Table!$AE$10/Table!$AE$9)/(Table!$AC$12-Table!$AC$13)</f>
        <v>97.2115401525149</v>
      </c>
      <c r="Q69" s="49">
        <f>'Raw Data'!C69</f>
        <v>0.54492977121585151</v>
      </c>
      <c r="R69" s="49">
        <f>'Raw Data'!C69/'Raw Data'!I$23*100</f>
        <v>11.3491289570582</v>
      </c>
      <c r="S69" s="99">
        <f t="shared" si="7"/>
        <v>0.18294330216333357</v>
      </c>
      <c r="T69" s="99">
        <f t="shared" si="8"/>
        <v>5.2871053266723145E-3</v>
      </c>
      <c r="U69" s="76">
        <f t="shared" si="9"/>
        <v>7.819885418236891E-2</v>
      </c>
      <c r="V69" s="76">
        <f t="shared" si="10"/>
        <v>5.3625919810553926</v>
      </c>
      <c r="W69" s="76">
        <f t="shared" si="11"/>
        <v>1.2953535377735267E-2</v>
      </c>
      <c r="X69" s="162">
        <f t="shared" si="12"/>
        <v>13.804949339772985</v>
      </c>
      <c r="AS69" s="42"/>
      <c r="AT69" s="42"/>
    </row>
    <row r="70" spans="1:46" x14ac:dyDescent="0.2">
      <c r="A70" s="49">
        <f>'Raw Data'!A70</f>
        <v>158.62014770507812</v>
      </c>
      <c r="B70" s="69">
        <f>'Raw Data'!E70</f>
        <v>0.50115501553595376</v>
      </c>
      <c r="C70" s="69">
        <f t="shared" si="1"/>
        <v>0.49884498446404624</v>
      </c>
      <c r="D70" s="23">
        <f t="shared" si="2"/>
        <v>9.0689741796058376E-3</v>
      </c>
      <c r="E70" s="15">
        <f>(2*Table!$AC$16*0.147)/A70</f>
        <v>0.68862801305308652</v>
      </c>
      <c r="F70" s="15">
        <f t="shared" si="3"/>
        <v>1.377256026106173</v>
      </c>
      <c r="G70" s="49">
        <f>IF((('Raw Data'!C70)/('Raw Data'!C$136)*100)&lt;0,0,('Raw Data'!C70)/('Raw Data'!C$136)*100)</f>
        <v>50.115501553595379</v>
      </c>
      <c r="H70" s="49">
        <f t="shared" si="4"/>
        <v>0.90689741796058598</v>
      </c>
      <c r="I70" s="31">
        <f t="shared" si="5"/>
        <v>3.8596208698154319E-2</v>
      </c>
      <c r="J70" s="15">
        <f>'Raw Data'!F70/I70</f>
        <v>0.23497059647828877</v>
      </c>
      <c r="K70" s="78">
        <f t="shared" si="6"/>
        <v>0.86665457363576137</v>
      </c>
      <c r="L70" s="49">
        <f>A70*Table!$AC$9/$AC$16</f>
        <v>29.885510914313446</v>
      </c>
      <c r="M70" s="49">
        <f>A70*Table!$AD$9/$AC$16</f>
        <v>10.246460884907467</v>
      </c>
      <c r="N70" s="49">
        <f>ABS(A70*Table!$AE$9/$AC$16)</f>
        <v>12.940805828436275</v>
      </c>
      <c r="O70" s="49">
        <f>($L70*(Table!$AC$10/Table!$AC$9)/(Table!$AC$12-Table!$AC$14))</f>
        <v>64.104485015687359</v>
      </c>
      <c r="P70" s="49">
        <f>$N70*(Table!$AE$10/Table!$AE$9)/(Table!$AC$12-Table!$AC$13)</f>
        <v>106.24635327123376</v>
      </c>
      <c r="Q70" s="49">
        <f>'Raw Data'!C70</f>
        <v>0.55497263691314591</v>
      </c>
      <c r="R70" s="49">
        <f>'Raw Data'!C70/'Raw Data'!I$23*100</f>
        <v>11.558289446936927</v>
      </c>
      <c r="S70" s="99">
        <f t="shared" si="7"/>
        <v>0.19175259885392723</v>
      </c>
      <c r="T70" s="99">
        <f t="shared" si="8"/>
        <v>4.4681059456106453E-3</v>
      </c>
      <c r="U70" s="76">
        <f t="shared" si="9"/>
        <v>7.2867725911006043E-2</v>
      </c>
      <c r="V70" s="76">
        <f t="shared" si="10"/>
        <v>4.7590464761272155</v>
      </c>
      <c r="W70" s="76">
        <f t="shared" si="11"/>
        <v>1.1366340001629241E-2</v>
      </c>
      <c r="X70" s="162">
        <f t="shared" si="12"/>
        <v>13.816315679774615</v>
      </c>
      <c r="AS70" s="42"/>
      <c r="AT70" s="42"/>
    </row>
    <row r="71" spans="1:46" x14ac:dyDescent="0.2">
      <c r="A71" s="49">
        <f>'Raw Data'!A71</f>
        <v>174.36824035644531</v>
      </c>
      <c r="B71" s="69">
        <f>'Raw Data'!E71</f>
        <v>0.51022632778448107</v>
      </c>
      <c r="C71" s="69">
        <f t="shared" si="1"/>
        <v>0.48977367221551893</v>
      </c>
      <c r="D71" s="23">
        <f t="shared" si="2"/>
        <v>9.0713122485273079E-3</v>
      </c>
      <c r="E71" s="15">
        <f>(2*Table!$AC$16*0.147)/A71</f>
        <v>0.62643447522923568</v>
      </c>
      <c r="F71" s="15">
        <f t="shared" si="3"/>
        <v>1.2528689504584714</v>
      </c>
      <c r="G71" s="49">
        <f>IF((('Raw Data'!C71)/('Raw Data'!C$136)*100)&lt;0,0,('Raw Data'!C71)/('Raw Data'!C$136)*100)</f>
        <v>51.022632778448106</v>
      </c>
      <c r="H71" s="49">
        <f t="shared" si="4"/>
        <v>0.90713122485272635</v>
      </c>
      <c r="I71" s="31">
        <f t="shared" si="5"/>
        <v>4.1109034922670679E-2</v>
      </c>
      <c r="J71" s="15">
        <f>'Raw Data'!F71/I71</f>
        <v>0.22066468516206128</v>
      </c>
      <c r="K71" s="78">
        <f t="shared" si="6"/>
        <v>0.95269759351570171</v>
      </c>
      <c r="L71" s="49">
        <f>A71*Table!$AC$9/$AC$16</f>
        <v>32.852598019080943</v>
      </c>
      <c r="M71" s="49">
        <f>A71*Table!$AD$9/$AC$16</f>
        <v>11.263747892256324</v>
      </c>
      <c r="N71" s="49">
        <f>ABS(A71*Table!$AE$9/$AC$16)</f>
        <v>14.225592232421214</v>
      </c>
      <c r="O71" s="49">
        <f>($L71*(Table!$AC$10/Table!$AC$9)/(Table!$AC$12-Table!$AC$14))</f>
        <v>70.468893219821851</v>
      </c>
      <c r="P71" s="49">
        <f>$N71*(Table!$AE$10/Table!$AE$9)/(Table!$AC$12-Table!$AC$13)</f>
        <v>116.79468171117577</v>
      </c>
      <c r="Q71" s="49">
        <f>'Raw Data'!C71</f>
        <v>0.56501809175797835</v>
      </c>
      <c r="R71" s="49">
        <f>'Raw Data'!C71/'Raw Data'!I$23*100</f>
        <v>11.767503860405171</v>
      </c>
      <c r="S71" s="99">
        <f t="shared" si="7"/>
        <v>0.19180203452141426</v>
      </c>
      <c r="T71" s="99">
        <f t="shared" si="8"/>
        <v>3.7901874942106728E-3</v>
      </c>
      <c r="U71" s="76">
        <f t="shared" si="9"/>
        <v>6.7486509219511076E-2</v>
      </c>
      <c r="V71" s="76">
        <f t="shared" si="10"/>
        <v>4.1800240718300037</v>
      </c>
      <c r="W71" s="76">
        <f t="shared" si="11"/>
        <v>9.4083729367438421E-3</v>
      </c>
      <c r="X71" s="162">
        <f t="shared" si="12"/>
        <v>13.825724052711358</v>
      </c>
      <c r="AS71" s="42"/>
      <c r="AT71" s="42"/>
    </row>
    <row r="72" spans="1:46" x14ac:dyDescent="0.2">
      <c r="A72" s="49">
        <f>'Raw Data'!A72</f>
        <v>190.11256408691406</v>
      </c>
      <c r="B72" s="69">
        <f>'Raw Data'!E72</f>
        <v>0.51881270478037711</v>
      </c>
      <c r="C72" s="69">
        <f t="shared" si="1"/>
        <v>0.48118729521962289</v>
      </c>
      <c r="D72" s="23">
        <f t="shared" si="2"/>
        <v>8.586376995896039E-3</v>
      </c>
      <c r="E72" s="15">
        <f>(2*Table!$AC$16*0.147)/A72</f>
        <v>0.57455580418345242</v>
      </c>
      <c r="F72" s="15">
        <f t="shared" si="3"/>
        <v>1.1491116083669048</v>
      </c>
      <c r="G72" s="49">
        <f>IF((('Raw Data'!C72)/('Raw Data'!C$136)*100)&lt;0,0,('Raw Data'!C72)/('Raw Data'!C$136)*100)</f>
        <v>51.881270478037713</v>
      </c>
      <c r="H72" s="49">
        <f t="shared" si="4"/>
        <v>0.85863769958960745</v>
      </c>
      <c r="I72" s="31">
        <f t="shared" si="5"/>
        <v>3.7543434428598116E-2</v>
      </c>
      <c r="J72" s="15">
        <f>'Raw Data'!F72/I72</f>
        <v>0.22870515515105624</v>
      </c>
      <c r="K72" s="78">
        <f t="shared" si="6"/>
        <v>1.0387200211027867</v>
      </c>
      <c r="L72" s="49">
        <f>A72*Table!$AC$9/$AC$16</f>
        <v>35.81897502410213</v>
      </c>
      <c r="M72" s="49">
        <f>A72*Table!$AD$9/$AC$16</f>
        <v>12.280791436835017</v>
      </c>
      <c r="N72" s="49">
        <f>ABS(A72*Table!$AE$9/$AC$16)</f>
        <v>15.510071154196385</v>
      </c>
      <c r="O72" s="49">
        <f>($L72*(Table!$AC$10/Table!$AC$9)/(Table!$AC$12-Table!$AC$14))</f>
        <v>76.831778258477343</v>
      </c>
      <c r="P72" s="49">
        <f>$N72*(Table!$AE$10/Table!$AE$9)/(Table!$AC$12-Table!$AC$13)</f>
        <v>127.34048566663695</v>
      </c>
      <c r="Q72" s="49">
        <f>'Raw Data'!C72</f>
        <v>0.57452653552332056</v>
      </c>
      <c r="R72" s="49">
        <f>'Raw Data'!C72/'Raw Data'!I$23*100</f>
        <v>11.9655340657159</v>
      </c>
      <c r="S72" s="99">
        <f t="shared" si="7"/>
        <v>0.18154865931862224</v>
      </c>
      <c r="T72" s="99">
        <f t="shared" si="8"/>
        <v>3.2503905492939911E-3</v>
      </c>
      <c r="U72" s="76">
        <f t="shared" si="9"/>
        <v>6.293920721749667E-2</v>
      </c>
      <c r="V72" s="76">
        <f t="shared" si="10"/>
        <v>3.7149139653473284</v>
      </c>
      <c r="W72" s="76">
        <f t="shared" si="11"/>
        <v>7.491477710044628E-3</v>
      </c>
      <c r="X72" s="162">
        <f t="shared" si="12"/>
        <v>13.833215530421402</v>
      </c>
      <c r="AS72" s="42"/>
      <c r="AT72" s="42"/>
    </row>
    <row r="73" spans="1:46" x14ac:dyDescent="0.2">
      <c r="A73" s="49">
        <f>'Raw Data'!A73</f>
        <v>208.03059387207031</v>
      </c>
      <c r="B73" s="69">
        <f>'Raw Data'!E73</f>
        <v>0.52783073540193459</v>
      </c>
      <c r="C73" s="69">
        <f t="shared" si="1"/>
        <v>0.47216926459806541</v>
      </c>
      <c r="D73" s="23">
        <f t="shared" si="2"/>
        <v>9.0180306215574824E-3</v>
      </c>
      <c r="E73" s="15">
        <f>(2*Table!$AC$16*0.147)/A73</f>
        <v>0.52506833303329836</v>
      </c>
      <c r="F73" s="15">
        <f t="shared" si="3"/>
        <v>1.0501366660665967</v>
      </c>
      <c r="G73" s="49">
        <f>IF((('Raw Data'!C73)/('Raw Data'!C$136)*100)&lt;0,0,('Raw Data'!C73)/('Raw Data'!C$136)*100)</f>
        <v>52.783073540193456</v>
      </c>
      <c r="H73" s="49">
        <f t="shared" si="4"/>
        <v>0.90180306215574291</v>
      </c>
      <c r="I73" s="31">
        <f t="shared" si="5"/>
        <v>3.9116389567676463E-2</v>
      </c>
      <c r="J73" s="15">
        <f>'Raw Data'!F73/I73</f>
        <v>0.23054353229495048</v>
      </c>
      <c r="K73" s="78">
        <f t="shared" si="6"/>
        <v>1.1366189493821879</v>
      </c>
      <c r="L73" s="49">
        <f>A73*Table!$AC$9/$AC$16</f>
        <v>39.194898464186892</v>
      </c>
      <c r="M73" s="49">
        <f>A73*Table!$AD$9/$AC$16</f>
        <v>13.438250902006935</v>
      </c>
      <c r="N73" s="49">
        <f>ABS(A73*Table!$AE$9/$AC$16)</f>
        <v>16.971888884368767</v>
      </c>
      <c r="O73" s="49">
        <f>($L73*(Table!$AC$10/Table!$AC$9)/(Table!$AC$12-Table!$AC$14))</f>
        <v>84.073141278822163</v>
      </c>
      <c r="P73" s="49">
        <f>$N73*(Table!$AE$10/Table!$AE$9)/(Table!$AC$12-Table!$AC$13)</f>
        <v>139.3422732706795</v>
      </c>
      <c r="Q73" s="49">
        <f>'Raw Data'!C73</f>
        <v>0.5845129869777812</v>
      </c>
      <c r="R73" s="49">
        <f>'Raw Data'!C73/'Raw Data'!I$23*100</f>
        <v>12.173519628932967</v>
      </c>
      <c r="S73" s="99">
        <f t="shared" si="7"/>
        <v>0.19067545832433949</v>
      </c>
      <c r="T73" s="99">
        <f t="shared" si="8"/>
        <v>2.7769129946452198E-3</v>
      </c>
      <c r="U73" s="76">
        <f t="shared" si="9"/>
        <v>5.8517929513863462E-2</v>
      </c>
      <c r="V73" s="76">
        <f t="shared" si="10"/>
        <v>3.2844186735438847</v>
      </c>
      <c r="W73" s="76">
        <f t="shared" si="11"/>
        <v>6.5710756243814649E-3</v>
      </c>
      <c r="X73" s="162">
        <f t="shared" si="12"/>
        <v>13.839786606045783</v>
      </c>
      <c r="AS73" s="42"/>
      <c r="AT73" s="42"/>
    </row>
    <row r="74" spans="1:46" x14ac:dyDescent="0.2">
      <c r="A74" s="49">
        <f>'Raw Data'!A74</f>
        <v>228.60191345214844</v>
      </c>
      <c r="B74" s="69">
        <f>'Raw Data'!E74</f>
        <v>0.53726257129203514</v>
      </c>
      <c r="C74" s="69">
        <f t="shared" si="1"/>
        <v>0.46273742870796486</v>
      </c>
      <c r="D74" s="23">
        <f t="shared" si="2"/>
        <v>9.4318358901005483E-3</v>
      </c>
      <c r="E74" s="15">
        <f>(2*Table!$AC$16*0.147)/A74</f>
        <v>0.47781873517519535</v>
      </c>
      <c r="F74" s="15">
        <f t="shared" si="3"/>
        <v>0.95563747035039071</v>
      </c>
      <c r="G74" s="49">
        <f>IF((('Raw Data'!C74)/('Raw Data'!C$136)*100)&lt;0,0,('Raw Data'!C74)/('Raw Data'!C$136)*100)</f>
        <v>53.726257129203518</v>
      </c>
      <c r="H74" s="49">
        <f t="shared" si="4"/>
        <v>0.9431835890100615</v>
      </c>
      <c r="I74" s="31">
        <f t="shared" si="5"/>
        <v>4.0952652351825769E-2</v>
      </c>
      <c r="J74" s="15">
        <f>'Raw Data'!F74/I74</f>
        <v>0.23031074542062119</v>
      </c>
      <c r="K74" s="78">
        <f t="shared" si="6"/>
        <v>1.2490146850925437</v>
      </c>
      <c r="L74" s="49">
        <f>A74*Table!$AC$9/$AC$16</f>
        <v>43.070726375880184</v>
      </c>
      <c r="M74" s="49">
        <f>A74*Table!$AD$9/$AC$16</f>
        <v>14.767106186016065</v>
      </c>
      <c r="N74" s="49">
        <f>ABS(A74*Table!$AE$9/$AC$16)</f>
        <v>18.650171600480355</v>
      </c>
      <c r="O74" s="49">
        <f>($L74*(Table!$AC$10/Table!$AC$9)/(Table!$AC$12-Table!$AC$14))</f>
        <v>92.386800463063466</v>
      </c>
      <c r="P74" s="49">
        <f>$N74*(Table!$AE$10/Table!$AE$9)/(Table!$AC$12-Table!$AC$13)</f>
        <v>153.12127750804888</v>
      </c>
      <c r="Q74" s="49">
        <f>'Raw Data'!C74</f>
        <v>0.59495768107959168</v>
      </c>
      <c r="R74" s="49">
        <f>'Raw Data'!C74/'Raw Data'!I$23*100</f>
        <v>12.391048908006836</v>
      </c>
      <c r="S74" s="99">
        <f t="shared" si="7"/>
        <v>0.19942487519234836</v>
      </c>
      <c r="T74" s="99">
        <f t="shared" si="8"/>
        <v>2.3668235215269506E-3</v>
      </c>
      <c r="U74" s="76">
        <f t="shared" si="9"/>
        <v>5.4203609763750132E-2</v>
      </c>
      <c r="V74" s="76">
        <f t="shared" si="10"/>
        <v>2.885456946810077</v>
      </c>
      <c r="W74" s="76">
        <f t="shared" si="11"/>
        <v>5.6913551955422989E-3</v>
      </c>
      <c r="X74" s="162">
        <f t="shared" si="12"/>
        <v>13.845477961241325</v>
      </c>
      <c r="AS74" s="42"/>
      <c r="AT74" s="42"/>
    </row>
    <row r="75" spans="1:46" x14ac:dyDescent="0.2">
      <c r="A75" s="49">
        <f>'Raw Data'!A75</f>
        <v>250.67134094238281</v>
      </c>
      <c r="B75" s="69">
        <f>'Raw Data'!E75</f>
        <v>0.54670543891577894</v>
      </c>
      <c r="C75" s="69">
        <f t="shared" si="1"/>
        <v>0.45329456108422106</v>
      </c>
      <c r="D75" s="23">
        <f t="shared" si="2"/>
        <v>9.4428676237438003E-3</v>
      </c>
      <c r="E75" s="15">
        <f>(2*Table!$AC$16*0.147)/A75</f>
        <v>0.43575095874020076</v>
      </c>
      <c r="F75" s="15">
        <f t="shared" si="3"/>
        <v>0.87150191748040151</v>
      </c>
      <c r="G75" s="49">
        <f>IF((('Raw Data'!C75)/('Raw Data'!C$136)*100)&lt;0,0,('Raw Data'!C75)/('Raw Data'!C$136)*100)</f>
        <v>54.670543891577893</v>
      </c>
      <c r="H75" s="49">
        <f t="shared" si="4"/>
        <v>0.94428676237437514</v>
      </c>
      <c r="I75" s="31">
        <f t="shared" si="5"/>
        <v>4.0024823027070167E-2</v>
      </c>
      <c r="J75" s="15">
        <f>'Raw Data'!F75/I75</f>
        <v>0.23592528110261135</v>
      </c>
      <c r="K75" s="78">
        <f t="shared" si="6"/>
        <v>1.3695956487888856</v>
      </c>
      <c r="L75" s="49">
        <f>A75*Table!$AC$9/$AC$16</f>
        <v>47.228811749488329</v>
      </c>
      <c r="M75" s="49">
        <f>A75*Table!$AD$9/$AC$16</f>
        <v>16.192735456967426</v>
      </c>
      <c r="N75" s="49">
        <f>ABS(A75*Table!$AE$9/$AC$16)</f>
        <v>20.450675382804938</v>
      </c>
      <c r="O75" s="49">
        <f>($L75*(Table!$AC$10/Table!$AC$9)/(Table!$AC$12-Table!$AC$14))</f>
        <v>101.30590250855499</v>
      </c>
      <c r="P75" s="49">
        <f>$N75*(Table!$AE$10/Table!$AE$9)/(Table!$AC$12-Table!$AC$13)</f>
        <v>167.90373877508156</v>
      </c>
      <c r="Q75" s="49">
        <f>'Raw Data'!C75</f>
        <v>0.60541459158175726</v>
      </c>
      <c r="R75" s="49">
        <f>'Raw Data'!C75/'Raw Data'!I$23*100</f>
        <v>12.608832615284749</v>
      </c>
      <c r="S75" s="99">
        <f t="shared" si="7"/>
        <v>0.19965812798963992</v>
      </c>
      <c r="T75" s="99">
        <f t="shared" si="8"/>
        <v>2.0253660335108892E-3</v>
      </c>
      <c r="U75" s="76">
        <f t="shared" si="9"/>
        <v>5.0300255976142516E-2</v>
      </c>
      <c r="V75" s="76">
        <f t="shared" si="10"/>
        <v>2.5428930552017754</v>
      </c>
      <c r="W75" s="76">
        <f t="shared" si="11"/>
        <v>4.738858166000239E-3</v>
      </c>
      <c r="X75" s="162">
        <f t="shared" si="12"/>
        <v>13.850216819407326</v>
      </c>
      <c r="AS75" s="42"/>
      <c r="AT75" s="42"/>
    </row>
    <row r="76" spans="1:46" x14ac:dyDescent="0.2">
      <c r="A76" s="49">
        <f>'Raw Data'!A76</f>
        <v>272.77731323242187</v>
      </c>
      <c r="B76" s="69">
        <f>'Raw Data'!E76</f>
        <v>0.55540921331596871</v>
      </c>
      <c r="C76" s="69">
        <f t="shared" si="1"/>
        <v>0.44459078668403129</v>
      </c>
      <c r="D76" s="23">
        <f t="shared" si="2"/>
        <v>8.7037744001897677E-3</v>
      </c>
      <c r="E76" s="15">
        <f>(2*Table!$AC$16*0.147)/A76</f>
        <v>0.40043754317377783</v>
      </c>
      <c r="F76" s="15">
        <f t="shared" si="3"/>
        <v>0.80087508634755566</v>
      </c>
      <c r="G76" s="49">
        <f>IF((('Raw Data'!C76)/('Raw Data'!C$136)*100)&lt;0,0,('Raw Data'!C76)/('Raw Data'!C$136)*100)</f>
        <v>55.54092133159687</v>
      </c>
      <c r="H76" s="49">
        <f t="shared" si="4"/>
        <v>0.87037744001897721</v>
      </c>
      <c r="I76" s="31">
        <f t="shared" si="5"/>
        <v>3.670356315868617E-2</v>
      </c>
      <c r="J76" s="15">
        <f>'Raw Data'!F76/I76</f>
        <v>0.23713704205118721</v>
      </c>
      <c r="K76" s="78">
        <f t="shared" si="6"/>
        <v>1.4903762826932785</v>
      </c>
      <c r="L76" s="49">
        <f>A76*Table!$AC$9/$AC$16</f>
        <v>51.393782503227726</v>
      </c>
      <c r="M76" s="49">
        <f>A76*Table!$AD$9/$AC$16</f>
        <v>17.620725429678078</v>
      </c>
      <c r="N76" s="49">
        <f>ABS(A76*Table!$AE$9/$AC$16)</f>
        <v>22.254160622183708</v>
      </c>
      <c r="O76" s="49">
        <f>($L76*(Table!$AC$10/Table!$AC$9)/(Table!$AC$12-Table!$AC$14))</f>
        <v>110.23977370919719</v>
      </c>
      <c r="P76" s="49">
        <f>$N76*(Table!$AE$10/Table!$AE$9)/(Table!$AC$12-Table!$AC$13)</f>
        <v>182.71067834305174</v>
      </c>
      <c r="Q76" s="49">
        <f>'Raw Data'!C76</f>
        <v>0.61505303972699776</v>
      </c>
      <c r="R76" s="49">
        <f>'Raw Data'!C76/'Raw Data'!I$23*100</f>
        <v>12.809570392378822</v>
      </c>
      <c r="S76" s="99">
        <f t="shared" si="7"/>
        <v>0.18403088684802138</v>
      </c>
      <c r="T76" s="99">
        <f t="shared" si="8"/>
        <v>1.7595793372351398E-3</v>
      </c>
      <c r="U76" s="76">
        <f t="shared" si="9"/>
        <v>4.6959808499412614E-2</v>
      </c>
      <c r="V76" s="76">
        <f t="shared" si="10"/>
        <v>2.2639253271867168</v>
      </c>
      <c r="W76" s="76">
        <f t="shared" si="11"/>
        <v>3.6886742867426937E-3</v>
      </c>
      <c r="X76" s="162">
        <f t="shared" si="12"/>
        <v>13.853905493694068</v>
      </c>
      <c r="AS76" s="42"/>
      <c r="AT76" s="42"/>
    </row>
    <row r="77" spans="1:46" x14ac:dyDescent="0.2">
      <c r="A77" s="49">
        <f>'Raw Data'!A77</f>
        <v>299.3406982421875</v>
      </c>
      <c r="B77" s="69">
        <f>'Raw Data'!E77</f>
        <v>0.56510742441036999</v>
      </c>
      <c r="C77" s="69">
        <f t="shared" si="1"/>
        <v>0.43489257558963001</v>
      </c>
      <c r="D77" s="23">
        <f t="shared" si="2"/>
        <v>9.6982110944012767E-3</v>
      </c>
      <c r="E77" s="15">
        <f>(2*Table!$AC$16*0.147)/A77</f>
        <v>0.36490286080631823</v>
      </c>
      <c r="F77" s="15">
        <f t="shared" si="3"/>
        <v>0.72980572161263646</v>
      </c>
      <c r="G77" s="49">
        <f>IF((('Raw Data'!C77)/('Raw Data'!C$136)*100)&lt;0,0,('Raw Data'!C77)/('Raw Data'!C$136)*100)</f>
        <v>56.510742441036996</v>
      </c>
      <c r="H77" s="49">
        <f t="shared" si="4"/>
        <v>0.96982110944012589</v>
      </c>
      <c r="I77" s="31">
        <f t="shared" si="5"/>
        <v>4.035751995153658E-2</v>
      </c>
      <c r="J77" s="15">
        <f>'Raw Data'!F77/I77</f>
        <v>0.24030741002042236</v>
      </c>
      <c r="K77" s="78">
        <f t="shared" si="6"/>
        <v>1.6355109294770174</v>
      </c>
      <c r="L77" s="49">
        <f>A77*Table!$AC$9/$AC$16</f>
        <v>56.398571265034214</v>
      </c>
      <c r="M77" s="49">
        <f>A77*Table!$AD$9/$AC$16</f>
        <v>19.336653005154588</v>
      </c>
      <c r="N77" s="49">
        <f>ABS(A77*Table!$AE$9/$AC$16)</f>
        <v>24.42129772633335</v>
      </c>
      <c r="O77" s="49">
        <f>($L77*(Table!$AC$10/Table!$AC$9)/(Table!$AC$12-Table!$AC$14))</f>
        <v>120.97505633855475</v>
      </c>
      <c r="P77" s="49">
        <f>$N77*(Table!$AE$10/Table!$AE$9)/(Table!$AC$12-Table!$AC$13)</f>
        <v>200.50326540503568</v>
      </c>
      <c r="Q77" s="49">
        <f>'Raw Data'!C77</f>
        <v>0.62579271431380046</v>
      </c>
      <c r="R77" s="49">
        <f>'Raw Data'!C77/'Raw Data'!I$23*100</f>
        <v>13.033243163221405</v>
      </c>
      <c r="S77" s="99">
        <f t="shared" si="7"/>
        <v>0.20505705990071088</v>
      </c>
      <c r="T77" s="99">
        <f t="shared" si="8"/>
        <v>1.5136546055649625E-3</v>
      </c>
      <c r="U77" s="76">
        <f t="shared" si="9"/>
        <v>4.3539830165948909E-2</v>
      </c>
      <c r="V77" s="76">
        <f t="shared" si="10"/>
        <v>1.992188171882433</v>
      </c>
      <c r="W77" s="76">
        <f t="shared" si="11"/>
        <v>3.4130234767064181E-3</v>
      </c>
      <c r="X77" s="162">
        <f t="shared" si="12"/>
        <v>13.857318517170775</v>
      </c>
      <c r="AS77" s="42"/>
      <c r="AT77" s="42"/>
    </row>
    <row r="78" spans="1:46" x14ac:dyDescent="0.2">
      <c r="A78" s="49">
        <f>'Raw Data'!A78</f>
        <v>326.94403076171875</v>
      </c>
      <c r="B78" s="69">
        <f>'Raw Data'!E78</f>
        <v>0.57487584343351017</v>
      </c>
      <c r="C78" s="69">
        <f t="shared" si="1"/>
        <v>0.42512415656648983</v>
      </c>
      <c r="D78" s="23">
        <f t="shared" si="2"/>
        <v>9.7684190231401846E-3</v>
      </c>
      <c r="E78" s="15">
        <f>(2*Table!$AC$16*0.147)/A78</f>
        <v>0.33409472835411258</v>
      </c>
      <c r="F78" s="15">
        <f t="shared" si="3"/>
        <v>0.66818945670822516</v>
      </c>
      <c r="G78" s="49">
        <f>IF((('Raw Data'!C78)/('Raw Data'!C$136)*100)&lt;0,0,('Raw Data'!C78)/('Raw Data'!C$136)*100)</f>
        <v>57.487584343351017</v>
      </c>
      <c r="H78" s="49">
        <f t="shared" si="4"/>
        <v>0.97684190231402113</v>
      </c>
      <c r="I78" s="31">
        <f t="shared" si="5"/>
        <v>3.8307645203674134E-2</v>
      </c>
      <c r="J78" s="15">
        <f>'Raw Data'!F78/I78</f>
        <v>0.25499920371517076</v>
      </c>
      <c r="K78" s="78">
        <f t="shared" si="6"/>
        <v>1.7863275484359129</v>
      </c>
      <c r="L78" s="49">
        <f>A78*Table!$AC$9/$AC$16</f>
        <v>61.599295808663321</v>
      </c>
      <c r="M78" s="49">
        <f>A78*Table!$AD$9/$AC$16</f>
        <v>21.119758562970283</v>
      </c>
      <c r="N78" s="49">
        <f>ABS(A78*Table!$AE$9/$AC$16)</f>
        <v>26.67327751276737</v>
      </c>
      <c r="O78" s="49">
        <f>($L78*(Table!$AC$10/Table!$AC$9)/(Table!$AC$12-Table!$AC$14))</f>
        <v>132.13062164020448</v>
      </c>
      <c r="P78" s="49">
        <f>$N78*(Table!$AE$10/Table!$AE$9)/(Table!$AC$12-Table!$AC$13)</f>
        <v>218.99242621319675</v>
      </c>
      <c r="Q78" s="49">
        <f>'Raw Data'!C78</f>
        <v>0.63661013626047502</v>
      </c>
      <c r="R78" s="49">
        <f>'Raw Data'!C78/'Raw Data'!I$23*100</f>
        <v>13.258535160723763</v>
      </c>
      <c r="S78" s="99">
        <f t="shared" si="7"/>
        <v>0.20654152247930233</v>
      </c>
      <c r="T78" s="99">
        <f t="shared" si="8"/>
        <v>1.3060105208455575E-3</v>
      </c>
      <c r="U78" s="76">
        <f t="shared" si="9"/>
        <v>4.0552920112454247E-2</v>
      </c>
      <c r="V78" s="76">
        <f t="shared" si="10"/>
        <v>1.7666003863860278</v>
      </c>
      <c r="W78" s="76">
        <f t="shared" si="11"/>
        <v>2.8817521976497811E-3</v>
      </c>
      <c r="X78" s="162">
        <f t="shared" si="12"/>
        <v>13.860200269368425</v>
      </c>
      <c r="AS78" s="42"/>
      <c r="AT78" s="42"/>
    </row>
    <row r="79" spans="1:46" x14ac:dyDescent="0.2">
      <c r="A79" s="49">
        <f>'Raw Data'!A79</f>
        <v>358.00738525390625</v>
      </c>
      <c r="B79" s="69">
        <f>'Raw Data'!E79</f>
        <v>0.585060241141374</v>
      </c>
      <c r="C79" s="69">
        <f t="shared" si="1"/>
        <v>0.414939758858626</v>
      </c>
      <c r="D79" s="23">
        <f t="shared" si="2"/>
        <v>1.0184397707863835E-2</v>
      </c>
      <c r="E79" s="15">
        <f>(2*Table!$AC$16*0.147)/A79</f>
        <v>0.30510621189243531</v>
      </c>
      <c r="F79" s="15">
        <f t="shared" si="3"/>
        <v>0.61021242378487062</v>
      </c>
      <c r="G79" s="49">
        <f>IF((('Raw Data'!C79)/('Raw Data'!C$136)*100)&lt;0,0,('Raw Data'!C79)/('Raw Data'!C$136)*100)</f>
        <v>58.506024114137404</v>
      </c>
      <c r="H79" s="49">
        <f t="shared" si="4"/>
        <v>1.0184397707863866</v>
      </c>
      <c r="I79" s="31">
        <f t="shared" si="5"/>
        <v>3.9418573136465296E-2</v>
      </c>
      <c r="J79" s="15">
        <f>'Raw Data'!F79/I79</f>
        <v>0.25836545814598405</v>
      </c>
      <c r="K79" s="78">
        <f t="shared" si="6"/>
        <v>1.9560487259320896</v>
      </c>
      <c r="L79" s="49">
        <f>A79*Table!$AC$9/$AC$16</f>
        <v>67.451920668384957</v>
      </c>
      <c r="M79" s="49">
        <f>A79*Table!$AD$9/$AC$16</f>
        <v>23.126372800589127</v>
      </c>
      <c r="N79" s="49">
        <f>ABS(A79*Table!$AE$9/$AC$16)</f>
        <v>29.207538416437004</v>
      </c>
      <c r="O79" s="49">
        <f>($L79*(Table!$AC$10/Table!$AC$9)/(Table!$AC$12-Table!$AC$14))</f>
        <v>144.68451451820027</v>
      </c>
      <c r="P79" s="49">
        <f>$N79*(Table!$AE$10/Table!$AE$9)/(Table!$AC$12-Table!$AC$13)</f>
        <v>239.79916598059933</v>
      </c>
      <c r="Q79" s="49">
        <f>'Raw Data'!C79</f>
        <v>0.64788820766770383</v>
      </c>
      <c r="R79" s="49">
        <f>'Raw Data'!C79/'Raw Data'!I$23*100</f>
        <v>13.493421000236557</v>
      </c>
      <c r="S79" s="99">
        <f t="shared" si="7"/>
        <v>0.21533689362976524</v>
      </c>
      <c r="T79" s="99">
        <f t="shared" si="8"/>
        <v>1.1254621861090941E-3</v>
      </c>
      <c r="U79" s="76">
        <f t="shared" si="9"/>
        <v>3.7690342590745003E-2</v>
      </c>
      <c r="V79" s="76">
        <f t="shared" si="10"/>
        <v>1.5609103829359059</v>
      </c>
      <c r="W79" s="76">
        <f t="shared" si="11"/>
        <v>2.5057085594871347E-3</v>
      </c>
      <c r="X79" s="162">
        <f t="shared" si="12"/>
        <v>13.862705977927913</v>
      </c>
      <c r="AS79" s="42"/>
      <c r="AT79" s="42"/>
    </row>
    <row r="80" spans="1:46" x14ac:dyDescent="0.2">
      <c r="A80" s="49">
        <f>'Raw Data'!A80</f>
        <v>392.74526977539062</v>
      </c>
      <c r="B80" s="69">
        <f>'Raw Data'!E80</f>
        <v>0.59574943122242674</v>
      </c>
      <c r="C80" s="69">
        <f t="shared" si="1"/>
        <v>0.40425056877757326</v>
      </c>
      <c r="D80" s="23">
        <f t="shared" si="2"/>
        <v>1.0689190081052735E-2</v>
      </c>
      <c r="E80" s="15">
        <f>(2*Table!$AC$16*0.147)/A80</f>
        <v>0.278119905064174</v>
      </c>
      <c r="F80" s="15">
        <f t="shared" si="3"/>
        <v>0.556239810128348</v>
      </c>
      <c r="G80" s="49">
        <f>IF((('Raw Data'!C80)/('Raw Data'!C$136)*100)&lt;0,0,('Raw Data'!C80)/('Raw Data'!C$136)*100)</f>
        <v>59.574943122242672</v>
      </c>
      <c r="H80" s="49">
        <f t="shared" si="4"/>
        <v>1.0689190081052686</v>
      </c>
      <c r="I80" s="31">
        <f t="shared" si="5"/>
        <v>4.0218977400564793E-2</v>
      </c>
      <c r="J80" s="15">
        <f>'Raw Data'!F80/I80</f>
        <v>0.26577478523615139</v>
      </c>
      <c r="K80" s="78">
        <f t="shared" si="6"/>
        <v>2.1458464718965606</v>
      </c>
      <c r="L80" s="49">
        <f>A80*Table!$AC$9/$AC$16</f>
        <v>73.996861156885998</v>
      </c>
      <c r="M80" s="49">
        <f>A80*Table!$AD$9/$AC$16</f>
        <v>25.370352396646627</v>
      </c>
      <c r="N80" s="49">
        <f>ABS(A80*Table!$AE$9/$AC$16)</f>
        <v>32.041580781086623</v>
      </c>
      <c r="O80" s="49">
        <f>($L80*(Table!$AC$10/Table!$AC$9)/(Table!$AC$12-Table!$AC$14))</f>
        <v>158.7234259049464</v>
      </c>
      <c r="P80" s="49">
        <f>$N80*(Table!$AE$10/Table!$AE$9)/(Table!$AC$12-Table!$AC$13)</f>
        <v>263.06716569036632</v>
      </c>
      <c r="Q80" s="49">
        <f>'Raw Data'!C80</f>
        <v>0.65972527967506189</v>
      </c>
      <c r="R80" s="49">
        <f>'Raw Data'!C80/'Raw Data'!I$23*100</f>
        <v>13.739949018674144</v>
      </c>
      <c r="S80" s="99">
        <f t="shared" si="7"/>
        <v>0.22601012386767735</v>
      </c>
      <c r="T80" s="99">
        <f t="shared" si="8"/>
        <v>9.680040950973412E-4</v>
      </c>
      <c r="U80" s="76">
        <f t="shared" si="9"/>
        <v>3.4984378109841945E-2</v>
      </c>
      <c r="V80" s="76">
        <f t="shared" si="10"/>
        <v>1.3761446852605144</v>
      </c>
      <c r="W80" s="76">
        <f t="shared" si="11"/>
        <v>2.1852546410077206E-3</v>
      </c>
      <c r="X80" s="162">
        <f t="shared" si="12"/>
        <v>13.864891232568921</v>
      </c>
      <c r="AS80" s="42"/>
      <c r="AT80" s="42"/>
    </row>
    <row r="81" spans="1:46" x14ac:dyDescent="0.2">
      <c r="A81" s="49">
        <f>'Raw Data'!A81</f>
        <v>429.1458740234375</v>
      </c>
      <c r="B81" s="69">
        <f>'Raw Data'!E81</f>
        <v>0.60712986644051492</v>
      </c>
      <c r="C81" s="69">
        <f t="shared" si="1"/>
        <v>0.39287013355948508</v>
      </c>
      <c r="D81" s="23">
        <f t="shared" si="2"/>
        <v>1.1380435218088181E-2</v>
      </c>
      <c r="E81" s="15">
        <f>(2*Table!$AC$16*0.147)/A81</f>
        <v>0.25452948229526612</v>
      </c>
      <c r="F81" s="15">
        <f t="shared" si="3"/>
        <v>0.50905896459053224</v>
      </c>
      <c r="G81" s="49">
        <f>IF((('Raw Data'!C81)/('Raw Data'!C$136)*100)&lt;0,0,('Raw Data'!C81)/('Raw Data'!C$136)*100)</f>
        <v>60.71298664405149</v>
      </c>
      <c r="H81" s="49">
        <f t="shared" si="4"/>
        <v>1.1380435218088181</v>
      </c>
      <c r="I81" s="31">
        <f t="shared" si="5"/>
        <v>3.8493978303592358E-2</v>
      </c>
      <c r="J81" s="15">
        <f>'Raw Data'!F81/I81</f>
        <v>0.29564196062910258</v>
      </c>
      <c r="K81" s="78">
        <f t="shared" si="6"/>
        <v>2.3447288371641175</v>
      </c>
      <c r="L81" s="49">
        <f>A81*Table!$AC$9/$AC$16</f>
        <v>80.855073504318966</v>
      </c>
      <c r="M81" s="49">
        <f>A81*Table!$AD$9/$AC$16</f>
        <v>27.721739487195077</v>
      </c>
      <c r="N81" s="49">
        <f>ABS(A81*Table!$AE$9/$AC$16)</f>
        <v>35.011273839799152</v>
      </c>
      <c r="O81" s="49">
        <f>($L81*(Table!$AC$10/Table!$AC$9)/(Table!$AC$12-Table!$AC$14))</f>
        <v>173.43430610107032</v>
      </c>
      <c r="P81" s="49">
        <f>$N81*(Table!$AE$10/Table!$AE$9)/(Table!$AC$12-Table!$AC$13)</f>
        <v>287.44888210015716</v>
      </c>
      <c r="Q81" s="49">
        <f>'Raw Data'!C81</f>
        <v>0.67232782768198385</v>
      </c>
      <c r="R81" s="49">
        <f>'Raw Data'!C81/'Raw Data'!I$23*100</f>
        <v>14.002419432428468</v>
      </c>
      <c r="S81" s="99">
        <f t="shared" si="7"/>
        <v>0.24062567451835157</v>
      </c>
      <c r="T81" s="99">
        <f t="shared" si="8"/>
        <v>8.2759633984486047E-4</v>
      </c>
      <c r="U81" s="76">
        <f t="shared" si="9"/>
        <v>3.2628577553710174E-2</v>
      </c>
      <c r="V81" s="76">
        <f t="shared" si="10"/>
        <v>1.22311516890237</v>
      </c>
      <c r="W81" s="76">
        <f t="shared" si="11"/>
        <v>1.9486245313115648E-3</v>
      </c>
      <c r="X81" s="162">
        <f t="shared" si="12"/>
        <v>13.866839857100231</v>
      </c>
      <c r="AS81" s="42"/>
      <c r="AT81" s="42"/>
    </row>
    <row r="82" spans="1:46" x14ac:dyDescent="0.2">
      <c r="A82" s="49">
        <f>'Raw Data'!A82</f>
        <v>469.15017700195312</v>
      </c>
      <c r="B82" s="69">
        <f>'Raw Data'!E82</f>
        <v>0.6185398403603285</v>
      </c>
      <c r="C82" s="69">
        <f t="shared" si="1"/>
        <v>0.3814601596396715</v>
      </c>
      <c r="D82" s="23">
        <f t="shared" si="2"/>
        <v>1.1409973919813576E-2</v>
      </c>
      <c r="E82" s="15">
        <f>(2*Table!$AC$16*0.147)/A82</f>
        <v>0.23282582528766754</v>
      </c>
      <c r="F82" s="15">
        <f t="shared" si="3"/>
        <v>0.46565165057533509</v>
      </c>
      <c r="G82" s="49">
        <f>IF((('Raw Data'!C82)/('Raw Data'!C$136)*100)&lt;0,0,('Raw Data'!C82)/('Raw Data'!C$136)*100)</f>
        <v>61.853984036032848</v>
      </c>
      <c r="H82" s="49">
        <f t="shared" si="4"/>
        <v>1.1409973919813581</v>
      </c>
      <c r="I82" s="31">
        <f t="shared" si="5"/>
        <v>3.8706943109601544E-2</v>
      </c>
      <c r="J82" s="15">
        <f>'Raw Data'!F82/I82</f>
        <v>0.29477848166685239</v>
      </c>
      <c r="K82" s="78">
        <f t="shared" si="6"/>
        <v>2.5633007691856595</v>
      </c>
      <c r="L82" s="49">
        <f>A82*Table!$AC$9/$AC$16</f>
        <v>88.392256205137102</v>
      </c>
      <c r="M82" s="49">
        <f>A82*Table!$AD$9/$AC$16</f>
        <v>30.305916413189863</v>
      </c>
      <c r="N82" s="49">
        <f>ABS(A82*Table!$AE$9/$AC$16)</f>
        <v>38.274969685735705</v>
      </c>
      <c r="O82" s="49">
        <f>($L82*(Table!$AC$10/Table!$AC$9)/(Table!$AC$12-Table!$AC$14))</f>
        <v>189.60157916159827</v>
      </c>
      <c r="P82" s="49">
        <f>$N82*(Table!$AE$10/Table!$AE$9)/(Table!$AC$12-Table!$AC$13)</f>
        <v>314.24441449700896</v>
      </c>
      <c r="Q82" s="49">
        <f>'Raw Data'!C82</f>
        <v>0.68496308646836412</v>
      </c>
      <c r="R82" s="49">
        <f>'Raw Data'!C82/'Raw Data'!I$23*100</f>
        <v>14.265571106179891</v>
      </c>
      <c r="S82" s="99">
        <f t="shared" si="7"/>
        <v>0.24125023499348811</v>
      </c>
      <c r="T82" s="99">
        <f t="shared" si="8"/>
        <v>7.0980781284779582E-4</v>
      </c>
      <c r="U82" s="76">
        <f t="shared" si="9"/>
        <v>3.040725934996397E-2</v>
      </c>
      <c r="V82" s="76">
        <f t="shared" si="10"/>
        <v>1.0856440920554289</v>
      </c>
      <c r="W82" s="76">
        <f t="shared" si="11"/>
        <v>1.6347075188323003E-3</v>
      </c>
      <c r="X82" s="162">
        <f t="shared" si="12"/>
        <v>13.868474564619063</v>
      </c>
      <c r="AS82" s="42"/>
      <c r="AT82" s="42"/>
    </row>
    <row r="83" spans="1:46" x14ac:dyDescent="0.2">
      <c r="A83" s="49">
        <f>'Raw Data'!A83</f>
        <v>513.83038330078125</v>
      </c>
      <c r="B83" s="69">
        <f>'Raw Data'!E83</f>
        <v>0.63067850145046844</v>
      </c>
      <c r="C83" s="69">
        <f t="shared" si="1"/>
        <v>0.36932149854953156</v>
      </c>
      <c r="D83" s="23">
        <f t="shared" si="2"/>
        <v>1.2138661090139946E-2</v>
      </c>
      <c r="E83" s="15">
        <f>(2*Table!$AC$16*0.147)/A83</f>
        <v>0.21258041699024022</v>
      </c>
      <c r="F83" s="15">
        <f t="shared" si="3"/>
        <v>0.42516083398048043</v>
      </c>
      <c r="G83" s="49">
        <f>IF((('Raw Data'!C83)/('Raw Data'!C$136)*100)&lt;0,0,('Raw Data'!C83)/('Raw Data'!C$136)*100)</f>
        <v>63.067850145046847</v>
      </c>
      <c r="H83" s="49">
        <f t="shared" si="4"/>
        <v>1.2138661090139991</v>
      </c>
      <c r="I83" s="31">
        <f t="shared" si="5"/>
        <v>3.950789644024022E-2</v>
      </c>
      <c r="J83" s="15">
        <f>'Raw Data'!F83/I83</f>
        <v>0.30724645409813012</v>
      </c>
      <c r="K83" s="78">
        <f t="shared" si="6"/>
        <v>2.8074204834849108</v>
      </c>
      <c r="L83" s="49">
        <f>A83*Table!$AC$9/$AC$16</f>
        <v>96.810422575024134</v>
      </c>
      <c r="M83" s="49">
        <f>A83*Table!$AD$9/$AC$16</f>
        <v>33.192144882865421</v>
      </c>
      <c r="N83" s="49">
        <f>ABS(A83*Table!$AE$9/$AC$16)</f>
        <v>41.920142650538715</v>
      </c>
      <c r="O83" s="49">
        <f>($L83*(Table!$AC$10/Table!$AC$9)/(Table!$AC$12-Table!$AC$14))</f>
        <v>207.65856408199087</v>
      </c>
      <c r="P83" s="49">
        <f>$N83*(Table!$AE$10/Table!$AE$9)/(Table!$AC$12-Table!$AC$13)</f>
        <v>344.17194294366755</v>
      </c>
      <c r="Q83" s="49">
        <f>'Raw Data'!C83</f>
        <v>0.69840528408178226</v>
      </c>
      <c r="R83" s="49">
        <f>'Raw Data'!C83/'Raw Data'!I$23*100</f>
        <v>14.54552871216746</v>
      </c>
      <c r="S83" s="99">
        <f t="shared" si="7"/>
        <v>0.25665745260094508</v>
      </c>
      <c r="T83" s="99">
        <f t="shared" si="8"/>
        <v>6.053422058016622E-4</v>
      </c>
      <c r="U83" s="76">
        <f t="shared" si="9"/>
        <v>2.8308035462459084E-2</v>
      </c>
      <c r="V83" s="76">
        <f t="shared" si="10"/>
        <v>0.96194945028139023</v>
      </c>
      <c r="W83" s="76">
        <f t="shared" si="11"/>
        <v>1.4498076990285516E-3</v>
      </c>
      <c r="X83" s="162">
        <f t="shared" si="12"/>
        <v>13.869924372318092</v>
      </c>
      <c r="AS83" s="42"/>
      <c r="AT83" s="42"/>
    </row>
    <row r="84" spans="1:46" x14ac:dyDescent="0.2">
      <c r="A84" s="49">
        <f>'Raw Data'!A84</f>
        <v>562.29156494140625</v>
      </c>
      <c r="B84" s="69">
        <f>'Raw Data'!E84</f>
        <v>0.64369910848220602</v>
      </c>
      <c r="C84" s="69">
        <f t="shared" si="1"/>
        <v>0.35630089151779398</v>
      </c>
      <c r="D84" s="23">
        <f t="shared" si="2"/>
        <v>1.3020607031737574E-2</v>
      </c>
      <c r="E84" s="15">
        <f>(2*Table!$AC$16*0.147)/A84</f>
        <v>0.19425914232897556</v>
      </c>
      <c r="F84" s="15">
        <f t="shared" si="3"/>
        <v>0.38851828465795113</v>
      </c>
      <c r="G84" s="49">
        <f>IF((('Raw Data'!C84)/('Raw Data'!C$136)*100)&lt;0,0,('Raw Data'!C84)/('Raw Data'!C$136)*100)</f>
        <v>64.369910848220599</v>
      </c>
      <c r="H84" s="49">
        <f t="shared" si="4"/>
        <v>1.3020607031737512</v>
      </c>
      <c r="I84" s="31">
        <f t="shared" si="5"/>
        <v>3.9141787658315219E-2</v>
      </c>
      <c r="J84" s="15">
        <f>'Raw Data'!F84/I84</f>
        <v>0.33265233426229313</v>
      </c>
      <c r="K84" s="78">
        <f t="shared" si="6"/>
        <v>3.0721983526288099</v>
      </c>
      <c r="L84" s="49">
        <f>A84*Table!$AC$9/$AC$16</f>
        <v>105.94095986045285</v>
      </c>
      <c r="M84" s="49">
        <f>A84*Table!$AD$9/$AC$16</f>
        <v>36.322614809298116</v>
      </c>
      <c r="N84" s="49">
        <f>ABS(A84*Table!$AE$9/$AC$16)</f>
        <v>45.873781270229848</v>
      </c>
      <c r="O84" s="49">
        <f>($L84*(Table!$AC$10/Table!$AC$9)/(Table!$AC$12-Table!$AC$14))</f>
        <v>227.24358614425751</v>
      </c>
      <c r="P84" s="49">
        <f>$N84*(Table!$AE$10/Table!$AE$9)/(Table!$AC$12-Table!$AC$13)</f>
        <v>376.63203013324988</v>
      </c>
      <c r="Q84" s="49">
        <f>'Raw Data'!C84</f>
        <v>0.71282413732000727</v>
      </c>
      <c r="R84" s="49">
        <f>'Raw Data'!C84/'Raw Data'!I$23*100</f>
        <v>14.845826903709453</v>
      </c>
      <c r="S84" s="99">
        <f t="shared" si="7"/>
        <v>0.27530514339824858</v>
      </c>
      <c r="T84" s="99">
        <f t="shared" si="8"/>
        <v>5.117692813658703E-4</v>
      </c>
      <c r="U84" s="76">
        <f t="shared" si="9"/>
        <v>2.640236459043533E-2</v>
      </c>
      <c r="V84" s="76">
        <f t="shared" si="10"/>
        <v>0.85500944245344357</v>
      </c>
      <c r="W84" s="76">
        <f t="shared" si="11"/>
        <v>1.2986355041008553E-3</v>
      </c>
      <c r="X84" s="162">
        <f t="shared" si="12"/>
        <v>13.871223007822193</v>
      </c>
      <c r="AS84" s="42"/>
      <c r="AT84" s="42"/>
    </row>
    <row r="85" spans="1:46" x14ac:dyDescent="0.2">
      <c r="A85" s="49">
        <f>'Raw Data'!A85</f>
        <v>613.73175048828125</v>
      </c>
      <c r="B85" s="69">
        <f>'Raw Data'!E85</f>
        <v>0.65704513519114727</v>
      </c>
      <c r="C85" s="69">
        <f t="shared" si="1"/>
        <v>0.34295486480885273</v>
      </c>
      <c r="D85" s="23">
        <f t="shared" si="2"/>
        <v>1.334602670894125E-2</v>
      </c>
      <c r="E85" s="15">
        <f>(2*Table!$AC$16*0.147)/A85</f>
        <v>0.17797723037374572</v>
      </c>
      <c r="F85" s="15">
        <f t="shared" si="3"/>
        <v>0.35595446074749143</v>
      </c>
      <c r="G85" s="49">
        <f>IF((('Raw Data'!C85)/('Raw Data'!C$136)*100)&lt;0,0,('Raw Data'!C85)/('Raw Data'!C$136)*100)</f>
        <v>65.704513519114727</v>
      </c>
      <c r="H85" s="49">
        <f t="shared" si="4"/>
        <v>1.3346026708941281</v>
      </c>
      <c r="I85" s="31">
        <f t="shared" si="5"/>
        <v>3.8017022824529567E-2</v>
      </c>
      <c r="J85" s="15">
        <f>'Raw Data'!F85/I85</f>
        <v>0.35105396786436543</v>
      </c>
      <c r="K85" s="78">
        <f t="shared" si="6"/>
        <v>3.3532526368283211</v>
      </c>
      <c r="L85" s="49">
        <f>A85*Table!$AC$9/$AC$16</f>
        <v>115.63276918503983</v>
      </c>
      <c r="M85" s="49">
        <f>A85*Table!$AD$9/$AC$16</f>
        <v>39.645520863442229</v>
      </c>
      <c r="N85" s="49">
        <f>ABS(A85*Table!$AE$9/$AC$16)</f>
        <v>50.070457812093466</v>
      </c>
      <c r="O85" s="49">
        <f>($L85*(Table!$AC$10/Table!$AC$9)/(Table!$AC$12-Table!$AC$14))</f>
        <v>248.03253793444841</v>
      </c>
      <c r="P85" s="49">
        <f>$N85*(Table!$AE$10/Table!$AE$9)/(Table!$AC$12-Table!$AC$13)</f>
        <v>411.08750256234367</v>
      </c>
      <c r="Q85" s="49">
        <f>'Raw Data'!C85</f>
        <v>0.72760335613527427</v>
      </c>
      <c r="R85" s="49">
        <f>'Raw Data'!C85/'Raw Data'!I$23*100</f>
        <v>15.15363034752718</v>
      </c>
      <c r="S85" s="99">
        <f t="shared" si="7"/>
        <v>0.28218575277988461</v>
      </c>
      <c r="T85" s="99">
        <f t="shared" si="8"/>
        <v>4.3126167493778844E-4</v>
      </c>
      <c r="U85" s="76">
        <f t="shared" si="9"/>
        <v>2.4690966917502711E-2</v>
      </c>
      <c r="V85" s="76">
        <f t="shared" si="10"/>
        <v>0.76340468114737736</v>
      </c>
      <c r="W85" s="76">
        <f t="shared" si="11"/>
        <v>1.1173107679187746E-3</v>
      </c>
      <c r="X85" s="162">
        <f t="shared" si="12"/>
        <v>13.872340318590112</v>
      </c>
      <c r="AS85" s="42"/>
      <c r="AT85" s="42"/>
    </row>
    <row r="86" spans="1:46" x14ac:dyDescent="0.2">
      <c r="A86" s="49">
        <f>'Raw Data'!A86</f>
        <v>671.674560546875</v>
      </c>
      <c r="B86" s="69">
        <f>'Raw Data'!E86</f>
        <v>0.67122647818545089</v>
      </c>
      <c r="C86" s="69">
        <f t="shared" si="1"/>
        <v>0.32877352181454911</v>
      </c>
      <c r="D86" s="23">
        <f t="shared" si="2"/>
        <v>1.4181342994303625E-2</v>
      </c>
      <c r="E86" s="15">
        <f>(2*Table!$AC$16*0.147)/A86</f>
        <v>0.16262381153069153</v>
      </c>
      <c r="F86" s="15">
        <f t="shared" si="3"/>
        <v>0.32524762306138305</v>
      </c>
      <c r="G86" s="49">
        <f>IF((('Raw Data'!C86)/('Raw Data'!C$136)*100)&lt;0,0,('Raw Data'!C86)/('Raw Data'!C$136)*100)</f>
        <v>67.12264781854509</v>
      </c>
      <c r="H86" s="49">
        <f t="shared" si="4"/>
        <v>1.4181342994303634</v>
      </c>
      <c r="I86" s="31">
        <f t="shared" si="5"/>
        <v>3.9180308413073406E-2</v>
      </c>
      <c r="J86" s="15">
        <f>'Raw Data'!F86/I86</f>
        <v>0.3619507749860309</v>
      </c>
      <c r="K86" s="78">
        <f t="shared" si="6"/>
        <v>3.6698353791414577</v>
      </c>
      <c r="L86" s="49">
        <f>A86*Table!$AC$9/$AC$16</f>
        <v>126.54973343873444</v>
      </c>
      <c r="M86" s="49">
        <f>A86*Table!$AD$9/$AC$16</f>
        <v>43.388480036137516</v>
      </c>
      <c r="N86" s="49">
        <f>ABS(A86*Table!$AE$9/$AC$16)</f>
        <v>54.79764200004653</v>
      </c>
      <c r="O86" s="49">
        <f>($L86*(Table!$AC$10/Table!$AC$9)/(Table!$AC$12-Table!$AC$14))</f>
        <v>271.44944967553505</v>
      </c>
      <c r="P86" s="49">
        <f>$N86*(Table!$AE$10/Table!$AE$9)/(Table!$AC$12-Table!$AC$13)</f>
        <v>449.89853858823085</v>
      </c>
      <c r="Q86" s="49">
        <f>'Raw Data'!C86</f>
        <v>0.74330759349205633</v>
      </c>
      <c r="R86" s="49">
        <f>'Raw Data'!C86/'Raw Data'!I$23*100</f>
        <v>15.480698943057764</v>
      </c>
      <c r="S86" s="99">
        <f t="shared" si="7"/>
        <v>0.2998475153355043</v>
      </c>
      <c r="T86" s="99">
        <f t="shared" si="8"/>
        <v>3.5983808594031164E-4</v>
      </c>
      <c r="U86" s="76">
        <f t="shared" si="9"/>
        <v>2.3047916137323161E-2</v>
      </c>
      <c r="V86" s="76">
        <f t="shared" si="10"/>
        <v>0.67948995561793857</v>
      </c>
      <c r="W86" s="76">
        <f t="shared" si="11"/>
        <v>9.9123981709121661E-4</v>
      </c>
      <c r="X86" s="162">
        <f t="shared" si="12"/>
        <v>13.873331558407203</v>
      </c>
      <c r="AS86" s="42"/>
      <c r="AT86" s="42"/>
    </row>
    <row r="87" spans="1:46" x14ac:dyDescent="0.2">
      <c r="A87" s="49">
        <f>'Raw Data'!A87</f>
        <v>735.85565185546875</v>
      </c>
      <c r="B87" s="69">
        <f>'Raw Data'!E87</f>
        <v>0.68621501477696301</v>
      </c>
      <c r="C87" s="69">
        <f t="shared" si="1"/>
        <v>0.31378498522303699</v>
      </c>
      <c r="D87" s="23">
        <f t="shared" si="2"/>
        <v>1.4988536591512114E-2</v>
      </c>
      <c r="E87" s="15">
        <f>(2*Table!$AC$16*0.147)/A87</f>
        <v>0.14843981542971044</v>
      </c>
      <c r="F87" s="15">
        <f t="shared" si="3"/>
        <v>0.29687963085942087</v>
      </c>
      <c r="G87" s="49">
        <f>IF((('Raw Data'!C87)/('Raw Data'!C$136)*100)&lt;0,0,('Raw Data'!C87)/('Raw Data'!C$136)*100)</f>
        <v>68.621501477696299</v>
      </c>
      <c r="H87" s="49">
        <f t="shared" si="4"/>
        <v>1.4988536591512087</v>
      </c>
      <c r="I87" s="31">
        <f t="shared" si="5"/>
        <v>3.9633730043790116E-2</v>
      </c>
      <c r="J87" s="15">
        <f>'Raw Data'!F87/I87</f>
        <v>0.37817628002592063</v>
      </c>
      <c r="K87" s="78">
        <f t="shared" si="6"/>
        <v>4.0205022845017178</v>
      </c>
      <c r="L87" s="49">
        <f>A87*Table!$AC$9/$AC$16</f>
        <v>138.64204789277096</v>
      </c>
      <c r="M87" s="49">
        <f>A87*Table!$AD$9/$AC$16</f>
        <v>47.534416420378619</v>
      </c>
      <c r="N87" s="49">
        <f>ABS(A87*Table!$AE$9/$AC$16)</f>
        <v>60.033767753919228</v>
      </c>
      <c r="O87" s="49">
        <f>($L87*(Table!$AC$10/Table!$AC$9)/(Table!$AC$12-Table!$AC$14))</f>
        <v>297.38749011748388</v>
      </c>
      <c r="P87" s="49">
        <f>$N87*(Table!$AE$10/Table!$AE$9)/(Table!$AC$12-Table!$AC$13)</f>
        <v>492.8880767973663</v>
      </c>
      <c r="Q87" s="49">
        <f>'Raw Data'!C87</f>
        <v>0.75990570668616431</v>
      </c>
      <c r="R87" s="49">
        <f>'Raw Data'!C87/'Raw Data'!I$23*100</f>
        <v>15.826384088252674</v>
      </c>
      <c r="S87" s="99">
        <f t="shared" si="7"/>
        <v>0.3169146573272687</v>
      </c>
      <c r="T87" s="99">
        <f t="shared" si="8"/>
        <v>2.969430918353666E-4</v>
      </c>
      <c r="U87" s="76">
        <f t="shared" si="9"/>
        <v>2.15074574046503E-2</v>
      </c>
      <c r="V87" s="76">
        <f t="shared" si="10"/>
        <v>0.60447871847977408</v>
      </c>
      <c r="W87" s="76">
        <f t="shared" si="11"/>
        <v>8.7287720104306055E-4</v>
      </c>
      <c r="X87" s="162">
        <f t="shared" si="12"/>
        <v>13.874204435608247</v>
      </c>
      <c r="AS87" s="42"/>
      <c r="AT87" s="42"/>
    </row>
    <row r="88" spans="1:46" x14ac:dyDescent="0.2">
      <c r="A88" s="49">
        <f>'Raw Data'!A88</f>
        <v>804.97662353515625</v>
      </c>
      <c r="B88" s="69">
        <f>'Raw Data'!E88</f>
        <v>0.70128620704442968</v>
      </c>
      <c r="C88" s="69">
        <f t="shared" si="1"/>
        <v>0.29871379295557032</v>
      </c>
      <c r="D88" s="23">
        <f t="shared" si="2"/>
        <v>1.5071192267466671E-2</v>
      </c>
      <c r="E88" s="15">
        <f>(2*Table!$AC$16*0.147)/A88</f>
        <v>0.13569372569433946</v>
      </c>
      <c r="F88" s="15">
        <f t="shared" si="3"/>
        <v>0.27138745138867892</v>
      </c>
      <c r="G88" s="49">
        <f>IF((('Raw Data'!C88)/('Raw Data'!C$136)*100)&lt;0,0,('Raw Data'!C88)/('Raw Data'!C$136)*100)</f>
        <v>70.128620704442966</v>
      </c>
      <c r="H88" s="49">
        <f t="shared" si="4"/>
        <v>1.5071192267466671</v>
      </c>
      <c r="I88" s="31">
        <f t="shared" si="5"/>
        <v>3.899063877634068E-2</v>
      </c>
      <c r="J88" s="15">
        <f>'Raw Data'!F88/I88</f>
        <v>0.38653360756458788</v>
      </c>
      <c r="K88" s="78">
        <f t="shared" si="6"/>
        <v>4.3981592663356297</v>
      </c>
      <c r="L88" s="49">
        <f>A88*Table!$AC$9/$AC$16</f>
        <v>151.66508174709588</v>
      </c>
      <c r="M88" s="49">
        <f>A88*Table!$AD$9/$AC$16</f>
        <v>51.999456599004304</v>
      </c>
      <c r="N88" s="49">
        <f>ABS(A88*Table!$AE$9/$AC$16)</f>
        <v>65.672906830014313</v>
      </c>
      <c r="O88" s="49">
        <f>($L88*(Table!$AC$10/Table!$AC$9)/(Table!$AC$12-Table!$AC$14))</f>
        <v>325.32192566944639</v>
      </c>
      <c r="P88" s="49">
        <f>$N88*(Table!$AE$10/Table!$AE$9)/(Table!$AC$12-Table!$AC$13)</f>
        <v>539.18642717581531</v>
      </c>
      <c r="Q88" s="49">
        <f>'Raw Data'!C88</f>
        <v>0.77659535171576877</v>
      </c>
      <c r="R88" s="49">
        <f>'Raw Data'!C88/'Raw Data'!I$23*100</f>
        <v>16.173975546259982</v>
      </c>
      <c r="S88" s="99">
        <f t="shared" si="7"/>
        <v>0.31866231261445171</v>
      </c>
      <c r="T88" s="99">
        <f t="shared" si="8"/>
        <v>2.4409574594208561E-4</v>
      </c>
      <c r="U88" s="76">
        <f t="shared" si="9"/>
        <v>2.009247855574977E-2</v>
      </c>
      <c r="V88" s="76">
        <f t="shared" si="10"/>
        <v>0.53876896018959897</v>
      </c>
      <c r="W88" s="76">
        <f t="shared" si="11"/>
        <v>7.3343266856734971E-4</v>
      </c>
      <c r="X88" s="162">
        <f t="shared" si="12"/>
        <v>13.874937868276815</v>
      </c>
      <c r="AS88" s="42"/>
      <c r="AT88" s="42"/>
    </row>
    <row r="89" spans="1:46" x14ac:dyDescent="0.2">
      <c r="A89" s="49">
        <f>'Raw Data'!A89</f>
        <v>879.329345703125</v>
      </c>
      <c r="B89" s="69">
        <f>'Raw Data'!E89</f>
        <v>0.71638552200004968</v>
      </c>
      <c r="C89" s="69">
        <f t="shared" si="1"/>
        <v>0.28361447799995032</v>
      </c>
      <c r="D89" s="23">
        <f t="shared" si="2"/>
        <v>1.5099314955620002E-2</v>
      </c>
      <c r="E89" s="15">
        <f>(2*Table!$AC$16*0.147)/A89</f>
        <v>0.12421998387531678</v>
      </c>
      <c r="F89" s="15">
        <f t="shared" si="3"/>
        <v>0.24843996775063357</v>
      </c>
      <c r="G89" s="49">
        <f>IF((('Raw Data'!C89)/('Raw Data'!C$136)*100)&lt;0,0,('Raw Data'!C89)/('Raw Data'!C$136)*100)</f>
        <v>71.638552200004966</v>
      </c>
      <c r="H89" s="49">
        <f t="shared" si="4"/>
        <v>1.5099314955620002</v>
      </c>
      <c r="I89" s="31">
        <f t="shared" si="5"/>
        <v>3.8368298363466335E-2</v>
      </c>
      <c r="J89" s="15">
        <f>'Raw Data'!F89/I89</f>
        <v>0.39353621608607281</v>
      </c>
      <c r="K89" s="78">
        <f t="shared" si="6"/>
        <v>4.8044010184801857</v>
      </c>
      <c r="L89" s="49">
        <f>A89*Table!$AC$9/$AC$16</f>
        <v>165.67382604603091</v>
      </c>
      <c r="M89" s="49">
        <f>A89*Table!$AD$9/$AC$16</f>
        <v>56.802454644353453</v>
      </c>
      <c r="N89" s="49">
        <f>ABS(A89*Table!$AE$9/$AC$16)</f>
        <v>71.738871049013383</v>
      </c>
      <c r="O89" s="49">
        <f>($L89*(Table!$AC$10/Table!$AC$9)/(Table!$AC$12-Table!$AC$14))</f>
        <v>355.37071223944855</v>
      </c>
      <c r="P89" s="49">
        <f>$N89*(Table!$AE$10/Table!$AE$9)/(Table!$AC$12-Table!$AC$13)</f>
        <v>588.98908907235932</v>
      </c>
      <c r="Q89" s="49">
        <f>'Raw Data'!C89</f>
        <v>0.79331613944956203</v>
      </c>
      <c r="R89" s="49">
        <f>'Raw Data'!C89/'Raw Data'!I$23*100</f>
        <v>16.522215606315811</v>
      </c>
      <c r="S89" s="99">
        <f t="shared" si="7"/>
        <v>0.31925693317829529</v>
      </c>
      <c r="T89" s="99">
        <f t="shared" si="8"/>
        <v>1.9972505229370885E-4</v>
      </c>
      <c r="U89" s="76">
        <f t="shared" si="9"/>
        <v>1.8789564668860673E-2</v>
      </c>
      <c r="V89" s="76">
        <f t="shared" si="10"/>
        <v>0.48102324756604237</v>
      </c>
      <c r="W89" s="76">
        <f t="shared" si="11"/>
        <v>6.1579092948885596E-4</v>
      </c>
      <c r="X89" s="162">
        <f t="shared" si="12"/>
        <v>13.875553659206304</v>
      </c>
      <c r="AS89" s="42"/>
      <c r="AT89" s="42"/>
    </row>
    <row r="90" spans="1:46" x14ac:dyDescent="0.2">
      <c r="A90" s="49">
        <f>'Raw Data'!A90</f>
        <v>961.685791015625</v>
      </c>
      <c r="B90" s="69">
        <f>'Raw Data'!E90</f>
        <v>0.7318188844364989</v>
      </c>
      <c r="C90" s="69">
        <f t="shared" si="1"/>
        <v>0.2681811155635011</v>
      </c>
      <c r="D90" s="23">
        <f t="shared" si="2"/>
        <v>1.5433362436449216E-2</v>
      </c>
      <c r="E90" s="15">
        <f>(2*Table!$AC$16*0.147)/A90</f>
        <v>0.11358208488136051</v>
      </c>
      <c r="F90" s="15">
        <f t="shared" si="3"/>
        <v>0.22716416976272102</v>
      </c>
      <c r="G90" s="49">
        <f>IF((('Raw Data'!C90)/('Raw Data'!C$136)*100)&lt;0,0,('Raw Data'!C90)/('Raw Data'!C$136)*100)</f>
        <v>73.181888443649896</v>
      </c>
      <c r="H90" s="49">
        <f t="shared" si="4"/>
        <v>1.5433362436449301</v>
      </c>
      <c r="I90" s="31">
        <f t="shared" si="5"/>
        <v>3.8881632324769488E-2</v>
      </c>
      <c r="J90" s="15">
        <f>'Raw Data'!F90/I90</f>
        <v>0.39693195767960121</v>
      </c>
      <c r="K90" s="78">
        <f t="shared" si="6"/>
        <v>5.2543727971672674</v>
      </c>
      <c r="L90" s="49">
        <f>A90*Table!$AC$9/$AC$16</f>
        <v>181.19054621594904</v>
      </c>
      <c r="M90" s="49">
        <f>A90*Table!$AD$9/$AC$16</f>
        <v>62.122472988325384</v>
      </c>
      <c r="N90" s="49">
        <f>ABS(A90*Table!$AE$9/$AC$16)</f>
        <v>78.457807974295136</v>
      </c>
      <c r="O90" s="49">
        <f>($L90*(Table!$AC$10/Table!$AC$9)/(Table!$AC$12-Table!$AC$14))</f>
        <v>388.65411028732103</v>
      </c>
      <c r="P90" s="49">
        <f>$N90*(Table!$AE$10/Table!$AE$9)/(Table!$AC$12-Table!$AC$13)</f>
        <v>644.15277483000921</v>
      </c>
      <c r="Q90" s="49">
        <f>'Raw Data'!C90</f>
        <v>0.81040684707948107</v>
      </c>
      <c r="R90" s="49">
        <f>'Raw Data'!C90/'Raw Data'!I$23*100</f>
        <v>16.878159904287553</v>
      </c>
      <c r="S90" s="99">
        <f t="shared" si="7"/>
        <v>0.32631996713572498</v>
      </c>
      <c r="T90" s="99">
        <f t="shared" si="8"/>
        <v>1.6180785183428359E-4</v>
      </c>
      <c r="U90" s="76">
        <f t="shared" si="9"/>
        <v>1.7550597151344754E-2</v>
      </c>
      <c r="V90" s="76">
        <f t="shared" si="10"/>
        <v>0.42861808810932744</v>
      </c>
      <c r="W90" s="76">
        <f t="shared" si="11"/>
        <v>5.2622725034730093E-4</v>
      </c>
      <c r="X90" s="162">
        <f t="shared" si="12"/>
        <v>13.876079886456651</v>
      </c>
      <c r="AS90" s="42"/>
      <c r="AT90" s="42"/>
    </row>
    <row r="91" spans="1:46" x14ac:dyDescent="0.2">
      <c r="A91" s="49">
        <f>'Raw Data'!A91</f>
        <v>1048.0577392578125</v>
      </c>
      <c r="B91" s="69">
        <f>'Raw Data'!E91</f>
        <v>0.74643655719430668</v>
      </c>
      <c r="C91" s="69">
        <f t="shared" si="1"/>
        <v>0.25356344280569332</v>
      </c>
      <c r="D91" s="23">
        <f t="shared" si="2"/>
        <v>1.4617672757807787E-2</v>
      </c>
      <c r="E91" s="15">
        <f>(2*Table!$AC$16*0.147)/A91</f>
        <v>0.10422162162715103</v>
      </c>
      <c r="F91" s="15">
        <f t="shared" si="3"/>
        <v>0.20844324325430205</v>
      </c>
      <c r="G91" s="49">
        <f>IF((('Raw Data'!C91)/('Raw Data'!C$136)*100)&lt;0,0,('Raw Data'!C91)/('Raw Data'!C$136)*100)</f>
        <v>74.643655719430669</v>
      </c>
      <c r="H91" s="49">
        <f t="shared" si="4"/>
        <v>1.4617672757807725</v>
      </c>
      <c r="I91" s="31">
        <f t="shared" si="5"/>
        <v>3.735200996000354E-2</v>
      </c>
      <c r="J91" s="15">
        <f>'Raw Data'!F91/I91</f>
        <v>0.39134902709279534</v>
      </c>
      <c r="K91" s="78">
        <f t="shared" si="6"/>
        <v>5.726284121554003</v>
      </c>
      <c r="L91" s="49">
        <f>A91*Table!$AC$9/$AC$16</f>
        <v>197.46382447995467</v>
      </c>
      <c r="M91" s="49">
        <f>A91*Table!$AD$9/$AC$16</f>
        <v>67.701882678841599</v>
      </c>
      <c r="N91" s="49">
        <f>ABS(A91*Table!$AE$9/$AC$16)</f>
        <v>85.504344164036141</v>
      </c>
      <c r="O91" s="49">
        <f>($L91*(Table!$AC$10/Table!$AC$9)/(Table!$AC$12-Table!$AC$14))</f>
        <v>423.56032706982984</v>
      </c>
      <c r="P91" s="49">
        <f>$N91*(Table!$AE$10/Table!$AE$9)/(Table!$AC$12-Table!$AC$13)</f>
        <v>702.00610972115044</v>
      </c>
      <c r="Q91" s="49">
        <f>'Raw Data'!C91</f>
        <v>0.8265942704204573</v>
      </c>
      <c r="R91" s="49">
        <f>'Raw Data'!C91/'Raw Data'!I$23*100</f>
        <v>17.215291704903496</v>
      </c>
      <c r="S91" s="99">
        <f t="shared" si="7"/>
        <v>0.30907318567619096</v>
      </c>
      <c r="T91" s="99">
        <f t="shared" si="8"/>
        <v>1.3157007032393864E-4</v>
      </c>
      <c r="U91" s="76">
        <f t="shared" si="9"/>
        <v>1.6425900081702173E-2</v>
      </c>
      <c r="V91" s="76">
        <f t="shared" si="10"/>
        <v>0.38320638216257968</v>
      </c>
      <c r="W91" s="76">
        <f t="shared" si="11"/>
        <v>4.1964977445493564E-4</v>
      </c>
      <c r="X91" s="162">
        <f t="shared" si="12"/>
        <v>13.876499536231107</v>
      </c>
      <c r="AS91" s="42"/>
      <c r="AT91" s="42"/>
    </row>
    <row r="92" spans="1:46" x14ac:dyDescent="0.2">
      <c r="A92" s="49">
        <f>'Raw Data'!A92</f>
        <v>1148.8321533203125</v>
      </c>
      <c r="B92" s="69">
        <f>'Raw Data'!E92</f>
        <v>0.76201804123650996</v>
      </c>
      <c r="C92" s="69">
        <f t="shared" si="1"/>
        <v>0.23798195876349004</v>
      </c>
      <c r="D92" s="23">
        <f t="shared" si="2"/>
        <v>1.5581484042203275E-2</v>
      </c>
      <c r="E92" s="15">
        <f>(2*Table!$AC$16*0.147)/A92</f>
        <v>9.5079404618543889E-2</v>
      </c>
      <c r="F92" s="15">
        <f t="shared" si="3"/>
        <v>0.19015880923708778</v>
      </c>
      <c r="G92" s="49">
        <f>IF((('Raw Data'!C92)/('Raw Data'!C$136)*100)&lt;0,0,('Raw Data'!C92)/('Raw Data'!C$136)*100)</f>
        <v>76.201804123651002</v>
      </c>
      <c r="H92" s="49">
        <f t="shared" si="4"/>
        <v>1.5581484042203328</v>
      </c>
      <c r="I92" s="31">
        <f t="shared" si="5"/>
        <v>3.9871372711096753E-2</v>
      </c>
      <c r="J92" s="15">
        <f>'Raw Data'!F92/I92</f>
        <v>0.3907937696327855</v>
      </c>
      <c r="K92" s="78">
        <f t="shared" si="6"/>
        <v>6.2768863503144647</v>
      </c>
      <c r="L92" s="49">
        <f>A92*Table!$AC$9/$AC$16</f>
        <v>216.45066124011214</v>
      </c>
      <c r="M92" s="49">
        <f>A92*Table!$AD$9/$AC$16</f>
        <v>74.211655282324159</v>
      </c>
      <c r="N92" s="49">
        <f>ABS(A92*Table!$AE$9/$AC$16)</f>
        <v>93.725885649938434</v>
      </c>
      <c r="O92" s="49">
        <f>($L92*(Table!$AC$10/Table!$AC$9)/(Table!$AC$12-Table!$AC$14))</f>
        <v>464.28713264717328</v>
      </c>
      <c r="P92" s="49">
        <f>$N92*(Table!$AE$10/Table!$AE$9)/(Table!$AC$12-Table!$AC$13)</f>
        <v>769.50645032790146</v>
      </c>
      <c r="Q92" s="49">
        <f>'Raw Data'!C92</f>
        <v>0.84384900601693524</v>
      </c>
      <c r="R92" s="49">
        <f>'Raw Data'!C92/'Raw Data'!I$23*100</f>
        <v>17.574652176194029</v>
      </c>
      <c r="S92" s="99">
        <f t="shared" si="7"/>
        <v>0.32945182111250981</v>
      </c>
      <c r="T92" s="99">
        <f t="shared" si="8"/>
        <v>1.0474519184511255E-4</v>
      </c>
      <c r="U92" s="76">
        <f t="shared" si="9"/>
        <v>1.5297841486591766E-2</v>
      </c>
      <c r="V92" s="76">
        <f t="shared" si="10"/>
        <v>0.33976801299114057</v>
      </c>
      <c r="W92" s="76">
        <f t="shared" si="11"/>
        <v>3.722843952549856E-4</v>
      </c>
      <c r="X92" s="162">
        <f t="shared" si="12"/>
        <v>13.876871820626361</v>
      </c>
      <c r="AS92" s="42"/>
      <c r="AT92" s="42"/>
    </row>
    <row r="93" spans="1:46" x14ac:dyDescent="0.2">
      <c r="A93" s="49">
        <f>'Raw Data'!A93</f>
        <v>1258.2447509765625</v>
      </c>
      <c r="B93" s="69">
        <f>'Raw Data'!E93</f>
        <v>0.7771372462432361</v>
      </c>
      <c r="C93" s="69">
        <f t="shared" si="1"/>
        <v>0.2228627537567639</v>
      </c>
      <c r="D93" s="23">
        <f t="shared" si="2"/>
        <v>1.5119205006726144E-2</v>
      </c>
      <c r="E93" s="15">
        <f>(2*Table!$AC$16*0.147)/A93</f>
        <v>8.681162950177862E-2</v>
      </c>
      <c r="F93" s="15">
        <f t="shared" si="3"/>
        <v>0.17362325900355724</v>
      </c>
      <c r="G93" s="49">
        <f>IF((('Raw Data'!C93)/('Raw Data'!C$136)*100)&lt;0,0,('Raw Data'!C93)/('Raw Data'!C$136)*100)</f>
        <v>77.713724624323604</v>
      </c>
      <c r="H93" s="49">
        <f t="shared" si="4"/>
        <v>1.511920500672602</v>
      </c>
      <c r="I93" s="31">
        <f t="shared" si="5"/>
        <v>3.9508545296403685E-2</v>
      </c>
      <c r="J93" s="15">
        <f>'Raw Data'!F93/I93</f>
        <v>0.38268189560759119</v>
      </c>
      <c r="K93" s="78">
        <f t="shared" si="6"/>
        <v>6.8746851138641132</v>
      </c>
      <c r="L93" s="49">
        <f>A93*Table!$AC$9/$AC$16</f>
        <v>237.06501212004491</v>
      </c>
      <c r="M93" s="49">
        <f>A93*Table!$AD$9/$AC$16</f>
        <v>81.279432726872543</v>
      </c>
      <c r="N93" s="49">
        <f>ABS(A93*Table!$AE$9/$AC$16)</f>
        <v>102.65216142221237</v>
      </c>
      <c r="O93" s="49">
        <f>($L93*(Table!$AC$10/Table!$AC$9)/(Table!$AC$12-Table!$AC$14))</f>
        <v>508.50495950245585</v>
      </c>
      <c r="P93" s="49">
        <f>$N93*(Table!$AE$10/Table!$AE$9)/(Table!$AC$12-Table!$AC$13)</f>
        <v>842.79278671767122</v>
      </c>
      <c r="Q93" s="49">
        <f>'Raw Data'!C93</f>
        <v>0.8605918197382344</v>
      </c>
      <c r="R93" s="49">
        <f>'Raw Data'!C93/'Raw Data'!I$23*100</f>
        <v>17.923350966504312</v>
      </c>
      <c r="S93" s="99">
        <f t="shared" si="7"/>
        <v>0.31967748449042899</v>
      </c>
      <c r="T93" s="99">
        <f t="shared" si="8"/>
        <v>8.3046137414277688E-5</v>
      </c>
      <c r="U93" s="76">
        <f t="shared" si="9"/>
        <v>1.4244725402266489E-2</v>
      </c>
      <c r="V93" s="76">
        <f t="shared" si="10"/>
        <v>0.30116323103801029</v>
      </c>
      <c r="W93" s="76">
        <f t="shared" si="11"/>
        <v>3.0114654061803224E-4</v>
      </c>
      <c r="X93" s="162">
        <f t="shared" si="12"/>
        <v>13.877172967166979</v>
      </c>
      <c r="AS93" s="42"/>
      <c r="AT93" s="42"/>
    </row>
    <row r="94" spans="1:46" x14ac:dyDescent="0.2">
      <c r="A94" s="49">
        <f>'Raw Data'!A94</f>
        <v>1377.0615234375</v>
      </c>
      <c r="B94" s="69">
        <f>'Raw Data'!E94</f>
        <v>0.79179746526930406</v>
      </c>
      <c r="C94" s="69">
        <f t="shared" si="1"/>
        <v>0.20820253473069594</v>
      </c>
      <c r="D94" s="23">
        <f t="shared" si="2"/>
        <v>1.4660219026067955E-2</v>
      </c>
      <c r="E94" s="15">
        <f>(2*Table!$AC$16*0.147)/A94</f>
        <v>7.9321275981677389E-2</v>
      </c>
      <c r="F94" s="15">
        <f t="shared" si="3"/>
        <v>0.15864255196335478</v>
      </c>
      <c r="G94" s="49">
        <f>IF((('Raw Data'!C94)/('Raw Data'!C$136)*100)&lt;0,0,('Raw Data'!C94)/('Raw Data'!C$136)*100)</f>
        <v>79.179746526930401</v>
      </c>
      <c r="H94" s="49">
        <f t="shared" si="4"/>
        <v>1.4660219026067978</v>
      </c>
      <c r="I94" s="31">
        <f t="shared" si="5"/>
        <v>3.9188216484609573E-2</v>
      </c>
      <c r="J94" s="15">
        <f>'Raw Data'!F94/I94</f>
        <v>0.37409763294089893</v>
      </c>
      <c r="K94" s="78">
        <f t="shared" si="6"/>
        <v>7.5238655664593832</v>
      </c>
      <c r="L94" s="49">
        <f>A94*Table!$AC$9/$AC$16</f>
        <v>259.4511969872222</v>
      </c>
      <c r="M94" s="49">
        <f>A94*Table!$AD$9/$AC$16</f>
        <v>88.954696109904759</v>
      </c>
      <c r="N94" s="49">
        <f>ABS(A94*Table!$AE$9/$AC$16)</f>
        <v>112.34566381660753</v>
      </c>
      <c r="O94" s="49">
        <f>($L94*(Table!$AC$10/Table!$AC$9)/(Table!$AC$12-Table!$AC$14))</f>
        <v>556.52337406096581</v>
      </c>
      <c r="P94" s="49">
        <f>$N94*(Table!$AE$10/Table!$AE$9)/(Table!$AC$12-Table!$AC$13)</f>
        <v>922.37819225457713</v>
      </c>
      <c r="Q94" s="49">
        <f>'Raw Data'!C94</f>
        <v>0.87682635827102795</v>
      </c>
      <c r="R94" s="49">
        <f>'Raw Data'!C94/'Raw Data'!I$23*100</f>
        <v>18.261464024551973</v>
      </c>
      <c r="S94" s="99">
        <f t="shared" si="7"/>
        <v>0.30997277556903352</v>
      </c>
      <c r="T94" s="99">
        <f t="shared" si="8"/>
        <v>6.5480016040231348E-5</v>
      </c>
      <c r="U94" s="76">
        <f t="shared" si="9"/>
        <v>1.3261182389997114E-2</v>
      </c>
      <c r="V94" s="76">
        <f t="shared" si="10"/>
        <v>0.26684525058464509</v>
      </c>
      <c r="W94" s="76">
        <f t="shared" si="11"/>
        <v>2.4378835035031369E-4</v>
      </c>
      <c r="X94" s="162">
        <f t="shared" si="12"/>
        <v>13.877416755517329</v>
      </c>
      <c r="AS94" s="42"/>
      <c r="AT94" s="42"/>
    </row>
    <row r="95" spans="1:46" x14ac:dyDescent="0.2">
      <c r="A95" s="49">
        <f>'Raw Data'!A95</f>
        <v>1508.364013671875</v>
      </c>
      <c r="B95" s="69">
        <f>'Raw Data'!E95</f>
        <v>0.80569356385519442</v>
      </c>
      <c r="C95" s="69">
        <f t="shared" si="1"/>
        <v>0.19430643614480558</v>
      </c>
      <c r="D95" s="23">
        <f t="shared" si="2"/>
        <v>1.389609858589036E-2</v>
      </c>
      <c r="E95" s="15">
        <f>(2*Table!$AC$16*0.147)/A95</f>
        <v>7.2416390310473602E-2</v>
      </c>
      <c r="F95" s="15">
        <f t="shared" si="3"/>
        <v>0.1448327806209472</v>
      </c>
      <c r="G95" s="49">
        <f>IF((('Raw Data'!C95)/('Raw Data'!C$136)*100)&lt;0,0,('Raw Data'!C95)/('Raw Data'!C$136)*100)</f>
        <v>80.569356385519441</v>
      </c>
      <c r="H95" s="49">
        <f t="shared" si="4"/>
        <v>1.38960985858904</v>
      </c>
      <c r="I95" s="31">
        <f t="shared" si="5"/>
        <v>3.9552818712961679E-2</v>
      </c>
      <c r="J95" s="15">
        <f>'Raw Data'!F95/I95</f>
        <v>0.3513301716051031</v>
      </c>
      <c r="K95" s="78">
        <f t="shared" si="6"/>
        <v>8.2412643669129206</v>
      </c>
      <c r="L95" s="49">
        <f>A95*Table!$AC$9/$AC$16</f>
        <v>284.18980719373837</v>
      </c>
      <c r="M95" s="49">
        <f>A95*Table!$AD$9/$AC$16</f>
        <v>97.436505323567445</v>
      </c>
      <c r="N95" s="49">
        <f>ABS(A95*Table!$AE$9/$AC$16)</f>
        <v>123.05779626318953</v>
      </c>
      <c r="O95" s="49">
        <f>($L95*(Table!$AC$10/Table!$AC$9)/(Table!$AC$12-Table!$AC$14))</f>
        <v>609.58774601831499</v>
      </c>
      <c r="P95" s="49">
        <f>$N95*(Table!$AE$10/Table!$AE$9)/(Table!$AC$12-Table!$AC$13)</f>
        <v>1010.3267345089449</v>
      </c>
      <c r="Q95" s="49">
        <f>'Raw Data'!C95</f>
        <v>0.89221471962818044</v>
      </c>
      <c r="R95" s="49">
        <f>'Raw Data'!C95/'Raw Data'!I$23*100</f>
        <v>18.581953942161846</v>
      </c>
      <c r="S95" s="99">
        <f t="shared" si="7"/>
        <v>0.29381636390221488</v>
      </c>
      <c r="T95" s="99">
        <f t="shared" si="8"/>
        <v>5.1602150686558268E-5</v>
      </c>
      <c r="U95" s="76">
        <f t="shared" si="9"/>
        <v>1.2319276894525614E-2</v>
      </c>
      <c r="V95" s="76">
        <f t="shared" si="10"/>
        <v>0.23558763760481069</v>
      </c>
      <c r="W95" s="76">
        <f t="shared" si="11"/>
        <v>1.9260153274226752E-4</v>
      </c>
      <c r="X95" s="162">
        <f t="shared" si="12"/>
        <v>13.877609357050071</v>
      </c>
      <c r="Z95" s="113"/>
      <c r="AS95" s="42"/>
      <c r="AT95" s="42"/>
    </row>
    <row r="96" spans="1:46" x14ac:dyDescent="0.2">
      <c r="A96" s="49">
        <f>'Raw Data'!A96</f>
        <v>1647.9024658203125</v>
      </c>
      <c r="B96" s="69">
        <f>'Raw Data'!E96</f>
        <v>0.81846534766481593</v>
      </c>
      <c r="C96" s="69">
        <f t="shared" si="1"/>
        <v>0.18153465233518407</v>
      </c>
      <c r="D96" s="23">
        <f t="shared" si="2"/>
        <v>1.2771783809621517E-2</v>
      </c>
      <c r="E96" s="15">
        <f>(2*Table!$AC$16*0.147)/A96</f>
        <v>6.6284430911365322E-2</v>
      </c>
      <c r="F96" s="15">
        <f t="shared" si="3"/>
        <v>0.13256886182273064</v>
      </c>
      <c r="G96" s="49">
        <f>IF((('Raw Data'!C96)/('Raw Data'!C$136)*100)&lt;0,0,('Raw Data'!C96)/('Raw Data'!C$136)*100)</f>
        <v>81.846534766481597</v>
      </c>
      <c r="H96" s="49">
        <f t="shared" si="4"/>
        <v>1.2771783809621553</v>
      </c>
      <c r="I96" s="31">
        <f t="shared" si="5"/>
        <v>3.8425341070246644E-2</v>
      </c>
      <c r="J96" s="15">
        <f>'Raw Data'!F96/I96</f>
        <v>0.33237919180139469</v>
      </c>
      <c r="K96" s="78">
        <f t="shared" si="6"/>
        <v>9.0036620793229858</v>
      </c>
      <c r="L96" s="49">
        <f>A96*Table!$AC$9/$AC$16</f>
        <v>310.48014921511975</v>
      </c>
      <c r="M96" s="49">
        <f>A96*Table!$AD$9/$AC$16</f>
        <v>106.45033687375533</v>
      </c>
      <c r="N96" s="49">
        <f>ABS(A96*Table!$AE$9/$AC$16)</f>
        <v>134.44184829553842</v>
      </c>
      <c r="O96" s="49">
        <f>($L96*(Table!$AC$10/Table!$AC$9)/(Table!$AC$12-Table!$AC$14))</f>
        <v>665.98058604701805</v>
      </c>
      <c r="P96" s="49">
        <f>$N96*(Table!$AE$10/Table!$AE$9)/(Table!$AC$12-Table!$AC$13)</f>
        <v>1103.7918579272446</v>
      </c>
      <c r="Q96" s="49">
        <f>'Raw Data'!C96</f>
        <v>0.90635802922138109</v>
      </c>
      <c r="R96" s="49">
        <f>'Raw Data'!C96/'Raw Data'!I$23*100</f>
        <v>18.876513448600065</v>
      </c>
      <c r="S96" s="99">
        <f t="shared" si="7"/>
        <v>0.27004407433453276</v>
      </c>
      <c r="T96" s="99">
        <f t="shared" si="8"/>
        <v>4.0915769552674064E-5</v>
      </c>
      <c r="U96" s="76">
        <f t="shared" si="9"/>
        <v>1.1454872991650928E-2</v>
      </c>
      <c r="V96" s="76">
        <f t="shared" si="10"/>
        <v>0.20831735665880427</v>
      </c>
      <c r="W96" s="76">
        <f t="shared" si="11"/>
        <v>1.4830907588353202E-4</v>
      </c>
      <c r="X96" s="162">
        <f t="shared" si="12"/>
        <v>13.877757666125955</v>
      </c>
      <c r="Z96" s="68"/>
      <c r="AS96" s="42"/>
      <c r="AT96" s="42"/>
    </row>
    <row r="97" spans="1:46" x14ac:dyDescent="0.2">
      <c r="A97" s="49">
        <f>'Raw Data'!A97</f>
        <v>1808.3631591796875</v>
      </c>
      <c r="B97" s="69">
        <f>'Raw Data'!E97</f>
        <v>0.83144940178806381</v>
      </c>
      <c r="C97" s="69">
        <f t="shared" si="1"/>
        <v>0.16855059821193619</v>
      </c>
      <c r="D97" s="23">
        <f t="shared" si="2"/>
        <v>1.2984054123247879E-2</v>
      </c>
      <c r="E97" s="15">
        <f>(2*Table!$AC$16*0.147)/A97</f>
        <v>6.040284363782563E-2</v>
      </c>
      <c r="F97" s="15">
        <f t="shared" si="3"/>
        <v>0.12080568727565126</v>
      </c>
      <c r="G97" s="49">
        <f>IF((('Raw Data'!C97)/('Raw Data'!C$136)*100)&lt;0,0,('Raw Data'!C97)/('Raw Data'!C$136)*100)</f>
        <v>83.14494017880638</v>
      </c>
      <c r="H97" s="49">
        <f t="shared" si="4"/>
        <v>1.298405412324783</v>
      </c>
      <c r="I97" s="31">
        <f t="shared" si="5"/>
        <v>4.0354147208843116E-2</v>
      </c>
      <c r="J97" s="15">
        <f>'Raw Data'!F97/I97</f>
        <v>0.32175265793753616</v>
      </c>
      <c r="K97" s="78">
        <f t="shared" si="6"/>
        <v>9.8803728616583353</v>
      </c>
      <c r="L97" s="49">
        <f>A97*Table!$AC$9/$AC$16</f>
        <v>340.71243604684093</v>
      </c>
      <c r="M97" s="49">
        <f>A97*Table!$AD$9/$AC$16</f>
        <v>116.81569235891689</v>
      </c>
      <c r="N97" s="49">
        <f>ABS(A97*Table!$AE$9/$AC$16)</f>
        <v>147.53281250092257</v>
      </c>
      <c r="O97" s="49">
        <f>($L97*(Table!$AC$10/Table!$AC$9)/(Table!$AC$12-Table!$AC$14))</f>
        <v>730.82890614938003</v>
      </c>
      <c r="P97" s="49">
        <f>$N97*(Table!$AE$10/Table!$AE$9)/(Table!$AC$12-Table!$AC$13)</f>
        <v>1211.2710385954233</v>
      </c>
      <c r="Q97" s="49">
        <f>'Raw Data'!C97</f>
        <v>0.920736404237534</v>
      </c>
      <c r="R97" s="49">
        <f>'Raw Data'!C97/'Raw Data'!I$23*100</f>
        <v>19.175968609376419</v>
      </c>
      <c r="S97" s="99">
        <f t="shared" si="7"/>
        <v>0.27453227592065332</v>
      </c>
      <c r="T97" s="99">
        <f t="shared" si="8"/>
        <v>3.1894220318351429E-5</v>
      </c>
      <c r="U97" s="76">
        <f t="shared" si="9"/>
        <v>1.0604047374021406E-2</v>
      </c>
      <c r="V97" s="76">
        <f t="shared" si="10"/>
        <v>0.18282916321313489</v>
      </c>
      <c r="W97" s="76">
        <f t="shared" si="11"/>
        <v>1.2520399686532819E-4</v>
      </c>
      <c r="X97" s="162">
        <f t="shared" si="12"/>
        <v>13.87788287012282</v>
      </c>
      <c r="Z97" s="69"/>
      <c r="AS97" s="42"/>
      <c r="AT97" s="42"/>
    </row>
    <row r="98" spans="1:46" x14ac:dyDescent="0.2">
      <c r="A98" s="49">
        <f>'Raw Data'!A98</f>
        <v>1977.573974609375</v>
      </c>
      <c r="B98" s="69">
        <f>'Raw Data'!E98</f>
        <v>0.84304549916624172</v>
      </c>
      <c r="C98" s="69">
        <f t="shared" si="1"/>
        <v>0.15695450083375828</v>
      </c>
      <c r="D98" s="23">
        <f t="shared" si="2"/>
        <v>1.1596097378177905E-2</v>
      </c>
      <c r="E98" s="15">
        <f>(2*Table!$AC$16*0.147)/A98</f>
        <v>5.5234483537290185E-2</v>
      </c>
      <c r="F98" s="15">
        <f t="shared" si="3"/>
        <v>0.11046896707458037</v>
      </c>
      <c r="G98" s="49">
        <f>IF((('Raw Data'!C98)/('Raw Data'!C$136)*100)&lt;0,0,('Raw Data'!C98)/('Raw Data'!C$136)*100)</f>
        <v>84.304549916624168</v>
      </c>
      <c r="H98" s="49">
        <f t="shared" si="4"/>
        <v>1.1596097378177888</v>
      </c>
      <c r="I98" s="31">
        <f t="shared" si="5"/>
        <v>3.8847087215371667E-2</v>
      </c>
      <c r="J98" s="15">
        <f>'Raw Data'!F98/I98</f>
        <v>0.29850622554757122</v>
      </c>
      <c r="K98" s="78">
        <f t="shared" si="6"/>
        <v>10.804891778217637</v>
      </c>
      <c r="L98" s="49">
        <f>A98*Table!$AC$9/$AC$16</f>
        <v>372.59332724829267</v>
      </c>
      <c r="M98" s="49">
        <f>A98*Table!$AD$9/$AC$16</f>
        <v>127.74628362798606</v>
      </c>
      <c r="N98" s="49">
        <f>ABS(A98*Table!$AE$9/$AC$16)</f>
        <v>161.33764333879509</v>
      </c>
      <c r="O98" s="49">
        <f>($L98*(Table!$AC$10/Table!$AC$9)/(Table!$AC$12-Table!$AC$14))</f>
        <v>799.213486161074</v>
      </c>
      <c r="P98" s="49">
        <f>$N98*(Table!$AE$10/Table!$AE$9)/(Table!$AC$12-Table!$AC$13)</f>
        <v>1324.6111932577589</v>
      </c>
      <c r="Q98" s="49">
        <f>'Raw Data'!C98</f>
        <v>0.93357777375468154</v>
      </c>
      <c r="R98" s="49">
        <f>'Raw Data'!C98/'Raw Data'!I$23*100</f>
        <v>19.443412904648028</v>
      </c>
      <c r="S98" s="99">
        <f t="shared" si="7"/>
        <v>0.24518559263617487</v>
      </c>
      <c r="T98" s="99">
        <f t="shared" si="8"/>
        <v>2.5156879990939629E-5</v>
      </c>
      <c r="U98" s="76">
        <f t="shared" si="9"/>
        <v>9.8319522578105504E-3</v>
      </c>
      <c r="V98" s="76">
        <f t="shared" si="10"/>
        <v>0.16088914049199199</v>
      </c>
      <c r="W98" s="76">
        <f t="shared" si="11"/>
        <v>9.3503002125547692E-5</v>
      </c>
      <c r="X98" s="162">
        <f t="shared" si="12"/>
        <v>13.877976373124945</v>
      </c>
      <c r="Z98" s="69"/>
      <c r="AS98" s="42"/>
      <c r="AT98" s="42"/>
    </row>
    <row r="99" spans="1:46" x14ac:dyDescent="0.2">
      <c r="A99" s="49">
        <f>'Raw Data'!A99</f>
        <v>2158.742919921875</v>
      </c>
      <c r="B99" s="69">
        <f>'Raw Data'!E99</f>
        <v>0.85366810367885637</v>
      </c>
      <c r="C99" s="69">
        <f t="shared" si="1"/>
        <v>0.14633189632114363</v>
      </c>
      <c r="D99" s="23">
        <f t="shared" si="2"/>
        <v>1.0622604512614653E-2</v>
      </c>
      <c r="E99" s="15">
        <f>(2*Table!$AC$16*0.147)/A99</f>
        <v>5.0599020446718178E-2</v>
      </c>
      <c r="F99" s="15">
        <f t="shared" si="3"/>
        <v>0.10119804089343636</v>
      </c>
      <c r="G99" s="49">
        <f>IF((('Raw Data'!C99)/('Raw Data'!C$136)*100)&lt;0,0,('Raw Data'!C99)/('Raw Data'!C$136)*100)</f>
        <v>85.366810367885634</v>
      </c>
      <c r="H99" s="49">
        <f t="shared" si="4"/>
        <v>1.0622604512614657</v>
      </c>
      <c r="I99" s="31">
        <f t="shared" si="5"/>
        <v>3.8068188195003128E-2</v>
      </c>
      <c r="J99" s="15">
        <f>'Raw Data'!F99/I99</f>
        <v>0.27904150463375582</v>
      </c>
      <c r="K99" s="78">
        <f t="shared" si="6"/>
        <v>11.794746455113886</v>
      </c>
      <c r="L99" s="49">
        <f>A99*Table!$AC$9/$AC$16</f>
        <v>406.72724132419063</v>
      </c>
      <c r="M99" s="49">
        <f>A99*Table!$AD$9/$AC$16</f>
        <v>139.44933988257964</v>
      </c>
      <c r="N99" s="49">
        <f>ABS(A99*Table!$AE$9/$AC$16)</f>
        <v>176.1180616989565</v>
      </c>
      <c r="O99" s="49">
        <f>($L99*(Table!$AC$10/Table!$AC$9)/(Table!$AC$12-Table!$AC$14))</f>
        <v>872.43080507119407</v>
      </c>
      <c r="P99" s="49">
        <f>$N99*(Table!$AE$10/Table!$AE$9)/(Table!$AC$12-Table!$AC$13)</f>
        <v>1445.9610976925817</v>
      </c>
      <c r="Q99" s="49">
        <f>'Raw Data'!C99</f>
        <v>0.94534110975750818</v>
      </c>
      <c r="R99" s="49">
        <f>'Raw Data'!C99/'Raw Data'!I$23*100</f>
        <v>19.688405240015229</v>
      </c>
      <c r="S99" s="99">
        <f t="shared" si="7"/>
        <v>0.22460225175983953</v>
      </c>
      <c r="T99" s="99">
        <f t="shared" si="8"/>
        <v>1.997757759431007E-5</v>
      </c>
      <c r="U99" s="76">
        <f t="shared" si="9"/>
        <v>9.1203102779499803E-3</v>
      </c>
      <c r="V99" s="76">
        <f t="shared" si="10"/>
        <v>0.14169324685951309</v>
      </c>
      <c r="W99" s="76">
        <f t="shared" si="11"/>
        <v>7.1880044566525637E-5</v>
      </c>
      <c r="X99" s="162">
        <f t="shared" si="12"/>
        <v>13.878048253169512</v>
      </c>
      <c r="Z99" s="69"/>
      <c r="AS99" s="42"/>
      <c r="AT99" s="42"/>
    </row>
    <row r="100" spans="1:46" x14ac:dyDescent="0.2">
      <c r="A100" s="49">
        <f>'Raw Data'!A100</f>
        <v>2368.0859375</v>
      </c>
      <c r="B100" s="69">
        <f>'Raw Data'!E100</f>
        <v>0.86427233294558159</v>
      </c>
      <c r="C100" s="69">
        <f t="shared" si="1"/>
        <v>0.13572766705441841</v>
      </c>
      <c r="D100" s="23">
        <f t="shared" si="2"/>
        <v>1.0604229266725218E-2</v>
      </c>
      <c r="E100" s="15">
        <f>(2*Table!$AC$16*0.147)/A100</f>
        <v>4.6125976855236082E-2</v>
      </c>
      <c r="F100" s="15">
        <f t="shared" si="3"/>
        <v>9.2251953710472165E-2</v>
      </c>
      <c r="G100" s="49">
        <f>IF((('Raw Data'!C100)/('Raw Data'!C$136)*100)&lt;0,0,('Raw Data'!C100)/('Raw Data'!C$136)*100)</f>
        <v>86.427233294558164</v>
      </c>
      <c r="H100" s="49">
        <f t="shared" si="4"/>
        <v>1.0604229266725298</v>
      </c>
      <c r="I100" s="31">
        <f t="shared" si="5"/>
        <v>4.0196532609112934E-2</v>
      </c>
      <c r="J100" s="15">
        <f>'Raw Data'!F100/I100</f>
        <v>0.26380955217816821</v>
      </c>
      <c r="K100" s="78">
        <f t="shared" si="6"/>
        <v>12.938536107738106</v>
      </c>
      <c r="L100" s="49">
        <f>A100*Table!$AC$9/$AC$16</f>
        <v>446.16941261947102</v>
      </c>
      <c r="M100" s="49">
        <f>A100*Table!$AD$9/$AC$16</f>
        <v>152.97237004096149</v>
      </c>
      <c r="N100" s="49">
        <f>ABS(A100*Table!$AE$9/$AC$16)</f>
        <v>193.19702286002158</v>
      </c>
      <c r="O100" s="49">
        <f>($L100*(Table!$AC$10/Table!$AC$9)/(Table!$AC$12-Table!$AC$14))</f>
        <v>957.03434710311262</v>
      </c>
      <c r="P100" s="49">
        <f>$N100*(Table!$AE$10/Table!$AE$9)/(Table!$AC$12-Table!$AC$13)</f>
        <v>1586.1824536947581</v>
      </c>
      <c r="Q100" s="49">
        <f>'Raw Data'!C100</f>
        <v>0.95708409724869858</v>
      </c>
      <c r="R100" s="49">
        <f>'Raw Data'!C100/'Raw Data'!I$23*100</f>
        <v>19.932973781538077</v>
      </c>
      <c r="S100" s="99">
        <f t="shared" si="7"/>
        <v>0.22421372919002094</v>
      </c>
      <c r="T100" s="99">
        <f t="shared" si="8"/>
        <v>1.5680963990738483E-5</v>
      </c>
      <c r="U100" s="76">
        <f t="shared" si="9"/>
        <v>8.4173354800550094E-3</v>
      </c>
      <c r="V100" s="76">
        <f t="shared" si="10"/>
        <v>0.12372093867199012</v>
      </c>
      <c r="W100" s="76">
        <f t="shared" si="11"/>
        <v>5.9629802175253158E-5</v>
      </c>
      <c r="X100" s="162">
        <f t="shared" si="12"/>
        <v>13.878107882971687</v>
      </c>
      <c r="Z100" s="69"/>
      <c r="AS100" s="42"/>
      <c r="AT100" s="42"/>
    </row>
    <row r="101" spans="1:46" x14ac:dyDescent="0.2">
      <c r="A101" s="49">
        <f>'Raw Data'!A101</f>
        <v>2587.8798828125</v>
      </c>
      <c r="B101" s="69">
        <f>'Raw Data'!E101</f>
        <v>0.87395700958467715</v>
      </c>
      <c r="C101" s="69">
        <f t="shared" si="1"/>
        <v>0.12604299041532285</v>
      </c>
      <c r="D101" s="23">
        <f t="shared" si="2"/>
        <v>9.6846766390955574E-3</v>
      </c>
      <c r="E101" s="15">
        <f>(2*Table!$AC$16*0.147)/A101</f>
        <v>4.2208403052163272E-2</v>
      </c>
      <c r="F101" s="15">
        <f t="shared" si="3"/>
        <v>8.4416806104326544E-2</v>
      </c>
      <c r="G101" s="49">
        <f>IF((('Raw Data'!C101)/('Raw Data'!C$136)*100)&lt;0,0,('Raw Data'!C101)/('Raw Data'!C$136)*100)</f>
        <v>87.395700958467714</v>
      </c>
      <c r="H101" s="49">
        <f t="shared" si="4"/>
        <v>0.96846766390954997</v>
      </c>
      <c r="I101" s="31">
        <f t="shared" si="5"/>
        <v>3.8546655739942981E-2</v>
      </c>
      <c r="J101" s="15">
        <f>'Raw Data'!F101/I101</f>
        <v>0.25124557379072604</v>
      </c>
      <c r="K101" s="78">
        <f t="shared" si="6"/>
        <v>14.139426604427689</v>
      </c>
      <c r="L101" s="49">
        <f>A101*Table!$AC$9/$AC$16</f>
        <v>487.58063588821869</v>
      </c>
      <c r="M101" s="49">
        <f>A101*Table!$AD$9/$AC$16</f>
        <v>167.17050373310354</v>
      </c>
      <c r="N101" s="49">
        <f>ABS(A101*Table!$AE$9/$AC$16)</f>
        <v>211.12860853628399</v>
      </c>
      <c r="O101" s="49">
        <f>($L101*(Table!$AC$10/Table!$AC$9)/(Table!$AC$12-Table!$AC$14))</f>
        <v>1045.861509841739</v>
      </c>
      <c r="P101" s="49">
        <f>$N101*(Table!$AE$10/Table!$AE$9)/(Table!$AC$12-Table!$AC$13)</f>
        <v>1733.4040109711327</v>
      </c>
      <c r="Q101" s="49">
        <f>'Raw Data'!C101</f>
        <v>0.96780878395327463</v>
      </c>
      <c r="R101" s="49">
        <f>'Raw Data'!C101/'Raw Data'!I$23*100</f>
        <v>20.15633440315122</v>
      </c>
      <c r="S101" s="99">
        <f t="shared" si="7"/>
        <v>0.20477089005089696</v>
      </c>
      <c r="T101" s="99">
        <f t="shared" si="8"/>
        <v>1.2395180042923393E-5</v>
      </c>
      <c r="U101" s="76">
        <f t="shared" si="9"/>
        <v>7.788744190570923E-3</v>
      </c>
      <c r="V101" s="76">
        <f t="shared" si="10"/>
        <v>0.10850364736306768</v>
      </c>
      <c r="W101" s="76">
        <f t="shared" si="11"/>
        <v>4.5601179177136906E-5</v>
      </c>
      <c r="X101" s="162">
        <f t="shared" si="12"/>
        <v>13.878153484150864</v>
      </c>
      <c r="Z101" s="69"/>
      <c r="AS101" s="42"/>
      <c r="AT101" s="42"/>
    </row>
    <row r="102" spans="1:46" x14ac:dyDescent="0.2">
      <c r="A102" s="49">
        <f>'Raw Data'!A102</f>
        <v>2827.276611328125</v>
      </c>
      <c r="B102" s="69">
        <f>'Raw Data'!E102</f>
        <v>0.88320331476628078</v>
      </c>
      <c r="C102" s="69">
        <f t="shared" si="1"/>
        <v>0.11679668523371922</v>
      </c>
      <c r="D102" s="23">
        <f t="shared" si="2"/>
        <v>9.2463051816036312E-3</v>
      </c>
      <c r="E102" s="15">
        <f>(2*Table!$AC$16*0.147)/A102</f>
        <v>3.8634450094723369E-2</v>
      </c>
      <c r="F102" s="15">
        <f t="shared" si="3"/>
        <v>7.7268900189446738E-2</v>
      </c>
      <c r="G102" s="49">
        <f>IF((('Raw Data'!C102)/('Raw Data'!C$136)*100)&lt;0,0,('Raw Data'!C102)/('Raw Data'!C$136)*100)</f>
        <v>88.320331476628084</v>
      </c>
      <c r="H102" s="49">
        <f t="shared" si="4"/>
        <v>0.92463051816037023</v>
      </c>
      <c r="I102" s="31">
        <f t="shared" si="5"/>
        <v>3.8424185932550703E-2</v>
      </c>
      <c r="J102" s="15">
        <f>'Raw Data'!F102/I102</f>
        <v>0.24063763375064004</v>
      </c>
      <c r="K102" s="78">
        <f t="shared" si="6"/>
        <v>15.447421034411837</v>
      </c>
      <c r="L102" s="49">
        <f>A102*Table!$AC$9/$AC$16</f>
        <v>532.68520580834615</v>
      </c>
      <c r="M102" s="49">
        <f>A102*Table!$AD$9/$AC$16</f>
        <v>182.6349277057187</v>
      </c>
      <c r="N102" s="49">
        <f>ABS(A102*Table!$AE$9/$AC$16)</f>
        <v>230.6594602250849</v>
      </c>
      <c r="O102" s="49">
        <f>($L102*(Table!$AC$10/Table!$AC$9)/(Table!$AC$12-Table!$AC$14))</f>
        <v>1142.6109090698117</v>
      </c>
      <c r="P102" s="49">
        <f>$N102*(Table!$AE$10/Table!$AE$9)/(Table!$AC$12-Table!$AC$13)</f>
        <v>1893.7558310762302</v>
      </c>
      <c r="Q102" s="49">
        <f>'Raw Data'!C102</f>
        <v>0.97804802372791899</v>
      </c>
      <c r="R102" s="49">
        <f>'Raw Data'!C102/'Raw Data'!I$23*100</f>
        <v>20.369584731474074</v>
      </c>
      <c r="S102" s="99">
        <f t="shared" si="7"/>
        <v>0.19550205053578501</v>
      </c>
      <c r="T102" s="99">
        <f t="shared" si="8"/>
        <v>9.766887332007812E-6</v>
      </c>
      <c r="U102" s="76">
        <f t="shared" si="9"/>
        <v>7.2046663739439975E-3</v>
      </c>
      <c r="V102" s="76">
        <f t="shared" si="10"/>
        <v>9.5103819230034026E-2</v>
      </c>
      <c r="W102" s="76">
        <f t="shared" si="11"/>
        <v>3.6476301774126915E-5</v>
      </c>
      <c r="X102" s="162">
        <f t="shared" si="12"/>
        <v>13.878189960452639</v>
      </c>
      <c r="Z102" s="69"/>
      <c r="AS102" s="42"/>
      <c r="AT102" s="42"/>
    </row>
    <row r="103" spans="1:46" x14ac:dyDescent="0.2">
      <c r="A103" s="49">
        <f>'Raw Data'!A103</f>
        <v>3099.2099609375</v>
      </c>
      <c r="B103" s="69">
        <f>'Raw Data'!E103</f>
        <v>0.89218512178483045</v>
      </c>
      <c r="C103" s="69">
        <f t="shared" si="1"/>
        <v>0.10781487821516955</v>
      </c>
      <c r="D103" s="23">
        <f t="shared" si="2"/>
        <v>8.9818070185496701E-3</v>
      </c>
      <c r="E103" s="15">
        <f>(2*Table!$AC$16*0.147)/A103</f>
        <v>3.5244555393495601E-2</v>
      </c>
      <c r="F103" s="15">
        <f t="shared" si="3"/>
        <v>7.0489110786991202E-2</v>
      </c>
      <c r="G103" s="49">
        <f>IF((('Raw Data'!C103)/('Raw Data'!C$136)*100)&lt;0,0,('Raw Data'!C103)/('Raw Data'!C$136)*100)</f>
        <v>89.218512178483039</v>
      </c>
      <c r="H103" s="49">
        <f t="shared" si="4"/>
        <v>0.89818070185495458</v>
      </c>
      <c r="I103" s="31">
        <f t="shared" si="5"/>
        <v>3.988269871649619E-2</v>
      </c>
      <c r="J103" s="15">
        <f>'Raw Data'!F103/I103</f>
        <v>0.22520559810649513</v>
      </c>
      <c r="K103" s="78">
        <f t="shared" si="6"/>
        <v>16.933186144158437</v>
      </c>
      <c r="L103" s="49">
        <f>A103*Table!$AC$9/$AC$16</f>
        <v>583.91997771655952</v>
      </c>
      <c r="M103" s="49">
        <f>A103*Table!$AD$9/$AC$16</f>
        <v>200.20113521710613</v>
      </c>
      <c r="N103" s="49">
        <f>ABS(A103*Table!$AE$9/$AC$16)</f>
        <v>252.84476723989195</v>
      </c>
      <c r="O103" s="49">
        <f>($L103*(Table!$AC$10/Table!$AC$9)/(Table!$AC$12-Table!$AC$14))</f>
        <v>1252.5096047116249</v>
      </c>
      <c r="P103" s="49">
        <f>$N103*(Table!$AE$10/Table!$AE$9)/(Table!$AC$12-Table!$AC$13)</f>
        <v>2075.9012088661075</v>
      </c>
      <c r="Q103" s="49">
        <f>'Raw Data'!C103</f>
        <v>0.9879943616289748</v>
      </c>
      <c r="R103" s="49">
        <f>'Raw Data'!C103/'Raw Data'!I$23*100</f>
        <v>20.576734858797259</v>
      </c>
      <c r="S103" s="99">
        <f t="shared" si="7"/>
        <v>0.1899095536168125</v>
      </c>
      <c r="T103" s="99">
        <f t="shared" si="8"/>
        <v>7.6421569438211989E-6</v>
      </c>
      <c r="U103" s="76">
        <f t="shared" si="9"/>
        <v>6.6393484527175663E-3</v>
      </c>
      <c r="V103" s="76">
        <f t="shared" si="10"/>
        <v>8.2829883867246573E-2</v>
      </c>
      <c r="W103" s="76">
        <f t="shared" si="11"/>
        <v>2.9487699944857961E-5</v>
      </c>
      <c r="X103" s="162">
        <f t="shared" si="12"/>
        <v>13.878219448152583</v>
      </c>
      <c r="Z103" s="69"/>
      <c r="AS103" s="42"/>
      <c r="AT103" s="42"/>
    </row>
    <row r="104" spans="1:46" x14ac:dyDescent="0.2">
      <c r="A104" s="49">
        <f>'Raw Data'!A104</f>
        <v>3388.435791015625</v>
      </c>
      <c r="B104" s="69">
        <f>'Raw Data'!E104</f>
        <v>0.90034623368141375</v>
      </c>
      <c r="C104" s="69">
        <f t="shared" si="1"/>
        <v>9.9653766318586245E-2</v>
      </c>
      <c r="D104" s="23">
        <f t="shared" si="2"/>
        <v>8.1611118965833063E-3</v>
      </c>
      <c r="E104" s="15">
        <f>(2*Table!$AC$16*0.147)/A104</f>
        <v>3.2236195070881116E-2</v>
      </c>
      <c r="F104" s="15">
        <f t="shared" si="3"/>
        <v>6.4472390141762231E-2</v>
      </c>
      <c r="G104" s="49">
        <f>IF((('Raw Data'!C104)/('Raw Data'!C$136)*100)&lt;0,0,('Raw Data'!C104)/('Raw Data'!C$136)*100)</f>
        <v>90.034623368141382</v>
      </c>
      <c r="H104" s="49">
        <f t="shared" si="4"/>
        <v>0.81611118965834351</v>
      </c>
      <c r="I104" s="31">
        <f t="shared" si="5"/>
        <v>3.8748261203267687E-2</v>
      </c>
      <c r="J104" s="15">
        <f>'Raw Data'!F104/I104</f>
        <v>0.21061879018961166</v>
      </c>
      <c r="K104" s="78">
        <f t="shared" si="6"/>
        <v>18.513432361788091</v>
      </c>
      <c r="L104" s="49">
        <f>A104*Table!$AC$9/$AC$16</f>
        <v>638.41281375635629</v>
      </c>
      <c r="M104" s="49">
        <f>A104*Table!$AD$9/$AC$16</f>
        <v>218.8843932878936</v>
      </c>
      <c r="N104" s="49">
        <f>ABS(A104*Table!$AE$9/$AC$16)</f>
        <v>276.4408574072541</v>
      </c>
      <c r="O104" s="49">
        <f>($L104*(Table!$AC$10/Table!$AC$9)/(Table!$AC$12-Table!$AC$14))</f>
        <v>1369.3968549042395</v>
      </c>
      <c r="P104" s="49">
        <f>$N104*(Table!$AE$10/Table!$AE$9)/(Table!$AC$12-Table!$AC$13)</f>
        <v>2269.6293711597214</v>
      </c>
      <c r="Q104" s="49">
        <f>'Raw Data'!C104</f>
        <v>0.99703187227734458</v>
      </c>
      <c r="R104" s="49">
        <f>'Raw Data'!C104/'Raw Data'!I$23*100</f>
        <v>20.764957046713853</v>
      </c>
      <c r="S104" s="99">
        <f t="shared" si="7"/>
        <v>0.17255693805223374</v>
      </c>
      <c r="T104" s="99">
        <f t="shared" si="8"/>
        <v>6.0270811070850527E-6</v>
      </c>
      <c r="U104" s="76">
        <f t="shared" si="9"/>
        <v>6.128183718803748E-3</v>
      </c>
      <c r="V104" s="76">
        <f t="shared" si="10"/>
        <v>7.2335407108398586E-2</v>
      </c>
      <c r="W104" s="76">
        <f t="shared" si="11"/>
        <v>2.2414548184612828E-5</v>
      </c>
      <c r="X104" s="162">
        <f t="shared" si="12"/>
        <v>13.878241862700767</v>
      </c>
      <c r="Z104" s="69"/>
      <c r="AS104" s="42"/>
      <c r="AT104" s="42"/>
    </row>
    <row r="105" spans="1:46" x14ac:dyDescent="0.2">
      <c r="A105" s="49">
        <f>'Raw Data'!A105</f>
        <v>3708.822265625</v>
      </c>
      <c r="B105" s="69">
        <f>'Raw Data'!E105</f>
        <v>0.90827215560283125</v>
      </c>
      <c r="C105" s="69">
        <f t="shared" si="1"/>
        <v>9.1727844397168745E-2</v>
      </c>
      <c r="D105" s="23">
        <f t="shared" si="2"/>
        <v>7.9259219214175003E-3</v>
      </c>
      <c r="E105" s="15">
        <f>(2*Table!$AC$16*0.147)/A105</f>
        <v>2.9451472548773613E-2</v>
      </c>
      <c r="F105" s="15">
        <f t="shared" si="3"/>
        <v>5.8902945097547225E-2</v>
      </c>
      <c r="G105" s="49">
        <f>IF((('Raw Data'!C105)/('Raw Data'!C$136)*100)&lt;0,0,('Raw Data'!C105)/('Raw Data'!C$136)*100)</f>
        <v>90.827215560283122</v>
      </c>
      <c r="H105" s="49">
        <f t="shared" si="4"/>
        <v>0.79259219214173982</v>
      </c>
      <c r="I105" s="31">
        <f t="shared" si="5"/>
        <v>3.9236761130596598E-2</v>
      </c>
      <c r="J105" s="15">
        <f>'Raw Data'!F105/I105</f>
        <v>0.20200245109520298</v>
      </c>
      <c r="K105" s="78">
        <f t="shared" si="6"/>
        <v>20.26393132152625</v>
      </c>
      <c r="L105" s="49">
        <f>A105*Table!$AC$9/$AC$16</f>
        <v>698.77660500398201</v>
      </c>
      <c r="M105" s="49">
        <f>A105*Table!$AD$9/$AC$16</f>
        <v>239.58055028707955</v>
      </c>
      <c r="N105" s="49">
        <f>ABS(A105*Table!$AE$9/$AC$16)</f>
        <v>302.57914575184634</v>
      </c>
      <c r="O105" s="49">
        <f>($L105*(Table!$AC$10/Table!$AC$9)/(Table!$AC$12-Table!$AC$14))</f>
        <v>1498.8773166108583</v>
      </c>
      <c r="P105" s="49">
        <f>$N105*(Table!$AE$10/Table!$AE$9)/(Table!$AC$12-Table!$AC$13)</f>
        <v>2484.2294396703305</v>
      </c>
      <c r="Q105" s="49">
        <f>'Raw Data'!C105</f>
        <v>1.005808936563517</v>
      </c>
      <c r="R105" s="49">
        <f>'Raw Data'!C105/'Raw Data'!I$23*100</f>
        <v>20.947754977217642</v>
      </c>
      <c r="S105" s="99">
        <f t="shared" si="7"/>
        <v>0.1675841276693516</v>
      </c>
      <c r="T105" s="99">
        <f t="shared" si="8"/>
        <v>4.7178393306479549E-6</v>
      </c>
      <c r="U105" s="76">
        <f t="shared" si="9"/>
        <v>5.6480881198785584E-3</v>
      </c>
      <c r="V105" s="76">
        <f t="shared" si="10"/>
        <v>6.301417736708631E-2</v>
      </c>
      <c r="W105" s="76">
        <f t="shared" si="11"/>
        <v>1.8170083543256996E-5</v>
      </c>
      <c r="X105" s="162">
        <f t="shared" si="12"/>
        <v>13.87826003278431</v>
      </c>
      <c r="Z105" s="69"/>
      <c r="AS105" s="42"/>
      <c r="AT105" s="42"/>
    </row>
    <row r="106" spans="1:46" x14ac:dyDescent="0.2">
      <c r="A106" s="49">
        <f>'Raw Data'!A106</f>
        <v>4054.741455078125</v>
      </c>
      <c r="B106" s="69">
        <f>'Raw Data'!E106</f>
        <v>0.91543995044384174</v>
      </c>
      <c r="C106" s="69">
        <f t="shared" si="1"/>
        <v>8.4560049556158257E-2</v>
      </c>
      <c r="D106" s="23">
        <f t="shared" si="2"/>
        <v>7.1677948410104886E-3</v>
      </c>
      <c r="E106" s="15">
        <f>(2*Table!$AC$16*0.147)/A106</f>
        <v>2.6938900631391909E-2</v>
      </c>
      <c r="F106" s="15">
        <f t="shared" si="3"/>
        <v>5.3877801262783818E-2</v>
      </c>
      <c r="G106" s="49">
        <f>IF((('Raw Data'!C106)/('Raw Data'!C$136)*100)&lt;0,0,('Raw Data'!C106)/('Raw Data'!C$136)*100)</f>
        <v>91.543995044384175</v>
      </c>
      <c r="H106" s="49">
        <f t="shared" si="4"/>
        <v>0.7167794841010533</v>
      </c>
      <c r="I106" s="31">
        <f t="shared" si="5"/>
        <v>3.8727145705002464E-2</v>
      </c>
      <c r="J106" s="15">
        <f>'Raw Data'!F106/I106</f>
        <v>0.18508451140732043</v>
      </c>
      <c r="K106" s="78">
        <f t="shared" si="6"/>
        <v>22.153933644593867</v>
      </c>
      <c r="L106" s="49">
        <f>A106*Table!$AC$9/$AC$16</f>
        <v>763.95099716942855</v>
      </c>
      <c r="M106" s="49">
        <f>A106*Table!$AD$9/$AC$16</f>
        <v>261.92605617237552</v>
      </c>
      <c r="N106" s="49">
        <f>ABS(A106*Table!$AE$9/$AC$16)</f>
        <v>330.80048539758945</v>
      </c>
      <c r="O106" s="49">
        <f>($L106*(Table!$AC$10/Table!$AC$9)/(Table!$AC$12-Table!$AC$14))</f>
        <v>1638.6765276049521</v>
      </c>
      <c r="P106" s="49">
        <f>$N106*(Table!$AE$10/Table!$AE$9)/(Table!$AC$12-Table!$AC$13)</f>
        <v>2715.931735612392</v>
      </c>
      <c r="Q106" s="49">
        <f>'Raw Data'!C106</f>
        <v>1.0137464606437936</v>
      </c>
      <c r="R106" s="49">
        <f>'Raw Data'!C106/'Raw Data'!I$23*100</f>
        <v>21.11306799394972</v>
      </c>
      <c r="S106" s="99">
        <f t="shared" si="7"/>
        <v>0.15155443841778257</v>
      </c>
      <c r="T106" s="99">
        <f t="shared" si="8"/>
        <v>3.7272324507897636E-6</v>
      </c>
      <c r="U106" s="76">
        <f t="shared" si="9"/>
        <v>5.2070072106589899E-3</v>
      </c>
      <c r="V106" s="76">
        <f t="shared" si="10"/>
        <v>5.4919112013938745E-2</v>
      </c>
      <c r="W106" s="76">
        <f t="shared" si="11"/>
        <v>1.3747964729071615E-5</v>
      </c>
      <c r="X106" s="162">
        <f t="shared" si="12"/>
        <v>13.878273780749039</v>
      </c>
      <c r="Z106" s="69"/>
      <c r="AS106" s="42"/>
      <c r="AT106" s="42"/>
    </row>
    <row r="107" spans="1:46" x14ac:dyDescent="0.2">
      <c r="A107" s="49">
        <f>'Raw Data'!A107</f>
        <v>4434.595703125</v>
      </c>
      <c r="B107" s="69">
        <f>'Raw Data'!E107</f>
        <v>0.92208454473522528</v>
      </c>
      <c r="C107" s="69">
        <f t="shared" si="1"/>
        <v>7.7915455264774724E-2</v>
      </c>
      <c r="D107" s="23">
        <f t="shared" si="2"/>
        <v>6.6445942913835321E-3</v>
      </c>
      <c r="E107" s="15">
        <f>(2*Table!$AC$16*0.147)/A107</f>
        <v>2.4631394710314166E-2</v>
      </c>
      <c r="F107" s="15">
        <f t="shared" si="3"/>
        <v>4.9262789420628332E-2</v>
      </c>
      <c r="G107" s="49">
        <f>IF((('Raw Data'!C107)/('Raw Data'!C$136)*100)&lt;0,0,('Raw Data'!C107)/('Raw Data'!C$136)*100)</f>
        <v>92.208454473522522</v>
      </c>
      <c r="H107" s="49">
        <f t="shared" si="4"/>
        <v>0.66445942913834699</v>
      </c>
      <c r="I107" s="31">
        <f t="shared" si="5"/>
        <v>3.8890864605985564E-2</v>
      </c>
      <c r="J107" s="15">
        <f>'Raw Data'!F107/I107</f>
        <v>0.17085231605678636</v>
      </c>
      <c r="K107" s="78">
        <f t="shared" si="6"/>
        <v>24.229347305138948</v>
      </c>
      <c r="L107" s="49">
        <f>A107*Table!$AC$9/$AC$16</f>
        <v>835.51906995271838</v>
      </c>
      <c r="M107" s="49">
        <f>A107*Table!$AD$9/$AC$16</f>
        <v>286.46368112664629</v>
      </c>
      <c r="N107" s="49">
        <f>ABS(A107*Table!$AE$9/$AC$16)</f>
        <v>361.79036996270077</v>
      </c>
      <c r="O107" s="49">
        <f>($L107*(Table!$AC$10/Table!$AC$9)/(Table!$AC$12-Table!$AC$14))</f>
        <v>1792.1901972387786</v>
      </c>
      <c r="P107" s="49">
        <f>$N107*(Table!$AE$10/Table!$AE$9)/(Table!$AC$12-Table!$AC$13)</f>
        <v>2970.3642854080517</v>
      </c>
      <c r="Q107" s="49">
        <f>'Raw Data'!C107</f>
        <v>1.0211045991454377</v>
      </c>
      <c r="R107" s="49">
        <f>'Raw Data'!C107/'Raw Data'!I$23*100</f>
        <v>21.266314278425476</v>
      </c>
      <c r="S107" s="99">
        <f t="shared" si="7"/>
        <v>0.14049198933303589</v>
      </c>
      <c r="T107" s="99">
        <f t="shared" si="8"/>
        <v>2.9595130546233861E-6</v>
      </c>
      <c r="U107" s="76">
        <f t="shared" si="9"/>
        <v>4.795547486648984E-3</v>
      </c>
      <c r="V107" s="76">
        <f t="shared" si="10"/>
        <v>4.7782655834038013E-2</v>
      </c>
      <c r="W107" s="76">
        <f t="shared" si="11"/>
        <v>1.0654659679834838E-5</v>
      </c>
      <c r="X107" s="162">
        <f t="shared" si="12"/>
        <v>13.878284435408718</v>
      </c>
      <c r="Z107" s="69"/>
      <c r="AS107" s="42"/>
      <c r="AT107" s="42"/>
    </row>
    <row r="108" spans="1:46" x14ac:dyDescent="0.2">
      <c r="A108" s="49">
        <f>'Raw Data'!A108</f>
        <v>4844.31884765625</v>
      </c>
      <c r="B108" s="69">
        <f>'Raw Data'!E108</f>
        <v>0.92844573872889435</v>
      </c>
      <c r="C108" s="69">
        <f t="shared" si="1"/>
        <v>7.1554261271105646E-2</v>
      </c>
      <c r="D108" s="23">
        <f t="shared" si="2"/>
        <v>6.3611939936690787E-3</v>
      </c>
      <c r="E108" s="15">
        <f>(2*Table!$AC$16*0.147)/A108</f>
        <v>2.2548118854146482E-2</v>
      </c>
      <c r="F108" s="15">
        <f t="shared" si="3"/>
        <v>4.5096237708292963E-2</v>
      </c>
      <c r="G108" s="49">
        <f>IF((('Raw Data'!C108)/('Raw Data'!C$136)*100)&lt;0,0,('Raw Data'!C108)/('Raw Data'!C$136)*100)</f>
        <v>92.844573872889441</v>
      </c>
      <c r="H108" s="49">
        <f t="shared" si="4"/>
        <v>0.63611939936691897</v>
      </c>
      <c r="I108" s="31">
        <f t="shared" si="5"/>
        <v>3.8378688334187006E-2</v>
      </c>
      <c r="J108" s="15">
        <f>'Raw Data'!F108/I108</f>
        <v>0.16574808232835431</v>
      </c>
      <c r="K108" s="78">
        <f t="shared" si="6"/>
        <v>26.467955970367584</v>
      </c>
      <c r="L108" s="49">
        <f>A108*Table!$AC$9/$AC$16</f>
        <v>912.71472059920609</v>
      </c>
      <c r="M108" s="49">
        <f>A108*Table!$AD$9/$AC$16</f>
        <v>312.93076134829926</v>
      </c>
      <c r="N108" s="49">
        <f>ABS(A108*Table!$AE$9/$AC$16)</f>
        <v>395.21706722346437</v>
      </c>
      <c r="O108" s="49">
        <f>($L108*(Table!$AC$10/Table!$AC$9)/(Table!$AC$12-Table!$AC$14))</f>
        <v>1957.7750334603309</v>
      </c>
      <c r="P108" s="49">
        <f>$N108*(Table!$AE$10/Table!$AE$9)/(Table!$AC$12-Table!$AC$13)</f>
        <v>3244.8035075818084</v>
      </c>
      <c r="Q108" s="49">
        <f>'Raw Data'!C108</f>
        <v>1.0281489037919893</v>
      </c>
      <c r="R108" s="49">
        <f>'Raw Data'!C108/'Raw Data'!I$23*100</f>
        <v>21.413024416262395</v>
      </c>
      <c r="S108" s="99">
        <f t="shared" si="7"/>
        <v>0.13449982941213456</v>
      </c>
      <c r="T108" s="99">
        <f t="shared" si="8"/>
        <v>2.3436058166348417E-6</v>
      </c>
      <c r="U108" s="76">
        <f t="shared" si="9"/>
        <v>4.4202343176940797E-3</v>
      </c>
      <c r="V108" s="76">
        <f t="shared" si="10"/>
        <v>4.1631387413236215E-2</v>
      </c>
      <c r="W108" s="76">
        <f t="shared" si="11"/>
        <v>8.5477611324227844E-6</v>
      </c>
      <c r="X108" s="162">
        <f t="shared" si="12"/>
        <v>13.87829298316985</v>
      </c>
      <c r="Z108" s="69"/>
      <c r="AS108" s="42"/>
      <c r="AT108" s="42"/>
    </row>
    <row r="109" spans="1:46" x14ac:dyDescent="0.2">
      <c r="A109" s="49">
        <f>'Raw Data'!A109</f>
        <v>5305.80908203125</v>
      </c>
      <c r="B109" s="69">
        <f>'Raw Data'!E109</f>
        <v>0.93486897387535139</v>
      </c>
      <c r="C109" s="69">
        <f t="shared" si="1"/>
        <v>6.5131026124648606E-2</v>
      </c>
      <c r="D109" s="23">
        <f t="shared" si="2"/>
        <v>6.4232351464570403E-3</v>
      </c>
      <c r="E109" s="15">
        <f>(2*Table!$AC$16*0.147)/A109</f>
        <v>2.0586921891753759E-2</v>
      </c>
      <c r="F109" s="15">
        <f t="shared" si="3"/>
        <v>4.1173843783507517E-2</v>
      </c>
      <c r="G109" s="49">
        <f>IF((('Raw Data'!C109)/('Raw Data'!C$136)*100)&lt;0,0,('Raw Data'!C109)/('Raw Data'!C$136)*100)</f>
        <v>93.486897387535137</v>
      </c>
      <c r="H109" s="49">
        <f t="shared" si="4"/>
        <v>0.64232351464569604</v>
      </c>
      <c r="I109" s="31">
        <f t="shared" si="5"/>
        <v>3.9518898598120078E-2</v>
      </c>
      <c r="J109" s="15">
        <f>'Raw Data'!F109/I109</f>
        <v>0.16253578349378883</v>
      </c>
      <c r="K109" s="78">
        <f t="shared" si="6"/>
        <v>28.98940503024971</v>
      </c>
      <c r="L109" s="49">
        <f>A109*Table!$AC$9/$AC$16</f>
        <v>999.6637723798558</v>
      </c>
      <c r="M109" s="49">
        <f>A109*Table!$AD$9/$AC$16</f>
        <v>342.74186481595058</v>
      </c>
      <c r="N109" s="49">
        <f>ABS(A109*Table!$AE$9/$AC$16)</f>
        <v>432.86711106196992</v>
      </c>
      <c r="O109" s="49">
        <f>($L109*(Table!$AC$10/Table!$AC$9)/(Table!$AC$12-Table!$AC$14))</f>
        <v>2144.2809360357269</v>
      </c>
      <c r="P109" s="49">
        <f>$N109*(Table!$AE$10/Table!$AE$9)/(Table!$AC$12-Table!$AC$13)</f>
        <v>3553.9171679964684</v>
      </c>
      <c r="Q109" s="49">
        <f>'Raw Data'!C109</f>
        <v>1.0352619120154634</v>
      </c>
      <c r="R109" s="49">
        <f>'Raw Data'!C109/'Raw Data'!I$23*100</f>
        <v>21.561165427939379</v>
      </c>
      <c r="S109" s="99">
        <f t="shared" si="7"/>
        <v>0.13581161529302702</v>
      </c>
      <c r="T109" s="99">
        <f t="shared" si="8"/>
        <v>1.8251727526008565E-6</v>
      </c>
      <c r="U109" s="76">
        <f t="shared" si="9"/>
        <v>4.0636903994451697E-3</v>
      </c>
      <c r="V109" s="76">
        <f t="shared" si="10"/>
        <v>3.611250808976936E-2</v>
      </c>
      <c r="W109" s="76">
        <f t="shared" si="11"/>
        <v>7.1949828179382054E-6</v>
      </c>
      <c r="X109" s="162">
        <f t="shared" si="12"/>
        <v>13.878300178152667</v>
      </c>
      <c r="Z109" s="69"/>
      <c r="AS109" s="42"/>
      <c r="AT109" s="42"/>
    </row>
    <row r="110" spans="1:46" x14ac:dyDescent="0.2">
      <c r="A110" s="49">
        <f>'Raw Data'!A110</f>
        <v>5804.2744140625</v>
      </c>
      <c r="B110" s="69">
        <f>'Raw Data'!E110</f>
        <v>0.94052071213883659</v>
      </c>
      <c r="C110" s="69">
        <f t="shared" si="1"/>
        <v>5.947928786116341E-2</v>
      </c>
      <c r="D110" s="23">
        <f t="shared" si="2"/>
        <v>5.6517382634851954E-3</v>
      </c>
      <c r="E110" s="15">
        <f>(2*Table!$AC$16*0.147)/A110</f>
        <v>1.8818937450595676E-2</v>
      </c>
      <c r="F110" s="15">
        <f t="shared" si="3"/>
        <v>3.7637874901191352E-2</v>
      </c>
      <c r="G110" s="49">
        <f>IF((('Raw Data'!C110)/('Raw Data'!C$136)*100)&lt;0,0,('Raw Data'!C110)/('Raw Data'!C$136)*100)</f>
        <v>94.052071213883664</v>
      </c>
      <c r="H110" s="49">
        <f t="shared" si="4"/>
        <v>0.56517382634852709</v>
      </c>
      <c r="I110" s="31">
        <f t="shared" si="5"/>
        <v>3.899631800627934E-2</v>
      </c>
      <c r="J110" s="15">
        <f>'Raw Data'!F110/I110</f>
        <v>0.14493004859010356</v>
      </c>
      <c r="K110" s="78">
        <f t="shared" si="6"/>
        <v>31.712875321091719</v>
      </c>
      <c r="L110" s="49">
        <f>A110*Table!$AC$9/$AC$16</f>
        <v>1093.5792764085402</v>
      </c>
      <c r="M110" s="49">
        <f>A110*Table!$AD$9/$AC$16</f>
        <v>374.9414661972138</v>
      </c>
      <c r="N110" s="49">
        <f>ABS(A110*Table!$AE$9/$AC$16)</f>
        <v>473.53371721100024</v>
      </c>
      <c r="O110" s="49">
        <f>($L110*(Table!$AC$10/Table!$AC$9)/(Table!$AC$12-Table!$AC$14))</f>
        <v>2345.7298936262127</v>
      </c>
      <c r="P110" s="49">
        <f>$N110*(Table!$AE$10/Table!$AE$9)/(Table!$AC$12-Table!$AC$13)</f>
        <v>3887.7973498440074</v>
      </c>
      <c r="Q110" s="49">
        <f>'Raw Data'!C110</f>
        <v>1.0415205744851483</v>
      </c>
      <c r="R110" s="49">
        <f>'Raw Data'!C110/'Raw Data'!I$23*100</f>
        <v>21.691513174051089</v>
      </c>
      <c r="S110" s="99">
        <f t="shared" si="7"/>
        <v>0.11949923757667706</v>
      </c>
      <c r="T110" s="99">
        <f t="shared" si="8"/>
        <v>1.4439943588628879E-6</v>
      </c>
      <c r="U110" s="76">
        <f t="shared" si="9"/>
        <v>3.7371618959808738E-3</v>
      </c>
      <c r="V110" s="76">
        <f t="shared" si="10"/>
        <v>3.1343050983293728E-2</v>
      </c>
      <c r="W110" s="76">
        <f t="shared" si="11"/>
        <v>5.2901178243615482E-6</v>
      </c>
      <c r="X110" s="162">
        <f t="shared" si="12"/>
        <v>13.878305468270492</v>
      </c>
      <c r="Z110" s="69"/>
      <c r="AS110" s="42"/>
      <c r="AT110" s="42"/>
    </row>
    <row r="111" spans="1:46" x14ac:dyDescent="0.2">
      <c r="A111" s="49">
        <f>'Raw Data'!A111</f>
        <v>6355.3916015625</v>
      </c>
      <c r="B111" s="69">
        <f>'Raw Data'!E111</f>
        <v>0.94632011098040136</v>
      </c>
      <c r="C111" s="69">
        <f t="shared" si="1"/>
        <v>5.3679889019598637E-2</v>
      </c>
      <c r="D111" s="23">
        <f t="shared" si="2"/>
        <v>5.7993988415647735E-3</v>
      </c>
      <c r="E111" s="15">
        <f>(2*Table!$AC$16*0.147)/A111</f>
        <v>1.7187025441119996E-2</v>
      </c>
      <c r="F111" s="15">
        <f t="shared" si="3"/>
        <v>3.4374050882239993E-2</v>
      </c>
      <c r="G111" s="49">
        <f>IF((('Raw Data'!C111)/('Raw Data'!C$136)*100)&lt;0,0,('Raw Data'!C111)/('Raw Data'!C$136)*100)</f>
        <v>94.632011098040138</v>
      </c>
      <c r="H111" s="49">
        <f t="shared" si="4"/>
        <v>0.57993988415647379</v>
      </c>
      <c r="I111" s="31">
        <f t="shared" si="5"/>
        <v>3.9394378939207719E-2</v>
      </c>
      <c r="J111" s="15">
        <f>'Raw Data'!F111/I111</f>
        <v>0.14721386648877599</v>
      </c>
      <c r="K111" s="78">
        <f t="shared" si="6"/>
        <v>34.724020109862217</v>
      </c>
      <c r="L111" s="49">
        <f>A111*Table!$AC$9/$AC$16</f>
        <v>1197.414879643007</v>
      </c>
      <c r="M111" s="49">
        <f>A111*Table!$AD$9/$AC$16</f>
        <v>410.54224444903093</v>
      </c>
      <c r="N111" s="49">
        <f>ABS(A111*Table!$AE$9/$AC$16)</f>
        <v>518.495852320165</v>
      </c>
      <c r="O111" s="49">
        <f>($L111*(Table!$AC$10/Table!$AC$9)/(Table!$AC$12-Table!$AC$14))</f>
        <v>2568.4574852917358</v>
      </c>
      <c r="P111" s="49">
        <f>$N111*(Table!$AE$10/Table!$AE$9)/(Table!$AC$12-Table!$AC$13)</f>
        <v>4256.9446003297608</v>
      </c>
      <c r="Q111" s="49">
        <f>'Raw Data'!C111</f>
        <v>1.0479427543852582</v>
      </c>
      <c r="R111" s="49">
        <f>'Raw Data'!C111/'Raw Data'!I$23*100</f>
        <v>21.825266460661123</v>
      </c>
      <c r="S111" s="99">
        <f t="shared" si="7"/>
        <v>0.12262134367536957</v>
      </c>
      <c r="T111" s="99">
        <f t="shared" si="8"/>
        <v>1.1177519207983266E-6</v>
      </c>
      <c r="U111" s="76">
        <f t="shared" si="9"/>
        <v>3.4341340123392691E-3</v>
      </c>
      <c r="V111" s="76">
        <f t="shared" si="10"/>
        <v>2.7166885144826181E-2</v>
      </c>
      <c r="W111" s="76">
        <f t="shared" si="11"/>
        <v>4.5276987506353101E-6</v>
      </c>
      <c r="X111" s="162">
        <f t="shared" si="12"/>
        <v>13.878309995969243</v>
      </c>
      <c r="Z111" s="69"/>
      <c r="AS111" s="42"/>
      <c r="AT111" s="42"/>
    </row>
    <row r="112" spans="1:46" x14ac:dyDescent="0.2">
      <c r="A112" s="49">
        <f>'Raw Data'!A112</f>
        <v>6946.6513671875</v>
      </c>
      <c r="B112" s="69">
        <f>'Raw Data'!E112</f>
        <v>0.95136131688046244</v>
      </c>
      <c r="C112" s="69">
        <f t="shared" si="1"/>
        <v>4.8638683119537562E-2</v>
      </c>
      <c r="D112" s="23">
        <f t="shared" si="2"/>
        <v>5.0412059000610743E-3</v>
      </c>
      <c r="E112" s="15">
        <f>(2*Table!$AC$16*0.147)/A112</f>
        <v>1.5724162818978385E-2</v>
      </c>
      <c r="F112" s="15">
        <f t="shared" si="3"/>
        <v>3.144832563795677E-2</v>
      </c>
      <c r="G112" s="49">
        <f>IF((('Raw Data'!C112)/('Raw Data'!C$136)*100)&lt;0,0,('Raw Data'!C112)/('Raw Data'!C$136)*100)</f>
        <v>95.136131688046248</v>
      </c>
      <c r="H112" s="49">
        <f t="shared" si="4"/>
        <v>0.50412059000611009</v>
      </c>
      <c r="I112" s="31">
        <f t="shared" si="5"/>
        <v>3.8633187674684377E-2</v>
      </c>
      <c r="J112" s="15">
        <f>'Raw Data'!F112/I112</f>
        <v>0.13048899672766284</v>
      </c>
      <c r="K112" s="78">
        <f t="shared" si="6"/>
        <v>37.954492326030184</v>
      </c>
      <c r="L112" s="49">
        <f>A112*Table!$AC$9/$AC$16</f>
        <v>1308.8137179017779</v>
      </c>
      <c r="M112" s="49">
        <f>A112*Table!$AD$9/$AC$16</f>
        <v>448.73613185203811</v>
      </c>
      <c r="N112" s="49">
        <f>ABS(A112*Table!$AE$9/$AC$16)</f>
        <v>566.73296426224977</v>
      </c>
      <c r="O112" s="49">
        <f>($L112*(Table!$AC$10/Table!$AC$9)/(Table!$AC$12-Table!$AC$14))</f>
        <v>2807.4082323075463</v>
      </c>
      <c r="P112" s="49">
        <f>$N112*(Table!$AE$10/Table!$AE$9)/(Table!$AC$12-Table!$AC$13)</f>
        <v>4652.9800021531173</v>
      </c>
      <c r="Q112" s="49">
        <f>'Raw Data'!C112</f>
        <v>1.0535253211457385</v>
      </c>
      <c r="R112" s="49">
        <f>'Raw Data'!C112/'Raw Data'!I$23*100</f>
        <v>21.941533314525085</v>
      </c>
      <c r="S112" s="99">
        <f t="shared" si="7"/>
        <v>0.10659026186978031</v>
      </c>
      <c r="T112" s="99">
        <f t="shared" si="8"/>
        <v>8.8038208068130785E-7</v>
      </c>
      <c r="U112" s="76">
        <f t="shared" si="9"/>
        <v>3.1585770113879462E-3</v>
      </c>
      <c r="V112" s="76">
        <f t="shared" si="10"/>
        <v>2.3583755936104914E-2</v>
      </c>
      <c r="W112" s="76">
        <f t="shared" si="11"/>
        <v>3.2942959057363336E-6</v>
      </c>
      <c r="X112" s="162">
        <f t="shared" si="12"/>
        <v>13.878313290265149</v>
      </c>
      <c r="Z112" s="69"/>
      <c r="AS112" s="42"/>
      <c r="AT112" s="42"/>
    </row>
    <row r="113" spans="1:46" x14ac:dyDescent="0.2">
      <c r="A113" s="49">
        <f>'Raw Data'!A113</f>
        <v>7604.61376953125</v>
      </c>
      <c r="B113" s="69">
        <f>'Raw Data'!E113</f>
        <v>0.95655545224631333</v>
      </c>
      <c r="C113" s="69">
        <f t="shared" si="1"/>
        <v>4.3444547753686669E-2</v>
      </c>
      <c r="D113" s="23">
        <f t="shared" si="2"/>
        <v>5.1941353658508937E-3</v>
      </c>
      <c r="E113" s="15">
        <f>(2*Table!$AC$16*0.147)/A113</f>
        <v>1.436368505419415E-2</v>
      </c>
      <c r="F113" s="15">
        <f t="shared" si="3"/>
        <v>2.87273701083883E-2</v>
      </c>
      <c r="G113" s="49">
        <f>IF((('Raw Data'!C113)/('Raw Data'!C$136)*100)&lt;0,0,('Raw Data'!C113)/('Raw Data'!C$136)*100)</f>
        <v>95.655545224631339</v>
      </c>
      <c r="H113" s="49">
        <f t="shared" si="4"/>
        <v>0.51941353658509115</v>
      </c>
      <c r="I113" s="31">
        <f t="shared" si="5"/>
        <v>3.9301658173719778E-2</v>
      </c>
      <c r="J113" s="15">
        <f>'Raw Data'!F113/I113</f>
        <v>0.13216071807688021</v>
      </c>
      <c r="K113" s="78">
        <f t="shared" si="6"/>
        <v>41.549408441805099</v>
      </c>
      <c r="L113" s="49">
        <f>A113*Table!$AC$9/$AC$16</f>
        <v>1432.7799532189481</v>
      </c>
      <c r="M113" s="49">
        <f>A113*Table!$AD$9/$AC$16</f>
        <v>491.23884110363934</v>
      </c>
      <c r="N113" s="49">
        <f>ABS(A113*Table!$AE$9/$AC$16)</f>
        <v>620.41191876034441</v>
      </c>
      <c r="O113" s="49">
        <f>($L113*(Table!$AC$10/Table!$AC$9)/(Table!$AC$12-Table!$AC$14))</f>
        <v>3073.316072970717</v>
      </c>
      <c r="P113" s="49">
        <f>$N113*(Table!$AE$10/Table!$AE$9)/(Table!$AC$12-Table!$AC$13)</f>
        <v>5093.6939142885403</v>
      </c>
      <c r="Q113" s="49">
        <f>'Raw Data'!C113</f>
        <v>1.0592772400353208</v>
      </c>
      <c r="R113" s="49">
        <f>'Raw Data'!C113/'Raw Data'!I$23*100</f>
        <v>22.061327226835576</v>
      </c>
      <c r="S113" s="99">
        <f t="shared" si="7"/>
        <v>0.10982377228956797</v>
      </c>
      <c r="T113" s="99">
        <f t="shared" si="8"/>
        <v>6.7630179734212703E-7</v>
      </c>
      <c r="U113" s="76">
        <f t="shared" si="9"/>
        <v>2.9010450623050436E-3</v>
      </c>
      <c r="V113" s="76">
        <f t="shared" si="10"/>
        <v>2.0424550742391197E-2</v>
      </c>
      <c r="W113" s="76">
        <f t="shared" si="11"/>
        <v>2.8322926022352274E-6</v>
      </c>
      <c r="X113" s="162">
        <f t="shared" si="12"/>
        <v>13.878316122557752</v>
      </c>
      <c r="Z113" s="69"/>
      <c r="AS113" s="42"/>
      <c r="AT113" s="42"/>
    </row>
    <row r="114" spans="1:46" x14ac:dyDescent="0.2">
      <c r="A114" s="49">
        <f>'Raw Data'!A114</f>
        <v>8315.400390625</v>
      </c>
      <c r="B114" s="69">
        <f>'Raw Data'!E114</f>
        <v>0.96123857136536717</v>
      </c>
      <c r="C114" s="69">
        <f t="shared" si="1"/>
        <v>3.8761428634632833E-2</v>
      </c>
      <c r="D114" s="23">
        <f t="shared" si="2"/>
        <v>4.6831191190538357E-3</v>
      </c>
      <c r="E114" s="15">
        <f>(2*Table!$AC$16*0.147)/A114</f>
        <v>1.3135901100743643E-2</v>
      </c>
      <c r="F114" s="15">
        <f t="shared" si="3"/>
        <v>2.6271802201487286E-2</v>
      </c>
      <c r="G114" s="49">
        <f>IF((('Raw Data'!C114)/('Raw Data'!C$136)*100)&lt;0,0,('Raw Data'!C114)/('Raw Data'!C$136)*100)</f>
        <v>96.123857136536714</v>
      </c>
      <c r="H114" s="49">
        <f t="shared" si="4"/>
        <v>0.46831191190537425</v>
      </c>
      <c r="I114" s="31">
        <f t="shared" si="5"/>
        <v>3.8806003970701886E-2</v>
      </c>
      <c r="J114" s="15">
        <f>'Raw Data'!F114/I114</f>
        <v>0.1206802721194777</v>
      </c>
      <c r="K114" s="78">
        <f t="shared" si="6"/>
        <v>45.432940798585818</v>
      </c>
      <c r="L114" s="49">
        <f>A114*Table!$AC$9/$AC$16</f>
        <v>1566.698762586979</v>
      </c>
      <c r="M114" s="49">
        <f>A114*Table!$AD$9/$AC$16</f>
        <v>537.15386145839273</v>
      </c>
      <c r="N114" s="49">
        <f>ABS(A114*Table!$AE$9/$AC$16)</f>
        <v>678.40046423898445</v>
      </c>
      <c r="O114" s="49">
        <f>($L114*(Table!$AC$10/Table!$AC$9)/(Table!$AC$12-Table!$AC$14))</f>
        <v>3360.5722063212766</v>
      </c>
      <c r="P114" s="49">
        <f>$N114*(Table!$AE$10/Table!$AE$9)/(Table!$AC$12-Table!$AC$13)</f>
        <v>5569.7903467896904</v>
      </c>
      <c r="Q114" s="49">
        <f>'Raw Data'!C114</f>
        <v>1.0644632660869611</v>
      </c>
      <c r="R114" s="49">
        <f>'Raw Data'!C114/'Raw Data'!I$23*100</f>
        <v>22.169335417144957</v>
      </c>
      <c r="S114" s="99">
        <f t="shared" si="7"/>
        <v>9.9018945697353034E-2</v>
      </c>
      <c r="T114" s="99">
        <f t="shared" si="8"/>
        <v>5.2241159109733815E-7</v>
      </c>
      <c r="U114" s="76">
        <f t="shared" si="9"/>
        <v>2.6660574807845991E-3</v>
      </c>
      <c r="V114" s="76">
        <f t="shared" si="10"/>
        <v>1.7705909286000694E-2</v>
      </c>
      <c r="W114" s="76">
        <f t="shared" si="11"/>
        <v>2.135738373894418E-6</v>
      </c>
      <c r="X114" s="162">
        <f t="shared" si="12"/>
        <v>13.878318258296126</v>
      </c>
      <c r="Z114" s="69"/>
      <c r="AS114" s="42"/>
      <c r="AT114" s="42"/>
    </row>
    <row r="115" spans="1:46" x14ac:dyDescent="0.2">
      <c r="A115" s="49">
        <f>'Raw Data'!A115</f>
        <v>9094.6044921875</v>
      </c>
      <c r="B115" s="69">
        <f>'Raw Data'!E115</f>
        <v>0.9657325374156237</v>
      </c>
      <c r="C115" s="69">
        <f t="shared" si="1"/>
        <v>3.4267462584376296E-2</v>
      </c>
      <c r="D115" s="23">
        <f t="shared" si="2"/>
        <v>4.4939660502565371E-3</v>
      </c>
      <c r="E115" s="15">
        <f>(2*Table!$AC$16*0.147)/A115</f>
        <v>1.2010448309012963E-2</v>
      </c>
      <c r="F115" s="15">
        <f t="shared" si="3"/>
        <v>2.4020896618025925E-2</v>
      </c>
      <c r="G115" s="49">
        <f>IF((('Raw Data'!C115)/('Raw Data'!C$136)*100)&lt;0,0,('Raw Data'!C115)/('Raw Data'!C$136)*100)</f>
        <v>96.573253741562368</v>
      </c>
      <c r="H115" s="49">
        <f t="shared" si="4"/>
        <v>0.44939660502565459</v>
      </c>
      <c r="I115" s="31">
        <f t="shared" si="5"/>
        <v>3.8900651580588752E-2</v>
      </c>
      <c r="J115" s="15">
        <f>'Raw Data'!F115/I115</f>
        <v>0.11552418449718219</v>
      </c>
      <c r="K115" s="78">
        <f t="shared" si="6"/>
        <v>49.690286464853067</v>
      </c>
      <c r="L115" s="49">
        <f>A115*Table!$AC$9/$AC$16</f>
        <v>1713.5080615230836</v>
      </c>
      <c r="M115" s="49">
        <f>A115*Table!$AD$9/$AC$16</f>
        <v>587.48847823648578</v>
      </c>
      <c r="N115" s="49">
        <f>ABS(A115*Table!$AE$9/$AC$16)</f>
        <v>741.97075543420965</v>
      </c>
      <c r="O115" s="49">
        <f>($L115*(Table!$AC$10/Table!$AC$9)/(Table!$AC$12-Table!$AC$14))</f>
        <v>3675.4784674454822</v>
      </c>
      <c r="P115" s="49">
        <f>$N115*(Table!$AE$10/Table!$AE$9)/(Table!$AC$12-Table!$AC$13)</f>
        <v>6091.7139198210962</v>
      </c>
      <c r="Q115" s="49">
        <f>'Raw Data'!C115</f>
        <v>1.0694398264560951</v>
      </c>
      <c r="R115" s="49">
        <f>'Raw Data'!C115/'Raw Data'!I$23*100</f>
        <v>22.272981113113946</v>
      </c>
      <c r="S115" s="99">
        <f t="shared" si="7"/>
        <v>9.5019530570045418E-2</v>
      </c>
      <c r="T115" s="99">
        <f t="shared" si="8"/>
        <v>3.9895784831323056E-7</v>
      </c>
      <c r="U115" s="76">
        <f t="shared" si="9"/>
        <v>2.4490324051196521E-3</v>
      </c>
      <c r="V115" s="76">
        <f t="shared" si="10"/>
        <v>1.5337785107665609E-2</v>
      </c>
      <c r="W115" s="76">
        <f t="shared" si="11"/>
        <v>1.7133312271403566E-6</v>
      </c>
      <c r="X115" s="162">
        <f t="shared" si="12"/>
        <v>13.878319971627354</v>
      </c>
      <c r="Z115" s="69"/>
      <c r="AS115" s="42"/>
      <c r="AT115" s="42"/>
    </row>
    <row r="116" spans="1:46" x14ac:dyDescent="0.2">
      <c r="A116" s="49">
        <f>'Raw Data'!A116</f>
        <v>9955.0146484375</v>
      </c>
      <c r="B116" s="69">
        <f>'Raw Data'!E116</f>
        <v>0.97008095044288456</v>
      </c>
      <c r="C116" s="69">
        <f t="shared" si="1"/>
        <v>2.991904955711544E-2</v>
      </c>
      <c r="D116" s="23">
        <f t="shared" si="2"/>
        <v>4.3484130272608557E-3</v>
      </c>
      <c r="E116" s="15">
        <f>(2*Table!$AC$16*0.147)/A116</f>
        <v>1.0972387384832166E-2</v>
      </c>
      <c r="F116" s="15">
        <f t="shared" si="3"/>
        <v>2.1944774769664332E-2</v>
      </c>
      <c r="G116" s="49">
        <f>IF((('Raw Data'!C116)/('Raw Data'!C$136)*100)&lt;0,0,('Raw Data'!C116)/('Raw Data'!C$136)*100)</f>
        <v>97.008095044288453</v>
      </c>
      <c r="H116" s="49">
        <f t="shared" si="4"/>
        <v>0.43484130272608468</v>
      </c>
      <c r="I116" s="31">
        <f t="shared" si="5"/>
        <v>3.9258086279406745E-2</v>
      </c>
      <c r="J116" s="15">
        <f>'Raw Data'!F116/I116</f>
        <v>0.11076477330841934</v>
      </c>
      <c r="K116" s="78">
        <f t="shared" si="6"/>
        <v>54.391318508418934</v>
      </c>
      <c r="L116" s="49">
        <f>A116*Table!$AC$9/$AC$16</f>
        <v>1875.6173363373089</v>
      </c>
      <c r="M116" s="49">
        <f>A116*Table!$AD$9/$AC$16</f>
        <v>643.06880102993443</v>
      </c>
      <c r="N116" s="49">
        <f>ABS(A116*Table!$AE$9/$AC$16)</f>
        <v>812.16613052330558</v>
      </c>
      <c r="O116" s="49">
        <f>($L116*(Table!$AC$10/Table!$AC$9)/(Table!$AC$12-Table!$AC$14))</f>
        <v>4023.2032096467374</v>
      </c>
      <c r="P116" s="49">
        <f>$N116*(Table!$AE$10/Table!$AE$9)/(Table!$AC$12-Table!$AC$13)</f>
        <v>6668.0306282701595</v>
      </c>
      <c r="Q116" s="49">
        <f>'Raw Data'!C116</f>
        <v>1.0742552032742751</v>
      </c>
      <c r="R116" s="49">
        <f>'Raw Data'!C116/'Raw Data'!I$23*100</f>
        <v>22.373269875763889</v>
      </c>
      <c r="S116" s="99">
        <f t="shared" si="7"/>
        <v>9.1941986199786732E-2</v>
      </c>
      <c r="T116" s="99">
        <f t="shared" si="8"/>
        <v>2.9925924160956185E-7</v>
      </c>
      <c r="U116" s="76">
        <f t="shared" si="9"/>
        <v>2.2474371626640959E-3</v>
      </c>
      <c r="V116" s="76">
        <f t="shared" si="10"/>
        <v>1.3264062392821284E-2</v>
      </c>
      <c r="W116" s="76">
        <f t="shared" si="11"/>
        <v>1.3836497176151602E-6</v>
      </c>
      <c r="X116" s="162">
        <f t="shared" si="12"/>
        <v>13.878321355277071</v>
      </c>
      <c r="Z116" s="69"/>
      <c r="AS116" s="42"/>
      <c r="AT116" s="42"/>
    </row>
    <row r="117" spans="1:46" x14ac:dyDescent="0.2">
      <c r="A117" s="49">
        <f>'Raw Data'!A117</f>
        <v>10894.6474609375</v>
      </c>
      <c r="B117" s="69">
        <f>'Raw Data'!E117</f>
        <v>0.97403465791955235</v>
      </c>
      <c r="C117" s="69">
        <f t="shared" si="1"/>
        <v>2.5965342080447651E-2</v>
      </c>
      <c r="D117" s="23">
        <f t="shared" si="2"/>
        <v>3.9537074766677893E-3</v>
      </c>
      <c r="E117" s="15">
        <f>(2*Table!$AC$16*0.147)/A117</f>
        <v>1.0026049721753513E-2</v>
      </c>
      <c r="F117" s="15">
        <f t="shared" si="3"/>
        <v>2.0052099443507027E-2</v>
      </c>
      <c r="G117" s="49">
        <f>IF((('Raw Data'!C117)/('Raw Data'!C$136)*100)&lt;0,0,('Raw Data'!C117)/('Raw Data'!C$136)*100)</f>
        <v>97.403465791955242</v>
      </c>
      <c r="H117" s="49">
        <f t="shared" si="4"/>
        <v>0.3953707476667887</v>
      </c>
      <c r="I117" s="31">
        <f t="shared" si="5"/>
        <v>3.9171278095540218E-2</v>
      </c>
      <c r="J117" s="15">
        <f>'Raw Data'!F117/I117</f>
        <v>0.10093383899868032</v>
      </c>
      <c r="K117" s="78">
        <f t="shared" si="6"/>
        <v>59.525200214325871</v>
      </c>
      <c r="L117" s="49">
        <f>A117*Table!$AC$9/$AC$16</f>
        <v>2052.6528963194332</v>
      </c>
      <c r="M117" s="49">
        <f>A117*Table!$AD$9/$AC$16</f>
        <v>703.76670730951992</v>
      </c>
      <c r="N117" s="49">
        <f>ABS(A117*Table!$AE$9/$AC$16)</f>
        <v>888.82477668216734</v>
      </c>
      <c r="O117" s="49">
        <f>($L117*(Table!$AC$10/Table!$AC$9)/(Table!$AC$12-Table!$AC$14))</f>
        <v>4402.9448655500501</v>
      </c>
      <c r="P117" s="49">
        <f>$N117*(Table!$AE$10/Table!$AE$9)/(Table!$AC$12-Table!$AC$13)</f>
        <v>7297.4119596237042</v>
      </c>
      <c r="Q117" s="49">
        <f>'Raw Data'!C117</f>
        <v>1.0786334882278099</v>
      </c>
      <c r="R117" s="49">
        <f>'Raw Data'!C117/'Raw Data'!I$23*100</f>
        <v>22.464455425119258</v>
      </c>
      <c r="S117" s="99">
        <f t="shared" si="7"/>
        <v>8.3596409995755655E-2</v>
      </c>
      <c r="T117" s="99">
        <f t="shared" si="8"/>
        <v>2.2357241802328787E-7</v>
      </c>
      <c r="U117" s="76">
        <f t="shared" si="9"/>
        <v>2.0619717623415563E-3</v>
      </c>
      <c r="V117" s="76">
        <f t="shared" si="10"/>
        <v>1.1466343932852532E-2</v>
      </c>
      <c r="W117" s="76">
        <f t="shared" si="11"/>
        <v>1.0504063739370199E-6</v>
      </c>
      <c r="X117" s="162">
        <f t="shared" si="12"/>
        <v>13.878322405683445</v>
      </c>
      <c r="Z117" s="69"/>
      <c r="AS117" s="42"/>
      <c r="AT117" s="42"/>
    </row>
    <row r="118" spans="1:46" x14ac:dyDescent="0.2">
      <c r="A118" s="49">
        <f>'Raw Data'!A118</f>
        <v>11895.57421875</v>
      </c>
      <c r="B118" s="69">
        <f>'Raw Data'!E118</f>
        <v>0.97767743516021932</v>
      </c>
      <c r="C118" s="69">
        <f t="shared" si="1"/>
        <v>2.2322564839780679E-2</v>
      </c>
      <c r="D118" s="23">
        <f t="shared" si="2"/>
        <v>3.6427772406669723E-3</v>
      </c>
      <c r="E118" s="15">
        <f>(2*Table!$AC$16*0.147)/A118</f>
        <v>9.1824299639242709E-3</v>
      </c>
      <c r="F118" s="15">
        <f t="shared" si="3"/>
        <v>1.8364859927848542E-2</v>
      </c>
      <c r="G118" s="49">
        <f>IF((('Raw Data'!C118)/('Raw Data'!C$136)*100)&lt;0,0,('Raw Data'!C118)/('Raw Data'!C$136)*100)</f>
        <v>97.767743516021937</v>
      </c>
      <c r="H118" s="49">
        <f t="shared" si="4"/>
        <v>0.3642777240666959</v>
      </c>
      <c r="I118" s="31">
        <f t="shared" si="5"/>
        <v>3.8172229473783181E-2</v>
      </c>
      <c r="J118" s="15">
        <f>'Raw Data'!F118/I118</f>
        <v>9.5430036203906929E-2</v>
      </c>
      <c r="K118" s="78">
        <f t="shared" si="6"/>
        <v>64.993974295569828</v>
      </c>
      <c r="L118" s="49">
        <f>A118*Table!$AC$9/$AC$16</f>
        <v>2241.2368056009414</v>
      </c>
      <c r="M118" s="49">
        <f>A118*Table!$AD$9/$AC$16</f>
        <v>768.42404763460843</v>
      </c>
      <c r="N118" s="49">
        <f>ABS(A118*Table!$AE$9/$AC$16)</f>
        <v>970.48400477355028</v>
      </c>
      <c r="O118" s="49">
        <f>($L118*(Table!$AC$10/Table!$AC$9)/(Table!$AC$12-Table!$AC$14))</f>
        <v>4807.4577554717753</v>
      </c>
      <c r="P118" s="49">
        <f>$N118*(Table!$AE$10/Table!$AE$9)/(Table!$AC$12-Table!$AC$13)</f>
        <v>7967.8489718682276</v>
      </c>
      <c r="Q118" s="49">
        <f>'Raw Data'!C118</f>
        <v>1.0826674530256641</v>
      </c>
      <c r="R118" s="49">
        <f>'Raw Data'!C118/'Raw Data'!I$23*100</f>
        <v>22.548469896556433</v>
      </c>
      <c r="S118" s="99">
        <f t="shared" si="7"/>
        <v>7.7022162497124791E-2</v>
      </c>
      <c r="T118" s="99">
        <f t="shared" si="8"/>
        <v>1.6507941746901622E-7</v>
      </c>
      <c r="U118" s="76">
        <f t="shared" si="9"/>
        <v>1.8955343795859106E-3</v>
      </c>
      <c r="V118" s="76">
        <f t="shared" si="10"/>
        <v>9.9452829219067885E-3</v>
      </c>
      <c r="W118" s="76">
        <f t="shared" si="11"/>
        <v>8.1178490237213501E-7</v>
      </c>
      <c r="X118" s="162">
        <f t="shared" si="12"/>
        <v>13.878323217468347</v>
      </c>
      <c r="Z118" s="69"/>
      <c r="AS118" s="42"/>
      <c r="AT118" s="42"/>
    </row>
    <row r="119" spans="1:46" x14ac:dyDescent="0.2">
      <c r="A119" s="49">
        <f>'Raw Data'!A119</f>
        <v>12994.7421875</v>
      </c>
      <c r="B119" s="69">
        <f>'Raw Data'!E119</f>
        <v>0.98099281689079154</v>
      </c>
      <c r="C119" s="69">
        <f t="shared" si="1"/>
        <v>1.9007183109208459E-2</v>
      </c>
      <c r="D119" s="23">
        <f t="shared" si="2"/>
        <v>3.31538173057222E-3</v>
      </c>
      <c r="E119" s="15">
        <f>(2*Table!$AC$16*0.147)/A119</f>
        <v>8.4057286838215735E-3</v>
      </c>
      <c r="F119" s="15">
        <f t="shared" si="3"/>
        <v>1.6811457367643147E-2</v>
      </c>
      <c r="G119" s="49">
        <f>IF((('Raw Data'!C119)/('Raw Data'!C$136)*100)&lt;0,0,('Raw Data'!C119)/('Raw Data'!C$136)*100)</f>
        <v>98.099281689079149</v>
      </c>
      <c r="H119" s="49">
        <f t="shared" si="4"/>
        <v>0.33153817305721134</v>
      </c>
      <c r="I119" s="31">
        <f t="shared" si="5"/>
        <v>3.8382256644866164E-2</v>
      </c>
      <c r="J119" s="15">
        <f>'Raw Data'!F119/I119</f>
        <v>8.6377978273866562E-2</v>
      </c>
      <c r="K119" s="78">
        <f t="shared" si="6"/>
        <v>70.999509916948014</v>
      </c>
      <c r="L119" s="49">
        <f>A119*Table!$AC$9/$AC$16</f>
        <v>2448.3302726163561</v>
      </c>
      <c r="M119" s="49">
        <f>A119*Table!$AD$9/$AC$16</f>
        <v>839.42752203989357</v>
      </c>
      <c r="N119" s="49">
        <f>ABS(A119*Table!$AE$9/$AC$16)</f>
        <v>1060.1581064701224</v>
      </c>
      <c r="O119" s="49">
        <f>($L119*(Table!$AC$10/Table!$AC$9)/(Table!$AC$12-Table!$AC$14))</f>
        <v>5251.6736864357708</v>
      </c>
      <c r="P119" s="49">
        <f>$N119*(Table!$AE$10/Table!$AE$9)/(Table!$AC$12-Table!$AC$13)</f>
        <v>8704.0895440896729</v>
      </c>
      <c r="Q119" s="49">
        <f>'Raw Data'!C119</f>
        <v>1.0863388642344727</v>
      </c>
      <c r="R119" s="49">
        <f>'Raw Data'!C119/'Raw Data'!I$23*100</f>
        <v>22.624933546487302</v>
      </c>
      <c r="S119" s="99">
        <f t="shared" si="7"/>
        <v>7.0099776495083657E-2</v>
      </c>
      <c r="T119" s="99">
        <f t="shared" si="8"/>
        <v>1.2046858655079262E-7</v>
      </c>
      <c r="U119" s="76">
        <f t="shared" si="9"/>
        <v>1.7410836798479039E-3</v>
      </c>
      <c r="V119" s="76">
        <f t="shared" si="10"/>
        <v>8.6138819334750545E-3</v>
      </c>
      <c r="W119" s="76">
        <f t="shared" si="11"/>
        <v>6.19123633108411E-7</v>
      </c>
      <c r="X119" s="162">
        <f t="shared" si="12"/>
        <v>13.87832383659198</v>
      </c>
      <c r="Z119" s="69"/>
      <c r="AS119" s="42"/>
      <c r="AT119" s="42"/>
    </row>
    <row r="120" spans="1:46" x14ac:dyDescent="0.2">
      <c r="A120" s="49">
        <f>'Raw Data'!A120</f>
        <v>14293.283203125</v>
      </c>
      <c r="B120" s="69">
        <f>'Raw Data'!E120</f>
        <v>0.98427770493374067</v>
      </c>
      <c r="C120" s="69">
        <f t="shared" si="1"/>
        <v>1.5722295066259329E-2</v>
      </c>
      <c r="D120" s="23">
        <f t="shared" si="2"/>
        <v>3.2848880429491301E-3</v>
      </c>
      <c r="E120" s="15">
        <f>(2*Table!$AC$16*0.147)/A120</f>
        <v>7.6420704460997161E-3</v>
      </c>
      <c r="F120" s="15">
        <f t="shared" si="3"/>
        <v>1.5284140892199432E-2</v>
      </c>
      <c r="G120" s="49">
        <f>IF((('Raw Data'!C120)/('Raw Data'!C$136)*100)&lt;0,0,('Raw Data'!C120)/('Raw Data'!C$136)*100)</f>
        <v>98.427770493374069</v>
      </c>
      <c r="H120" s="49">
        <f t="shared" si="4"/>
        <v>0.32848880429492056</v>
      </c>
      <c r="I120" s="31">
        <f t="shared" si="5"/>
        <v>4.1364331159214007E-2</v>
      </c>
      <c r="J120" s="15">
        <f>'Raw Data'!F120/I120</f>
        <v>7.9413541834035262E-2</v>
      </c>
      <c r="K120" s="78">
        <f t="shared" si="6"/>
        <v>78.094362156888309</v>
      </c>
      <c r="L120" s="49">
        <f>A120*Table!$AC$9/$AC$16</f>
        <v>2692.9874757309276</v>
      </c>
      <c r="M120" s="49">
        <f>A120*Table!$AD$9/$AC$16</f>
        <v>923.30999167917514</v>
      </c>
      <c r="N120" s="49">
        <f>ABS(A120*Table!$AE$9/$AC$16)</f>
        <v>1166.0977830281563</v>
      </c>
      <c r="O120" s="49">
        <f>($L120*(Table!$AC$10/Table!$AC$9)/(Table!$AC$12-Table!$AC$14))</f>
        <v>5776.4639119067524</v>
      </c>
      <c r="P120" s="49">
        <f>$N120*(Table!$AE$10/Table!$AE$9)/(Table!$AC$12-Table!$AC$13)</f>
        <v>9573.8734238764864</v>
      </c>
      <c r="Q120" s="49">
        <f>'Raw Data'!C120</f>
        <v>1.0899765071246876</v>
      </c>
      <c r="R120" s="49">
        <f>'Raw Data'!C120/'Raw Data'!I$23*100</f>
        <v>22.700693911292959</v>
      </c>
      <c r="S120" s="99">
        <f t="shared" si="7"/>
        <v>6.9455023986744122E-2</v>
      </c>
      <c r="T120" s="99">
        <f t="shared" si="8"/>
        <v>8.3934463934731696E-8</v>
      </c>
      <c r="U120" s="76">
        <f t="shared" si="9"/>
        <v>1.5882071032028394E-3</v>
      </c>
      <c r="V120" s="76">
        <f t="shared" si="10"/>
        <v>7.3740632668149279E-3</v>
      </c>
      <c r="W120" s="76">
        <f t="shared" si="11"/>
        <v>5.0703244673661875E-7</v>
      </c>
      <c r="X120" s="162">
        <f t="shared" si="12"/>
        <v>13.878324343624426</v>
      </c>
      <c r="Z120" s="69"/>
      <c r="AS120" s="42"/>
      <c r="AT120" s="42"/>
    </row>
    <row r="121" spans="1:46" x14ac:dyDescent="0.2">
      <c r="A121" s="49">
        <f>'Raw Data'!A121</f>
        <v>15591.076171875</v>
      </c>
      <c r="B121" s="69">
        <f>'Raw Data'!E121</f>
        <v>0.98716182820522946</v>
      </c>
      <c r="C121" s="69">
        <f t="shared" si="1"/>
        <v>1.2838171794770536E-2</v>
      </c>
      <c r="D121" s="23">
        <f t="shared" si="2"/>
        <v>2.8841232714887921E-3</v>
      </c>
      <c r="E121" s="15">
        <f>(2*Table!$AC$16*0.147)/A121</f>
        <v>7.0059485272336332E-3</v>
      </c>
      <c r="F121" s="15">
        <f t="shared" si="3"/>
        <v>1.4011897054467266E-2</v>
      </c>
      <c r="G121" s="49">
        <f>IF((('Raw Data'!C121)/('Raw Data'!C$136)*100)&lt;0,0,('Raw Data'!C121)/('Raw Data'!C$136)*100)</f>
        <v>98.716182820522945</v>
      </c>
      <c r="H121" s="49">
        <f t="shared" si="4"/>
        <v>0.2884123271488761</v>
      </c>
      <c r="I121" s="31">
        <f t="shared" si="5"/>
        <v>3.7744094554339469E-2</v>
      </c>
      <c r="J121" s="15">
        <f>'Raw Data'!F121/I121</f>
        <v>7.6412570113096073E-2</v>
      </c>
      <c r="K121" s="78">
        <f t="shared" si="6"/>
        <v>85.18512728522964</v>
      </c>
      <c r="L121" s="49">
        <f>A121*Table!$AC$9/$AC$16</f>
        <v>2937.5037398577933</v>
      </c>
      <c r="M121" s="49">
        <f>A121*Table!$AD$9/$AC$16</f>
        <v>1007.1441393798149</v>
      </c>
      <c r="N121" s="49">
        <f>ABS(A121*Table!$AE$9/$AC$16)</f>
        <v>1271.9764312143222</v>
      </c>
      <c r="O121" s="49">
        <f>($L121*(Table!$AC$10/Table!$AC$9)/(Table!$AC$12-Table!$AC$14))</f>
        <v>6300.9518229467913</v>
      </c>
      <c r="P121" s="49">
        <f>$N121*(Table!$AE$10/Table!$AE$9)/(Table!$AC$12-Table!$AC$13)</f>
        <v>10443.156249707077</v>
      </c>
      <c r="Q121" s="49">
        <f>'Raw Data'!C121</f>
        <v>1.0931703482467783</v>
      </c>
      <c r="R121" s="49">
        <f>'Raw Data'!C121/'Raw Data'!I$23*100</f>
        <v>22.767211317163603</v>
      </c>
      <c r="S121" s="99">
        <f t="shared" si="7"/>
        <v>6.0981332813443201E-2</v>
      </c>
      <c r="T121" s="99">
        <f t="shared" si="8"/>
        <v>5.6975466344866277E-8</v>
      </c>
      <c r="U121" s="76">
        <f t="shared" si="9"/>
        <v>1.4602719572516585E-3</v>
      </c>
      <c r="V121" s="76">
        <f t="shared" si="10"/>
        <v>6.3977955689982465E-3</v>
      </c>
      <c r="W121" s="76">
        <f t="shared" si="11"/>
        <v>3.7414574416843829E-7</v>
      </c>
      <c r="X121" s="162">
        <f t="shared" si="12"/>
        <v>13.87832471777017</v>
      </c>
      <c r="Z121" s="69"/>
      <c r="AS121" s="42"/>
      <c r="AT121" s="42"/>
    </row>
    <row r="122" spans="1:46" x14ac:dyDescent="0.2">
      <c r="A122" s="49">
        <f>'Raw Data'!A122</f>
        <v>17095.8125</v>
      </c>
      <c r="B122" s="69">
        <f>'Raw Data'!E122</f>
        <v>0.98970538374734773</v>
      </c>
      <c r="C122" s="69">
        <f t="shared" si="1"/>
        <v>1.0294616252652267E-2</v>
      </c>
      <c r="D122" s="23">
        <f t="shared" si="2"/>
        <v>2.5435555421182698E-3</v>
      </c>
      <c r="E122" s="15">
        <f>(2*Table!$AC$16*0.147)/A122</f>
        <v>6.3893001367636105E-3</v>
      </c>
      <c r="F122" s="15">
        <f t="shared" si="3"/>
        <v>1.2778600273527221E-2</v>
      </c>
      <c r="G122" s="49">
        <f>IF((('Raw Data'!C122)/('Raw Data'!C$136)*100)&lt;0,0,('Raw Data'!C122)/('Raw Data'!C$136)*100)</f>
        <v>98.970538374734772</v>
      </c>
      <c r="H122" s="49">
        <f t="shared" si="4"/>
        <v>0.25435555421182698</v>
      </c>
      <c r="I122" s="31">
        <f t="shared" si="5"/>
        <v>4.0013652674835587E-2</v>
      </c>
      <c r="J122" s="15">
        <f>'Raw Data'!F122/I122</f>
        <v>6.3567191997892777E-2</v>
      </c>
      <c r="K122" s="78">
        <f t="shared" si="6"/>
        <v>93.406571028366841</v>
      </c>
      <c r="L122" s="49">
        <f>A122*Table!$AC$9/$AC$16</f>
        <v>3221.0100573588707</v>
      </c>
      <c r="M122" s="49">
        <f>A122*Table!$AD$9/$AC$16</f>
        <v>1104.3463053801843</v>
      </c>
      <c r="N122" s="49">
        <f>ABS(A122*Table!$AE$9/$AC$16)</f>
        <v>1394.7382677589769</v>
      </c>
      <c r="O122" s="49">
        <f>($L122*(Table!$AC$10/Table!$AC$9)/(Table!$AC$12-Table!$AC$14))</f>
        <v>6909.0734821082615</v>
      </c>
      <c r="P122" s="49">
        <f>$N122*(Table!$AE$10/Table!$AE$9)/(Table!$AC$12-Table!$AC$13)</f>
        <v>11451.05310146943</v>
      </c>
      <c r="Q122" s="49">
        <f>'Raw Data'!C122</f>
        <v>1.0959870490331305</v>
      </c>
      <c r="R122" s="49">
        <f>'Raw Data'!C122/'Raw Data'!I$23*100</f>
        <v>22.825874106657437</v>
      </c>
      <c r="S122" s="99">
        <f t="shared" si="7"/>
        <v>5.3780436008660705E-2</v>
      </c>
      <c r="T122" s="99">
        <f t="shared" si="8"/>
        <v>3.7201042357715153E-8</v>
      </c>
      <c r="U122" s="76">
        <f t="shared" si="9"/>
        <v>1.335173400308259E-3</v>
      </c>
      <c r="V122" s="76">
        <f t="shared" si="10"/>
        <v>5.498662933932104E-3</v>
      </c>
      <c r="W122" s="76">
        <f t="shared" si="11"/>
        <v>2.7443589271379486E-7</v>
      </c>
      <c r="X122" s="162">
        <f t="shared" si="12"/>
        <v>13.878324992206062</v>
      </c>
      <c r="Z122" s="69"/>
      <c r="AS122" s="42"/>
      <c r="AT122" s="42"/>
    </row>
    <row r="123" spans="1:46" x14ac:dyDescent="0.2">
      <c r="A123" s="49">
        <f>'Raw Data'!A123</f>
        <v>18694.93359375</v>
      </c>
      <c r="B123" s="69">
        <f>'Raw Data'!E123</f>
        <v>0.99187860234453273</v>
      </c>
      <c r="C123" s="69">
        <f t="shared" si="1"/>
        <v>8.1213976554672662E-3</v>
      </c>
      <c r="D123" s="23">
        <f t="shared" si="2"/>
        <v>2.1732185971850004E-3</v>
      </c>
      <c r="E123" s="15">
        <f>(2*Table!$AC$16*0.147)/A123</f>
        <v>5.8427742787410799E-3</v>
      </c>
      <c r="F123" s="15">
        <f t="shared" si="3"/>
        <v>1.168554855748216E-2</v>
      </c>
      <c r="G123" s="49">
        <f>IF((('Raw Data'!C123)/('Raw Data'!C$136)*100)&lt;0,0,('Raw Data'!C123)/('Raw Data'!C$136)*100)</f>
        <v>99.187860234453268</v>
      </c>
      <c r="H123" s="49">
        <f t="shared" si="4"/>
        <v>0.2173218597184956</v>
      </c>
      <c r="I123" s="31">
        <f t="shared" si="5"/>
        <v>3.8834180821281539E-2</v>
      </c>
      <c r="J123" s="15">
        <f>'Raw Data'!F123/I123</f>
        <v>5.5961489369026521E-2</v>
      </c>
      <c r="K123" s="78">
        <f t="shared" si="6"/>
        <v>102.1437058107189</v>
      </c>
      <c r="L123" s="49">
        <f>A123*Table!$AC$9/$AC$16</f>
        <v>3522.2993424340002</v>
      </c>
      <c r="M123" s="49">
        <f>A123*Table!$AD$9/$AC$16</f>
        <v>1207.6454888345145</v>
      </c>
      <c r="N123" s="49">
        <f>ABS(A123*Table!$AE$9/$AC$16)</f>
        <v>1525.2003551405342</v>
      </c>
      <c r="O123" s="49">
        <f>($L123*(Table!$AC$10/Table!$AC$9)/(Table!$AC$12-Table!$AC$14))</f>
        <v>7555.3396448605763</v>
      </c>
      <c r="P123" s="49">
        <f>$N123*(Table!$AE$10/Table!$AE$9)/(Table!$AC$12-Table!$AC$13)</f>
        <v>12522.170403452659</v>
      </c>
      <c r="Q123" s="49">
        <f>'Raw Data'!C123</f>
        <v>1.0983936434362187</v>
      </c>
      <c r="R123" s="49">
        <f>'Raw Data'!C123/'Raw Data'!I$23*100</f>
        <v>22.875995703367121</v>
      </c>
      <c r="S123" s="99">
        <f t="shared" si="7"/>
        <v>4.5950104789693164E-2</v>
      </c>
      <c r="T123" s="99">
        <f t="shared" si="8"/>
        <v>2.3072490029640846E-8</v>
      </c>
      <c r="U123" s="76">
        <f t="shared" si="9"/>
        <v>1.2236468018808535E-3</v>
      </c>
      <c r="V123" s="76">
        <f t="shared" si="10"/>
        <v>4.7445969579972304E-3</v>
      </c>
      <c r="W123" s="76">
        <f t="shared" si="11"/>
        <v>1.9608064940934433E-7</v>
      </c>
      <c r="X123" s="162">
        <f t="shared" si="12"/>
        <v>13.878325188286711</v>
      </c>
      <c r="Z123" s="69"/>
      <c r="AS123" s="42"/>
      <c r="AT123" s="42"/>
    </row>
    <row r="124" spans="1:46" x14ac:dyDescent="0.2">
      <c r="A124" s="49">
        <f>'Raw Data'!A124</f>
        <v>20392.146484375</v>
      </c>
      <c r="B124" s="69">
        <f>'Raw Data'!E124</f>
        <v>0.9936682459164119</v>
      </c>
      <c r="C124" s="69">
        <f t="shared" si="1"/>
        <v>6.3317540835881037E-3</v>
      </c>
      <c r="D124" s="23">
        <f t="shared" si="2"/>
        <v>1.7896435718791626E-3</v>
      </c>
      <c r="E124" s="15">
        <f>(2*Table!$AC$16*0.147)/A124</f>
        <v>5.3564874707049681E-3</v>
      </c>
      <c r="F124" s="15">
        <f t="shared" si="3"/>
        <v>1.0712974941409936E-2</v>
      </c>
      <c r="G124" s="49">
        <f>IF((('Raw Data'!C124)/('Raw Data'!C$136)*100)&lt;0,0,('Raw Data'!C124)/('Raw Data'!C$136)*100)</f>
        <v>99.366824591641191</v>
      </c>
      <c r="H124" s="49">
        <f t="shared" si="4"/>
        <v>0.17896435718792247</v>
      </c>
      <c r="I124" s="31">
        <f t="shared" si="5"/>
        <v>3.773901533515911E-2</v>
      </c>
      <c r="J124" s="15">
        <f>'Raw Data'!F124/I124</f>
        <v>4.7421575681967046E-2</v>
      </c>
      <c r="K124" s="78">
        <f t="shared" si="6"/>
        <v>111.41678577801639</v>
      </c>
      <c r="L124" s="49">
        <f>A124*Table!$AC$9/$AC$16</f>
        <v>3842.0700342441878</v>
      </c>
      <c r="M124" s="49">
        <f>A124*Table!$AD$9/$AC$16</f>
        <v>1317.2811545980071</v>
      </c>
      <c r="N124" s="49">
        <f>ABS(A124*Table!$AE$9/$AC$16)</f>
        <v>1663.6651263872075</v>
      </c>
      <c r="O124" s="49">
        <f>($L124*(Table!$AC$10/Table!$AC$9)/(Table!$AC$12-Table!$AC$14))</f>
        <v>8241.2484647022484</v>
      </c>
      <c r="P124" s="49">
        <f>$N124*(Table!$AE$10/Table!$AE$9)/(Table!$AC$12-Table!$AC$13)</f>
        <v>13658.991185445051</v>
      </c>
      <c r="Q124" s="49">
        <f>'Raw Data'!C124</f>
        <v>1.1003754717756165</v>
      </c>
      <c r="R124" s="49">
        <f>'Raw Data'!C124/'Raw Data'!I$23*100</f>
        <v>22.917270793447798</v>
      </c>
      <c r="S124" s="99">
        <f t="shared" si="7"/>
        <v>3.7839870213961679E-2</v>
      </c>
      <c r="T124" s="99">
        <f t="shared" si="8"/>
        <v>1.3293752987308949E-8</v>
      </c>
      <c r="U124" s="76">
        <f t="shared" si="9"/>
        <v>1.1238282743313763E-3</v>
      </c>
      <c r="V124" s="76">
        <f t="shared" si="10"/>
        <v>4.1087197379778145E-3</v>
      </c>
      <c r="W124" s="76">
        <f t="shared" si="11"/>
        <v>1.3571249597571987E-7</v>
      </c>
      <c r="X124" s="162">
        <f t="shared" si="12"/>
        <v>13.878325323999206</v>
      </c>
      <c r="Z124" s="69"/>
      <c r="AS124" s="42"/>
      <c r="AT124" s="42"/>
    </row>
    <row r="125" spans="1:46" x14ac:dyDescent="0.2">
      <c r="A125" s="49">
        <f>'Raw Data'!A125</f>
        <v>22292.744140625</v>
      </c>
      <c r="B125" s="69">
        <f>'Raw Data'!E125</f>
        <v>0.9936682459164119</v>
      </c>
      <c r="C125" s="69">
        <f t="shared" si="1"/>
        <v>6.3317540835881037E-3</v>
      </c>
      <c r="D125" s="23">
        <f t="shared" si="2"/>
        <v>0</v>
      </c>
      <c r="E125" s="15">
        <f>(2*Table!$AC$16*0.147)/A125</f>
        <v>4.8998129819863741E-3</v>
      </c>
      <c r="F125" s="15">
        <f t="shared" si="3"/>
        <v>9.7996259639727482E-3</v>
      </c>
      <c r="G125" s="49">
        <f>IF((('Raw Data'!C125)/('Raw Data'!C$136)*100)&lt;0,0,('Raw Data'!C125)/('Raw Data'!C$136)*100)</f>
        <v>99.366824591641191</v>
      </c>
      <c r="H125" s="49">
        <f t="shared" si="4"/>
        <v>0</v>
      </c>
      <c r="I125" s="31">
        <f t="shared" si="5"/>
        <v>3.8700589376608807E-2</v>
      </c>
      <c r="J125" s="15">
        <f>'Raw Data'!F125/I125</f>
        <v>0</v>
      </c>
      <c r="K125" s="78">
        <f t="shared" si="6"/>
        <v>121.80110123391314</v>
      </c>
      <c r="L125" s="49">
        <f>A125*Table!$AC$9/$AC$16</f>
        <v>4200.1603072729749</v>
      </c>
      <c r="M125" s="49">
        <f>A125*Table!$AD$9/$AC$16</f>
        <v>1440.0549624935913</v>
      </c>
      <c r="N125" s="49">
        <f>ABS(A125*Table!$AE$9/$AC$16)</f>
        <v>1818.7227630327247</v>
      </c>
      <c r="O125" s="49">
        <f>($L125*(Table!$AC$10/Table!$AC$9)/(Table!$AC$12-Table!$AC$14))</f>
        <v>9009.3528684534012</v>
      </c>
      <c r="P125" s="49">
        <f>$N125*(Table!$AE$10/Table!$AE$9)/(Table!$AC$12-Table!$AC$13)</f>
        <v>14932.042389431233</v>
      </c>
      <c r="Q125" s="49">
        <f>'Raw Data'!C125</f>
        <v>1.1003754717756165</v>
      </c>
      <c r="R125" s="49">
        <f>'Raw Data'!C125/'Raw Data'!I$23*100</f>
        <v>22.917270793447798</v>
      </c>
      <c r="S125" s="99">
        <f t="shared" si="7"/>
        <v>0</v>
      </c>
      <c r="T125" s="99">
        <f t="shared" si="8"/>
        <v>1.3293752987308949E-8</v>
      </c>
      <c r="U125" s="76">
        <f t="shared" si="9"/>
        <v>1.0280147948087152E-3</v>
      </c>
      <c r="V125" s="76">
        <f t="shared" si="10"/>
        <v>3.5339778386741178E-3</v>
      </c>
      <c r="W125" s="76">
        <f t="shared" si="11"/>
        <v>0</v>
      </c>
      <c r="X125" s="162">
        <f t="shared" si="12"/>
        <v>13.878325323999206</v>
      </c>
      <c r="Z125" s="69"/>
      <c r="AS125" s="42"/>
      <c r="AT125" s="42"/>
    </row>
    <row r="126" spans="1:46" x14ac:dyDescent="0.2">
      <c r="A126" s="49">
        <f>'Raw Data'!A126</f>
        <v>24395.33203125</v>
      </c>
      <c r="B126" s="69">
        <f>'Raw Data'!E126</f>
        <v>0.99478867488799461</v>
      </c>
      <c r="C126" s="69">
        <f t="shared" si="1"/>
        <v>5.2113251120053938E-3</v>
      </c>
      <c r="D126" s="23">
        <f t="shared" si="2"/>
        <v>1.1204289715827098E-3</v>
      </c>
      <c r="E126" s="15">
        <f>(2*Table!$AC$16*0.147)/A126</f>
        <v>4.4775072954290167E-3</v>
      </c>
      <c r="F126" s="15">
        <f t="shared" si="3"/>
        <v>8.9550145908580334E-3</v>
      </c>
      <c r="G126" s="49">
        <f>IF((('Raw Data'!C126)/('Raw Data'!C$136)*100)&lt;0,0,('Raw Data'!C126)/('Raw Data'!C$136)*100)</f>
        <v>99.478867488799466</v>
      </c>
      <c r="H126" s="49">
        <f t="shared" si="4"/>
        <v>0.11204289715827542</v>
      </c>
      <c r="I126" s="31">
        <f t="shared" si="5"/>
        <v>3.9143201880472045E-2</v>
      </c>
      <c r="J126" s="15">
        <f>'Raw Data'!F126/I126</f>
        <v>2.8623845719214783E-2</v>
      </c>
      <c r="K126" s="78">
        <f t="shared" si="6"/>
        <v>133.28903286331354</v>
      </c>
      <c r="L126" s="49">
        <f>A126*Table!$AC$9/$AC$16</f>
        <v>4596.3074188644296</v>
      </c>
      <c r="M126" s="49">
        <f>A126*Table!$AD$9/$AC$16</f>
        <v>1575.8768293249475</v>
      </c>
      <c r="N126" s="49">
        <f>ABS(A126*Table!$AE$9/$AC$16)</f>
        <v>1990.2594941697396</v>
      </c>
      <c r="O126" s="49">
        <f>($L126*(Table!$AC$10/Table!$AC$9)/(Table!$AC$12-Table!$AC$14))</f>
        <v>9859.0892725534741</v>
      </c>
      <c r="P126" s="49">
        <f>$N126*(Table!$AE$10/Table!$AE$9)/(Table!$AC$12-Table!$AC$13)</f>
        <v>16340.389935712143</v>
      </c>
      <c r="Q126" s="49">
        <f>'Raw Data'!C126</f>
        <v>1.1016162204492941</v>
      </c>
      <c r="R126" s="49">
        <f>'Raw Data'!C126/'Raw Data'!I$23*100</f>
        <v>22.943111585132659</v>
      </c>
      <c r="S126" s="99">
        <f t="shared" si="7"/>
        <v>2.3690128880878049E-2</v>
      </c>
      <c r="T126" s="99">
        <f t="shared" si="8"/>
        <v>9.0160268140238031E-9</v>
      </c>
      <c r="U126" s="76">
        <f t="shared" si="9"/>
        <v>9.4047138016990002E-4</v>
      </c>
      <c r="V126" s="76">
        <f t="shared" si="10"/>
        <v>3.0401868632892351E-3</v>
      </c>
      <c r="W126" s="76">
        <f t="shared" si="11"/>
        <v>5.9367674944744737E-8</v>
      </c>
      <c r="X126" s="162">
        <f t="shared" si="12"/>
        <v>13.878325383366882</v>
      </c>
      <c r="Z126" s="69"/>
      <c r="AS126" s="42"/>
      <c r="AT126" s="42"/>
    </row>
    <row r="127" spans="1:46" x14ac:dyDescent="0.2">
      <c r="A127" s="49">
        <f>'Raw Data'!A127</f>
        <v>26697.021484375</v>
      </c>
      <c r="B127" s="69">
        <f>'Raw Data'!E127</f>
        <v>0.99549714270173273</v>
      </c>
      <c r="C127" s="69">
        <f t="shared" si="1"/>
        <v>4.502857298267271E-3</v>
      </c>
      <c r="D127" s="23">
        <f t="shared" si="2"/>
        <v>7.0846781373812284E-4</v>
      </c>
      <c r="E127" s="15">
        <f>(2*Table!$AC$16*0.147)/A127</f>
        <v>4.0914780402849203E-3</v>
      </c>
      <c r="F127" s="15">
        <f t="shared" si="3"/>
        <v>8.1829560805698406E-3</v>
      </c>
      <c r="G127" s="49">
        <f>IF((('Raw Data'!C127)/('Raw Data'!C$136)*100)&lt;0,0,('Raw Data'!C127)/('Raw Data'!C$136)*100)</f>
        <v>99.549714270173268</v>
      </c>
      <c r="H127" s="49">
        <f t="shared" si="4"/>
        <v>7.0846781373802514E-2</v>
      </c>
      <c r="I127" s="31">
        <f t="shared" si="5"/>
        <v>3.9156077559584279E-2</v>
      </c>
      <c r="J127" s="15">
        <f>'Raw Data'!F127/I127</f>
        <v>1.8093431668686395E-2</v>
      </c>
      <c r="K127" s="78">
        <f t="shared" si="6"/>
        <v>145.86479779923351</v>
      </c>
      <c r="L127" s="49">
        <f>A127*Table!$AC$9/$AC$16</f>
        <v>5029.967116374125</v>
      </c>
      <c r="M127" s="49">
        <f>A127*Table!$AD$9/$AC$16</f>
        <v>1724.5601541854144</v>
      </c>
      <c r="N127" s="49">
        <f>ABS(A127*Table!$AE$9/$AC$16)</f>
        <v>2178.0396514901754</v>
      </c>
      <c r="O127" s="49">
        <f>($L127*(Table!$AC$10/Table!$AC$9)/(Table!$AC$12-Table!$AC$14))</f>
        <v>10789.290253912754</v>
      </c>
      <c r="P127" s="49">
        <f>$N127*(Table!$AE$10/Table!$AE$9)/(Table!$AC$12-Table!$AC$13)</f>
        <v>17882.098944911126</v>
      </c>
      <c r="Q127" s="49">
        <f>'Raw Data'!C127</f>
        <v>1.1024007686201587</v>
      </c>
      <c r="R127" s="49">
        <f>'Raw Data'!C127/'Raw Data'!I$23*100</f>
        <v>22.959451192242579</v>
      </c>
      <c r="S127" s="99">
        <f t="shared" si="7"/>
        <v>1.4979703525250253E-2</v>
      </c>
      <c r="T127" s="99">
        <f t="shared" si="8"/>
        <v>6.7574409401416347E-9</v>
      </c>
      <c r="U127" s="76">
        <f t="shared" si="9"/>
        <v>8.6000047629583272E-4</v>
      </c>
      <c r="V127" s="76">
        <f t="shared" si="10"/>
        <v>2.6134258558775949E-3</v>
      </c>
      <c r="W127" s="76">
        <f t="shared" si="11"/>
        <v>3.1345390177065639E-8</v>
      </c>
      <c r="X127" s="162">
        <f t="shared" si="12"/>
        <v>13.878325414712272</v>
      </c>
      <c r="Z127" s="69"/>
      <c r="AS127" s="42"/>
      <c r="AT127" s="42"/>
    </row>
    <row r="128" spans="1:46" x14ac:dyDescent="0.2">
      <c r="A128" s="49">
        <f>'Raw Data'!A128</f>
        <v>29293.7578125</v>
      </c>
      <c r="B128" s="69">
        <f>'Raw Data'!E128</f>
        <v>0.99633700340274489</v>
      </c>
      <c r="C128" s="69">
        <f t="shared" si="1"/>
        <v>3.6629965972551082E-3</v>
      </c>
      <c r="D128" s="23">
        <f t="shared" si="2"/>
        <v>8.3986070101216281E-4</v>
      </c>
      <c r="E128" s="15">
        <f>(2*Table!$AC$16*0.147)/A128</f>
        <v>3.7287902031375836E-3</v>
      </c>
      <c r="F128" s="15">
        <f t="shared" si="3"/>
        <v>7.4575804062751673E-3</v>
      </c>
      <c r="G128" s="49">
        <f>IF((('Raw Data'!C128)/('Raw Data'!C$136)*100)&lt;0,0,('Raw Data'!C128)/('Raw Data'!C$136)*100)</f>
        <v>99.633700340274487</v>
      </c>
      <c r="H128" s="49">
        <f t="shared" si="4"/>
        <v>8.3986070101218502E-2</v>
      </c>
      <c r="I128" s="31">
        <f t="shared" si="5"/>
        <v>4.0312275700564282E-2</v>
      </c>
      <c r="J128" s="15">
        <f>'Raw Data'!F128/I128</f>
        <v>2.0833869743563167E-2</v>
      </c>
      <c r="K128" s="78">
        <f t="shared" si="6"/>
        <v>160.05261345730469</v>
      </c>
      <c r="L128" s="49">
        <f>A128*Table!$AC$9/$AC$16</f>
        <v>5519.2163889196545</v>
      </c>
      <c r="M128" s="49">
        <f>A128*Table!$AD$9/$AC$16</f>
        <v>1892.3027619153102</v>
      </c>
      <c r="N128" s="49">
        <f>ABS(A128*Table!$AE$9/$AC$16)</f>
        <v>2389.8908008939175</v>
      </c>
      <c r="O128" s="49">
        <f>($L128*(Table!$AC$10/Table!$AC$9)/(Table!$AC$12-Table!$AC$14))</f>
        <v>11838.730992963654</v>
      </c>
      <c r="P128" s="49">
        <f>$N128*(Table!$AE$10/Table!$AE$9)/(Table!$AC$12-Table!$AC$13)</f>
        <v>19621.435146912292</v>
      </c>
      <c r="Q128" s="49">
        <f>'Raw Data'!C128</f>
        <v>1.1033308195892824</v>
      </c>
      <c r="R128" s="49">
        <f>'Raw Data'!C128/'Raw Data'!I$23*100</f>
        <v>22.978821153185752</v>
      </c>
      <c r="S128" s="99">
        <f t="shared" si="7"/>
        <v>1.775784878255799E-2</v>
      </c>
      <c r="T128" s="99">
        <f t="shared" si="8"/>
        <v>4.5336232545878374E-9</v>
      </c>
      <c r="U128" s="76">
        <f t="shared" si="9"/>
        <v>7.8442722508548939E-4</v>
      </c>
      <c r="V128" s="76">
        <f t="shared" si="10"/>
        <v>2.2369765984976589E-3</v>
      </c>
      <c r="W128" s="76">
        <f t="shared" si="11"/>
        <v>3.0862866778740645E-8</v>
      </c>
      <c r="X128" s="162">
        <f t="shared" si="12"/>
        <v>13.878325445575138</v>
      </c>
      <c r="Z128" s="69"/>
      <c r="AS128" s="42"/>
      <c r="AT128" s="42"/>
    </row>
    <row r="129" spans="1:46" x14ac:dyDescent="0.2">
      <c r="A129" s="49">
        <f>'Raw Data'!A129</f>
        <v>31997.32421875</v>
      </c>
      <c r="B129" s="69">
        <f>'Raw Data'!E129</f>
        <v>0.99667546357703141</v>
      </c>
      <c r="C129" s="69">
        <f t="shared" si="1"/>
        <v>3.3245364229685936E-3</v>
      </c>
      <c r="D129" s="23">
        <f t="shared" si="2"/>
        <v>3.3846017428651454E-4</v>
      </c>
      <c r="E129" s="15">
        <f>(2*Table!$AC$16*0.147)/A129</f>
        <v>3.4137316107303618E-3</v>
      </c>
      <c r="F129" s="15">
        <f t="shared" si="3"/>
        <v>6.8274632214607237E-3</v>
      </c>
      <c r="G129" s="49">
        <f>IF((('Raw Data'!C129)/('Raw Data'!C$136)*100)&lt;0,0,('Raw Data'!C129)/('Raw Data'!C$136)*100)</f>
        <v>99.667546357703145</v>
      </c>
      <c r="H129" s="49">
        <f t="shared" si="4"/>
        <v>3.3846017428658115E-2</v>
      </c>
      <c r="I129" s="31">
        <f t="shared" si="5"/>
        <v>3.8338575205802972E-2</v>
      </c>
      <c r="J129" s="15">
        <f>'Raw Data'!F129/I129</f>
        <v>8.8281886447174173E-3</v>
      </c>
      <c r="K129" s="78">
        <f t="shared" si="6"/>
        <v>174.82411773973038</v>
      </c>
      <c r="L129" s="49">
        <f>A129*Table!$AC$9/$AC$16</f>
        <v>6028.593441649311</v>
      </c>
      <c r="M129" s="49">
        <f>A129*Table!$AD$9/$AC$16</f>
        <v>2066.9463228511922</v>
      </c>
      <c r="N129" s="49">
        <f>ABS(A129*Table!$AE$9/$AC$16)</f>
        <v>2610.457534778282</v>
      </c>
      <c r="O129" s="49">
        <f>($L129*(Table!$AC$10/Table!$AC$9)/(Table!$AC$12-Table!$AC$14))</f>
        <v>12931.345863683639</v>
      </c>
      <c r="P129" s="49">
        <f>$N129*(Table!$AE$10/Table!$AE$9)/(Table!$AC$12-Table!$AC$13)</f>
        <v>21432.327871742869</v>
      </c>
      <c r="Q129" s="49">
        <f>'Raw Data'!C129</f>
        <v>1.1037056260455502</v>
      </c>
      <c r="R129" s="49">
        <f>'Raw Data'!C129/'Raw Data'!I$23*100</f>
        <v>22.986627162383286</v>
      </c>
      <c r="S129" s="99">
        <f t="shared" si="7"/>
        <v>7.1563350763463162E-3</v>
      </c>
      <c r="T129" s="99">
        <f t="shared" si="8"/>
        <v>3.7824807730402199E-9</v>
      </c>
      <c r="U129" s="76">
        <f t="shared" si="9"/>
        <v>7.1839216945876472E-4</v>
      </c>
      <c r="V129" s="76">
        <f t="shared" si="10"/>
        <v>1.9278815365930658E-3</v>
      </c>
      <c r="W129" s="76">
        <f t="shared" si="11"/>
        <v>1.0424600663969507E-8</v>
      </c>
      <c r="X129" s="162">
        <f t="shared" si="12"/>
        <v>13.878325455999738</v>
      </c>
      <c r="Z129" s="69"/>
      <c r="AS129" s="42"/>
      <c r="AT129" s="42"/>
    </row>
    <row r="130" spans="1:46" x14ac:dyDescent="0.2">
      <c r="A130" s="49">
        <f>'Raw Data'!A130</f>
        <v>34994.87890625</v>
      </c>
      <c r="B130" s="69">
        <f>'Raw Data'!E130</f>
        <v>0.99730509565840508</v>
      </c>
      <c r="C130" s="69">
        <f t="shared" si="1"/>
        <v>2.694904341594917E-3</v>
      </c>
      <c r="D130" s="23">
        <f t="shared" si="2"/>
        <v>6.2963208137367666E-4</v>
      </c>
      <c r="E130" s="15">
        <f>(2*Table!$AC$16*0.147)/A130</f>
        <v>3.1213217635917235E-3</v>
      </c>
      <c r="F130" s="15">
        <f t="shared" si="3"/>
        <v>6.242643527183447E-3</v>
      </c>
      <c r="G130" s="49">
        <f>IF((('Raw Data'!C130)/('Raw Data'!C$136)*100)&lt;0,0,('Raw Data'!C130)/('Raw Data'!C$136)*100)</f>
        <v>99.730509565840507</v>
      </c>
      <c r="H130" s="49">
        <f t="shared" si="4"/>
        <v>6.2963208137361448E-2</v>
      </c>
      <c r="I130" s="31">
        <f t="shared" si="5"/>
        <v>3.8890833156504545E-2</v>
      </c>
      <c r="J130" s="15">
        <f>'Raw Data'!F130/I130</f>
        <v>1.6189729822447114E-2</v>
      </c>
      <c r="K130" s="78">
        <f t="shared" si="6"/>
        <v>191.20188889447269</v>
      </c>
      <c r="L130" s="49">
        <f>A130*Table!$AC$9/$AC$16</f>
        <v>6593.3606205079195</v>
      </c>
      <c r="M130" s="49">
        <f>A130*Table!$AD$9/$AC$16</f>
        <v>2260.5807841741439</v>
      </c>
      <c r="N130" s="49">
        <f>ABS(A130*Table!$AE$9/$AC$16)</f>
        <v>2855.0088968358941</v>
      </c>
      <c r="O130" s="49">
        <f>($L130*(Table!$AC$10/Table!$AC$9)/(Table!$AC$12-Table!$AC$14))</f>
        <v>14142.772673762162</v>
      </c>
      <c r="P130" s="49">
        <f>$N130*(Table!$AE$10/Table!$AE$9)/(Table!$AC$12-Table!$AC$13)</f>
        <v>23440.13872607466</v>
      </c>
      <c r="Q130" s="49">
        <f>'Raw Data'!C130</f>
        <v>1.1044028725374593</v>
      </c>
      <c r="R130" s="49">
        <f>'Raw Data'!C130/'Raw Data'!I$23*100</f>
        <v>23.001148557193257</v>
      </c>
      <c r="S130" s="99">
        <f t="shared" si="7"/>
        <v>1.3312816370865144E-2</v>
      </c>
      <c r="T130" s="99">
        <f t="shared" si="8"/>
        <v>2.6142733533518481E-9</v>
      </c>
      <c r="U130" s="76">
        <f t="shared" si="9"/>
        <v>6.572718430834549E-4</v>
      </c>
      <c r="V130" s="76">
        <f t="shared" si="10"/>
        <v>1.6587454243608066E-3</v>
      </c>
      <c r="W130" s="76">
        <f t="shared" si="11"/>
        <v>1.6212763056219352E-8</v>
      </c>
      <c r="X130" s="162">
        <f t="shared" si="12"/>
        <v>13.8783254722125</v>
      </c>
      <c r="Z130" s="69"/>
      <c r="AS130" s="42"/>
      <c r="AT130" s="42"/>
    </row>
    <row r="131" spans="1:46" x14ac:dyDescent="0.2">
      <c r="A131" s="49">
        <f>'Raw Data'!A131</f>
        <v>38277.015625</v>
      </c>
      <c r="B131" s="69">
        <f>'Raw Data'!E131</f>
        <v>0.99755912190713514</v>
      </c>
      <c r="C131" s="69">
        <f t="shared" si="1"/>
        <v>2.4408780928648621E-3</v>
      </c>
      <c r="D131" s="23">
        <f t="shared" si="2"/>
        <v>2.5402624873005486E-4</v>
      </c>
      <c r="E131" s="15">
        <f>(2*Table!$AC$16*0.147)/A131</f>
        <v>2.8536779934586411E-3</v>
      </c>
      <c r="F131" s="15">
        <f t="shared" si="3"/>
        <v>5.7073559869172822E-3</v>
      </c>
      <c r="G131" s="49">
        <f>IF((('Raw Data'!C131)/('Raw Data'!C$136)*100)&lt;0,0,('Raw Data'!C131)/('Raw Data'!C$136)*100)</f>
        <v>99.755912190713516</v>
      </c>
      <c r="H131" s="49">
        <f t="shared" si="4"/>
        <v>2.5402624873009927E-2</v>
      </c>
      <c r="I131" s="31">
        <f t="shared" si="5"/>
        <v>3.8933574385254133E-2</v>
      </c>
      <c r="J131" s="15">
        <f>'Raw Data'!F131/I131</f>
        <v>6.5246064031117016E-3</v>
      </c>
      <c r="K131" s="78">
        <f t="shared" si="6"/>
        <v>209.1345338942194</v>
      </c>
      <c r="L131" s="49">
        <f>A131*Table!$AC$9/$AC$16</f>
        <v>7211.7457005221386</v>
      </c>
      <c r="M131" s="49">
        <f>A131*Table!$AD$9/$AC$16</f>
        <v>2472.5985258933047</v>
      </c>
      <c r="N131" s="49">
        <f>ABS(A131*Table!$AE$9/$AC$16)</f>
        <v>3122.7774911426877</v>
      </c>
      <c r="O131" s="49">
        <f>($L131*(Table!$AC$10/Table!$AC$9)/(Table!$AC$12-Table!$AC$14))</f>
        <v>15469.209996829988</v>
      </c>
      <c r="P131" s="49">
        <f>$N131*(Table!$AE$10/Table!$AE$9)/(Table!$AC$12-Table!$AC$13)</f>
        <v>25638.567250760978</v>
      </c>
      <c r="Q131" s="49">
        <f>'Raw Data'!C131</f>
        <v>1.1046841779474272</v>
      </c>
      <c r="R131" s="49">
        <f>'Raw Data'!C131/'Raw Data'!I$23*100</f>
        <v>23.00700724127088</v>
      </c>
      <c r="S131" s="99">
        <f t="shared" si="7"/>
        <v>5.3710808308001191E-3</v>
      </c>
      <c r="T131" s="99">
        <f t="shared" si="8"/>
        <v>2.2203202609816231E-9</v>
      </c>
      <c r="U131" s="76">
        <f t="shared" si="9"/>
        <v>6.0106585807709193E-4</v>
      </c>
      <c r="V131" s="76">
        <f t="shared" si="10"/>
        <v>1.4260347173736918E-3</v>
      </c>
      <c r="W131" s="76">
        <f t="shared" si="11"/>
        <v>5.4674098833900464E-9</v>
      </c>
      <c r="X131" s="162">
        <f t="shared" si="12"/>
        <v>13.87832547767991</v>
      </c>
      <c r="Z131" s="69"/>
      <c r="AS131" s="42"/>
      <c r="AT131" s="42"/>
    </row>
    <row r="132" spans="1:46" x14ac:dyDescent="0.2">
      <c r="A132" s="49">
        <f>'Raw Data'!A132</f>
        <v>41875.64453125</v>
      </c>
      <c r="B132" s="69">
        <f>'Raw Data'!E132</f>
        <v>0.99771080001209367</v>
      </c>
      <c r="C132" s="69">
        <f t="shared" si="1"/>
        <v>2.2891999879063318E-3</v>
      </c>
      <c r="D132" s="23">
        <f t="shared" si="2"/>
        <v>1.5167810495853029E-4</v>
      </c>
      <c r="E132" s="15">
        <f>(2*Table!$AC$16*0.147)/A132</f>
        <v>2.6084440816862213E-3</v>
      </c>
      <c r="F132" s="15">
        <f t="shared" si="3"/>
        <v>5.2168881633724426E-3</v>
      </c>
      <c r="G132" s="49">
        <f>IF((('Raw Data'!C132)/('Raw Data'!C$136)*100)&lt;0,0,('Raw Data'!C132)/('Raw Data'!C$136)*100)</f>
        <v>99.77108000120937</v>
      </c>
      <c r="H132" s="49">
        <f t="shared" si="4"/>
        <v>1.5167810495853473E-2</v>
      </c>
      <c r="I132" s="31">
        <f t="shared" si="5"/>
        <v>3.9023435127327755E-2</v>
      </c>
      <c r="J132" s="15">
        <f>'Raw Data'!F132/I132</f>
        <v>3.8868465695966244E-3</v>
      </c>
      <c r="K132" s="78">
        <f t="shared" si="6"/>
        <v>228.79640059616034</v>
      </c>
      <c r="L132" s="49">
        <f>A132*Table!$AC$9/$AC$16</f>
        <v>7889.7608518776888</v>
      </c>
      <c r="M132" s="49">
        <f>A132*Table!$AD$9/$AC$16</f>
        <v>2705.0608635009216</v>
      </c>
      <c r="N132" s="49">
        <f>ABS(A132*Table!$AE$9/$AC$16)</f>
        <v>3416.3666637550159</v>
      </c>
      <c r="O132" s="49">
        <f>($L132*(Table!$AC$10/Table!$AC$9)/(Table!$AC$12-Table!$AC$14))</f>
        <v>16923.553950831596</v>
      </c>
      <c r="P132" s="49">
        <f>$N132*(Table!$AE$10/Table!$AE$9)/(Table!$AC$12-Table!$AC$13)</f>
        <v>28048.987387151192</v>
      </c>
      <c r="Q132" s="49">
        <f>'Raw Data'!C132</f>
        <v>1.1048521443355932</v>
      </c>
      <c r="R132" s="49">
        <f>'Raw Data'!C132/'Raw Data'!I$23*100</f>
        <v>23.010505439204703</v>
      </c>
      <c r="S132" s="99">
        <f t="shared" si="7"/>
        <v>3.207051893525297E-3</v>
      </c>
      <c r="T132" s="99">
        <f t="shared" si="8"/>
        <v>2.0237842512926818E-9</v>
      </c>
      <c r="U132" s="76">
        <f t="shared" si="9"/>
        <v>5.4949614977347868E-4</v>
      </c>
      <c r="V132" s="76">
        <f t="shared" si="10"/>
        <v>1.225330165347693E-3</v>
      </c>
      <c r="W132" s="76">
        <f t="shared" si="11"/>
        <v>2.7275898291918747E-9</v>
      </c>
      <c r="X132" s="162">
        <f t="shared" si="12"/>
        <v>13.878325480407501</v>
      </c>
      <c r="Z132" s="69"/>
      <c r="AS132" s="42"/>
      <c r="AT132" s="42"/>
    </row>
    <row r="133" spans="1:46" x14ac:dyDescent="0.2">
      <c r="A133" s="49">
        <f>'Raw Data'!A133</f>
        <v>45778.609375</v>
      </c>
      <c r="B133" s="69">
        <f>'Raw Data'!E133</f>
        <v>0.99896301703752854</v>
      </c>
      <c r="C133" s="69">
        <f t="shared" si="1"/>
        <v>1.0369829624714555E-3</v>
      </c>
      <c r="D133" s="23">
        <f t="shared" si="2"/>
        <v>1.2522170254348763E-3</v>
      </c>
      <c r="E133" s="15">
        <f>(2*Table!$AC$16*0.147)/A133</f>
        <v>2.3860549421579071E-3</v>
      </c>
      <c r="F133" s="15">
        <f t="shared" si="3"/>
        <v>4.7721098843158142E-3</v>
      </c>
      <c r="G133" s="49">
        <f>IF((('Raw Data'!C133)/('Raw Data'!C$136)*100)&lt;0,0,('Raw Data'!C133)/('Raw Data'!C$136)*100)</f>
        <v>99.896301703752854</v>
      </c>
      <c r="H133" s="49">
        <f t="shared" si="4"/>
        <v>0.12522170254348453</v>
      </c>
      <c r="I133" s="31">
        <f t="shared" si="5"/>
        <v>3.870109133441435E-2</v>
      </c>
      <c r="J133" s="15">
        <f>'Raw Data'!F133/I133</f>
        <v>3.2356116643185245E-2</v>
      </c>
      <c r="K133" s="78">
        <f t="shared" si="6"/>
        <v>250.12107076898499</v>
      </c>
      <c r="L133" s="49">
        <f>A133*Table!$AC$9/$AC$16</f>
        <v>8625.1157240276279</v>
      </c>
      <c r="M133" s="49">
        <f>A133*Table!$AD$9/$AC$16</f>
        <v>2957.1825339523298</v>
      </c>
      <c r="N133" s="49">
        <f>ABS(A133*Table!$AE$9/$AC$16)</f>
        <v>3734.7846637942689</v>
      </c>
      <c r="O133" s="49">
        <f>($L133*(Table!$AC$10/Table!$AC$9)/(Table!$AC$12-Table!$AC$14))</f>
        <v>18500.891728930994</v>
      </c>
      <c r="P133" s="49">
        <f>$N133*(Table!$AE$10/Table!$AE$9)/(Table!$AC$12-Table!$AC$13)</f>
        <v>30663.256681397932</v>
      </c>
      <c r="Q133" s="49">
        <f>'Raw Data'!C133</f>
        <v>1.1062388334099307</v>
      </c>
      <c r="R133" s="49">
        <f>'Raw Data'!C133/'Raw Data'!I$23*100</f>
        <v>23.039385698568925</v>
      </c>
      <c r="S133" s="99">
        <f t="shared" si="7"/>
        <v>2.6476629462264929E-2</v>
      </c>
      <c r="T133" s="99">
        <f t="shared" si="8"/>
        <v>6.6610705840020046E-10</v>
      </c>
      <c r="U133" s="76">
        <f t="shared" si="9"/>
        <v>5.0327840913295377E-4</v>
      </c>
      <c r="V133" s="76">
        <f t="shared" si="10"/>
        <v>1.0561624672008516E-3</v>
      </c>
      <c r="W133" s="76">
        <f t="shared" si="11"/>
        <v>1.8842285931262988E-8</v>
      </c>
      <c r="X133" s="162">
        <f t="shared" si="12"/>
        <v>13.878325499249787</v>
      </c>
      <c r="Z133" s="69"/>
      <c r="AS133" s="42"/>
      <c r="AT133" s="42"/>
    </row>
    <row r="134" spans="1:46" x14ac:dyDescent="0.2">
      <c r="A134" s="49">
        <f>'Raw Data'!A134</f>
        <v>50077.66796875</v>
      </c>
      <c r="B134" s="69">
        <f>'Raw Data'!E134</f>
        <v>0.99896301703752854</v>
      </c>
      <c r="C134" s="69">
        <f t="shared" si="1"/>
        <v>1.0369829624714555E-3</v>
      </c>
      <c r="D134" s="23">
        <f t="shared" si="2"/>
        <v>0</v>
      </c>
      <c r="E134" s="15">
        <f>(2*Table!$AC$16*0.147)/A134</f>
        <v>2.1812173285005623E-3</v>
      </c>
      <c r="F134" s="15">
        <f t="shared" si="3"/>
        <v>4.3624346570011246E-3</v>
      </c>
      <c r="G134" s="49">
        <f>IF((('Raw Data'!C134)/('Raw Data'!C$136)*100)&lt;0,0,('Raw Data'!C134)/('Raw Data'!C$136)*100)</f>
        <v>99.896301703752854</v>
      </c>
      <c r="H134" s="49">
        <f t="shared" si="4"/>
        <v>0</v>
      </c>
      <c r="I134" s="31">
        <f t="shared" si="5"/>
        <v>3.8981500425089521E-2</v>
      </c>
      <c r="J134" s="15">
        <f>'Raw Data'!F134/I134</f>
        <v>0</v>
      </c>
      <c r="K134" s="78">
        <f t="shared" si="6"/>
        <v>273.60988254041848</v>
      </c>
      <c r="L134" s="49">
        <f>A134*Table!$AC$9/$AC$16</f>
        <v>9435.0983421479341</v>
      </c>
      <c r="M134" s="49">
        <f>A134*Table!$AD$9/$AC$16</f>
        <v>3234.8908601650055</v>
      </c>
      <c r="N134" s="49">
        <f>ABS(A134*Table!$AE$9/$AC$16)</f>
        <v>4085.5174257522758</v>
      </c>
      <c r="O134" s="49">
        <f>($L134*(Table!$AC$10/Table!$AC$9)/(Table!$AC$12-Table!$AC$14))</f>
        <v>20238.306182213506</v>
      </c>
      <c r="P134" s="49">
        <f>$N134*(Table!$AE$10/Table!$AE$9)/(Table!$AC$12-Table!$AC$13)</f>
        <v>33542.836007818347</v>
      </c>
      <c r="Q134" s="49">
        <f>'Raw Data'!C134</f>
        <v>1.1062388334099307</v>
      </c>
      <c r="R134" s="49">
        <f>'Raw Data'!C134/'Raw Data'!I$23*100</f>
        <v>23.039385698568925</v>
      </c>
      <c r="S134" s="99">
        <f t="shared" si="7"/>
        <v>0</v>
      </c>
      <c r="T134" s="99">
        <f t="shared" si="8"/>
        <v>6.6610705840020046E-10</v>
      </c>
      <c r="U134" s="76">
        <f t="shared" si="9"/>
        <v>4.6007305517793294E-4</v>
      </c>
      <c r="V134" s="76">
        <f t="shared" si="10"/>
        <v>9.0742974840440005E-4</v>
      </c>
      <c r="W134" s="76">
        <f t="shared" si="11"/>
        <v>0</v>
      </c>
      <c r="X134" s="162">
        <f t="shared" si="12"/>
        <v>13.878325499249787</v>
      </c>
      <c r="Z134" s="69"/>
      <c r="AS134" s="42"/>
      <c r="AT134" s="42"/>
    </row>
    <row r="135" spans="1:46" x14ac:dyDescent="0.2">
      <c r="A135" s="49">
        <f>'Raw Data'!A135</f>
        <v>54775.796875</v>
      </c>
      <c r="B135" s="69">
        <f>'Raw Data'!E135</f>
        <v>0.99896301703752854</v>
      </c>
      <c r="C135" s="69">
        <f t="shared" si="1"/>
        <v>1.0369829624714555E-3</v>
      </c>
      <c r="D135" s="23">
        <f t="shared" si="2"/>
        <v>0</v>
      </c>
      <c r="E135" s="15">
        <f>(2*Table!$AC$16*0.147)/A135</f>
        <v>1.9941339674820575E-3</v>
      </c>
      <c r="F135" s="15">
        <f t="shared" si="3"/>
        <v>3.988267934964115E-3</v>
      </c>
      <c r="G135" s="49">
        <f>IF((('Raw Data'!C135)/('Raw Data'!C$136)*100)&lt;0,0,('Raw Data'!C135)/('Raw Data'!C$136)*100)</f>
        <v>99.896301703752854</v>
      </c>
      <c r="H135" s="49">
        <f t="shared" si="4"/>
        <v>0</v>
      </c>
      <c r="I135" s="31">
        <f t="shared" si="5"/>
        <v>3.8944608045835771E-2</v>
      </c>
      <c r="J135" s="15">
        <f>'Raw Data'!F135/I135</f>
        <v>0</v>
      </c>
      <c r="K135" s="78">
        <f t="shared" si="6"/>
        <v>299.27909898637938</v>
      </c>
      <c r="L135" s="49">
        <f>A135*Table!$AC$9/$AC$16</f>
        <v>10320.269518294121</v>
      </c>
      <c r="M135" s="49">
        <f>A135*Table!$AD$9/$AC$16</f>
        <v>3538.3781205579839</v>
      </c>
      <c r="N135" s="49">
        <f>ABS(A135*Table!$AE$9/$AC$16)</f>
        <v>4468.80778837245</v>
      </c>
      <c r="O135" s="49">
        <f>($L135*(Table!$AC$10/Table!$AC$9)/(Table!$AC$12-Table!$AC$14))</f>
        <v>22137.000253741146</v>
      </c>
      <c r="P135" s="49">
        <f>$N135*(Table!$AE$10/Table!$AE$9)/(Table!$AC$12-Table!$AC$13)</f>
        <v>36689.719116358363</v>
      </c>
      <c r="Q135" s="49">
        <f>'Raw Data'!C135</f>
        <v>1.1062388334099307</v>
      </c>
      <c r="R135" s="49">
        <f>'Raw Data'!C135/'Raw Data'!I$23*100</f>
        <v>23.039385698568925</v>
      </c>
      <c r="S135" s="99">
        <f t="shared" si="7"/>
        <v>0</v>
      </c>
      <c r="T135" s="99">
        <f t="shared" si="8"/>
        <v>6.6610705840020046E-10</v>
      </c>
      <c r="U135" s="76">
        <f t="shared" si="9"/>
        <v>4.2061251525277648E-4</v>
      </c>
      <c r="V135" s="76">
        <f t="shared" si="10"/>
        <v>7.7975412426264283E-4</v>
      </c>
      <c r="W135" s="76">
        <f t="shared" si="11"/>
        <v>0</v>
      </c>
      <c r="X135" s="162">
        <f t="shared" si="12"/>
        <v>13.878325499249787</v>
      </c>
      <c r="AS135" s="42"/>
      <c r="AT135" s="42"/>
    </row>
    <row r="136" spans="1:46" x14ac:dyDescent="0.2">
      <c r="A136" s="49">
        <f>'Raw Data'!A136</f>
        <v>59475.0546875</v>
      </c>
      <c r="B136" s="69">
        <f>'Raw Data'!E136</f>
        <v>1</v>
      </c>
      <c r="C136" s="69">
        <f t="shared" si="1"/>
        <v>0</v>
      </c>
      <c r="D136" s="23">
        <f t="shared" si="2"/>
        <v>1.0369829624714555E-3</v>
      </c>
      <c r="E136" s="15">
        <f>(2*Table!$AC$16*0.147)/A136</f>
        <v>1.8365729584993928E-3</v>
      </c>
      <c r="F136" s="15">
        <f t="shared" si="3"/>
        <v>3.6731459169987856E-3</v>
      </c>
      <c r="G136" s="49">
        <f>IF((('Raw Data'!C136)/('Raw Data'!C$136)*100)&lt;0,0,('Raw Data'!C136)/('Raw Data'!C$136)*100)</f>
        <v>100</v>
      </c>
      <c r="H136" s="49">
        <f t="shared" si="4"/>
        <v>0.10369829624714555</v>
      </c>
      <c r="I136" s="31">
        <f t="shared" si="5"/>
        <v>3.5746145675915386E-2</v>
      </c>
      <c r="J136" s="15">
        <f>'Raw Data'!F136/I136</f>
        <v>2.9009644057097366E-2</v>
      </c>
      <c r="K136" s="78">
        <f t="shared" si="6"/>
        <v>324.95448344932254</v>
      </c>
      <c r="L136" s="49">
        <f>A136*Table!$AC$9/$AC$16</f>
        <v>11205.653390876061</v>
      </c>
      <c r="M136" s="49">
        <f>A136*Table!$AD$9/$AC$16</f>
        <v>3841.9383054432205</v>
      </c>
      <c r="N136" s="49">
        <f>ABS(A136*Table!$AE$9/$AC$16)</f>
        <v>4852.1902512509523</v>
      </c>
      <c r="O136" s="49">
        <f>($L136*(Table!$AC$10/Table!$AC$9)/(Table!$AC$12-Table!$AC$14))</f>
        <v>24036.150559579713</v>
      </c>
      <c r="P136" s="49">
        <f>$N136*(Table!$AE$10/Table!$AE$9)/(Table!$AC$12-Table!$AC$13)</f>
        <v>39837.35838465477</v>
      </c>
      <c r="Q136" s="49">
        <f>'Raw Data'!C136</f>
        <v>1.10738717504331</v>
      </c>
      <c r="R136" s="49">
        <f>'Raw Data'!C136/'Raw Data'!I$23*100</f>
        <v>23.06330194974915</v>
      </c>
      <c r="S136" s="99">
        <f t="shared" si="7"/>
        <v>2.1925762945527359E-2</v>
      </c>
      <c r="T136" s="99">
        <f t="shared" si="8"/>
        <v>0</v>
      </c>
      <c r="U136" s="76">
        <f t="shared" si="9"/>
        <v>3.8778109698142763E-4</v>
      </c>
      <c r="V136" s="76">
        <f t="shared" si="10"/>
        <v>6.7963055421103207E-4</v>
      </c>
      <c r="W136" s="76">
        <f t="shared" si="11"/>
        <v>9.2444504374569413E-9</v>
      </c>
      <c r="X136" s="162">
        <f t="shared" si="12"/>
        <v>13.878325508494237</v>
      </c>
      <c r="AS136" s="42"/>
      <c r="AT136" s="42"/>
    </row>
    <row r="137" spans="1:46" x14ac:dyDescent="0.2">
      <c r="A137" s="49"/>
      <c r="B137" s="69"/>
      <c r="C137" s="69"/>
      <c r="D137" s="19"/>
      <c r="E137" s="19"/>
      <c r="F137" s="19"/>
      <c r="G137" s="19"/>
      <c r="H137" s="19"/>
      <c r="I137" s="19"/>
      <c r="J137" s="15"/>
      <c r="K137" s="25"/>
      <c r="L137" s="49"/>
      <c r="M137" s="49"/>
      <c r="N137" s="49"/>
      <c r="O137" s="49"/>
      <c r="P137" s="49"/>
      <c r="Q137" s="49"/>
      <c r="AS137" s="42"/>
      <c r="AT137" s="42"/>
    </row>
    <row r="138" spans="1:46" x14ac:dyDescent="0.2">
      <c r="A138" s="49"/>
      <c r="B138" s="69"/>
      <c r="C138" s="69"/>
      <c r="D138" s="19"/>
      <c r="E138" s="19"/>
      <c r="F138" s="19"/>
      <c r="G138" s="19"/>
      <c r="H138" s="19"/>
      <c r="I138" s="19"/>
      <c r="J138" s="15"/>
      <c r="K138" s="25"/>
      <c r="L138" s="49"/>
      <c r="M138" s="49"/>
      <c r="N138" s="49"/>
      <c r="O138" s="49"/>
      <c r="P138" s="49"/>
      <c r="Q138" s="49"/>
      <c r="AS138" s="42"/>
      <c r="AT138" s="42"/>
    </row>
    <row r="139" spans="1:46" x14ac:dyDescent="0.2">
      <c r="A139" s="49"/>
      <c r="B139" s="69"/>
      <c r="C139" s="69"/>
      <c r="D139" s="19"/>
      <c r="E139" s="19"/>
      <c r="F139" s="19"/>
      <c r="G139" s="19"/>
      <c r="H139" s="19"/>
      <c r="I139" s="19"/>
      <c r="J139" s="15"/>
      <c r="K139" s="25"/>
      <c r="L139" s="49"/>
      <c r="M139" s="49"/>
      <c r="N139" s="49"/>
      <c r="O139" s="49"/>
      <c r="P139" s="49"/>
      <c r="Q139" s="49"/>
      <c r="AS139" s="42"/>
      <c r="AT139" s="42"/>
    </row>
    <row r="140" spans="1:46" x14ac:dyDescent="0.2">
      <c r="A140" s="49"/>
      <c r="B140" s="69"/>
      <c r="C140" s="69"/>
      <c r="D140" s="19"/>
      <c r="E140" s="19"/>
      <c r="F140" s="19"/>
      <c r="G140" s="19"/>
      <c r="H140" s="19"/>
      <c r="I140" s="19"/>
      <c r="J140" s="15"/>
      <c r="K140" s="25"/>
      <c r="L140" s="49"/>
      <c r="M140" s="49"/>
      <c r="N140" s="49"/>
      <c r="O140" s="49"/>
      <c r="P140" s="49"/>
      <c r="Q140" s="49"/>
      <c r="AS140" s="42"/>
      <c r="AT140" s="42"/>
    </row>
    <row r="141" spans="1:46" x14ac:dyDescent="0.2">
      <c r="A141" s="49"/>
      <c r="B141" s="69"/>
      <c r="C141" s="69"/>
      <c r="D141" s="19"/>
      <c r="E141" s="19"/>
      <c r="F141" s="19"/>
      <c r="G141" s="19"/>
      <c r="H141" s="19"/>
      <c r="I141" s="19"/>
      <c r="J141" s="15"/>
      <c r="K141" s="25"/>
      <c r="L141" s="49"/>
      <c r="M141" s="49"/>
      <c r="N141" s="49"/>
      <c r="O141" s="49"/>
      <c r="P141" s="49"/>
      <c r="Q141" s="49"/>
      <c r="AS141" s="42"/>
      <c r="AT141" s="42"/>
    </row>
    <row r="142" spans="1:46" x14ac:dyDescent="0.2">
      <c r="A142" s="49"/>
      <c r="B142" s="69"/>
      <c r="C142" s="69"/>
      <c r="D142" s="19"/>
      <c r="E142" s="19"/>
      <c r="F142" s="19"/>
      <c r="G142" s="19"/>
      <c r="H142" s="19"/>
      <c r="I142" s="19"/>
      <c r="J142" s="15"/>
      <c r="K142" s="25"/>
      <c r="L142" s="49"/>
      <c r="M142" s="49"/>
      <c r="N142" s="49"/>
      <c r="O142" s="49"/>
      <c r="P142" s="49"/>
      <c r="Q142" s="49"/>
      <c r="AS142" s="42"/>
      <c r="AT142" s="42"/>
    </row>
    <row r="143" spans="1:46" x14ac:dyDescent="0.2">
      <c r="J143" s="15"/>
      <c r="AS143" s="42"/>
      <c r="AT143" s="42"/>
    </row>
    <row r="144" spans="1:46" x14ac:dyDescent="0.2">
      <c r="J144" s="15"/>
      <c r="AS144" s="42"/>
      <c r="AT144" s="42"/>
    </row>
    <row r="145" spans="10:46" x14ac:dyDescent="0.2">
      <c r="J145" s="15"/>
      <c r="AS145" s="42"/>
      <c r="AT145" s="42"/>
    </row>
    <row r="146" spans="10:46" x14ac:dyDescent="0.2">
      <c r="J146" s="15"/>
      <c r="AS146" s="42"/>
      <c r="AT146" s="42"/>
    </row>
    <row r="147" spans="10:46" x14ac:dyDescent="0.2">
      <c r="J147" s="15"/>
      <c r="AS147" s="42"/>
      <c r="AT147" s="42"/>
    </row>
    <row r="148" spans="10:46" x14ac:dyDescent="0.2">
      <c r="J148" s="15"/>
      <c r="AS148" s="42"/>
      <c r="AT148" s="42"/>
    </row>
    <row r="149" spans="10:46" x14ac:dyDescent="0.2">
      <c r="J149" s="15"/>
      <c r="AS149" s="42"/>
      <c r="AT149" s="42"/>
    </row>
    <row r="150" spans="10:46" x14ac:dyDescent="0.2">
      <c r="J150" s="15"/>
      <c r="AS150" s="42"/>
      <c r="AT150" s="42"/>
    </row>
    <row r="151" spans="10:46" x14ac:dyDescent="0.2">
      <c r="J151" s="15"/>
      <c r="AS151" s="42"/>
      <c r="AT151" s="42"/>
    </row>
    <row r="152" spans="10:46" x14ac:dyDescent="0.2">
      <c r="J152" s="15"/>
      <c r="AS152" s="42"/>
      <c r="AT152" s="42"/>
    </row>
    <row r="153" spans="10:46" x14ac:dyDescent="0.2">
      <c r="J153" s="15"/>
      <c r="AS153" s="42"/>
      <c r="AT153" s="42"/>
    </row>
    <row r="154" spans="10:46" x14ac:dyDescent="0.2">
      <c r="J154" s="15"/>
      <c r="AS154" s="42"/>
      <c r="AT154" s="42"/>
    </row>
    <row r="155" spans="10:46" x14ac:dyDescent="0.2">
      <c r="J155" s="15"/>
      <c r="AS155" s="42"/>
      <c r="AT155" s="42"/>
    </row>
    <row r="156" spans="10:46" x14ac:dyDescent="0.2">
      <c r="J156" s="15"/>
      <c r="AS156" s="42"/>
      <c r="AT156" s="42"/>
    </row>
    <row r="157" spans="10:46" x14ac:dyDescent="0.2">
      <c r="J157" s="15"/>
      <c r="AS157" s="42"/>
      <c r="AT157" s="42"/>
    </row>
    <row r="158" spans="10:46" x14ac:dyDescent="0.2">
      <c r="J158" s="15"/>
      <c r="AS158" s="42"/>
      <c r="AT158" s="42"/>
    </row>
    <row r="159" spans="10:46" x14ac:dyDescent="0.2">
      <c r="J159" s="15"/>
      <c r="AS159" s="42"/>
      <c r="AT159" s="42"/>
    </row>
    <row r="160" spans="10:46" x14ac:dyDescent="0.2">
      <c r="J160" s="15"/>
      <c r="AS160" s="42"/>
      <c r="AT160" s="42"/>
    </row>
    <row r="161" spans="10:46" x14ac:dyDescent="0.2">
      <c r="J161" s="15"/>
      <c r="AS161" s="42"/>
      <c r="AT161" s="42"/>
    </row>
    <row r="162" spans="10:46" x14ac:dyDescent="0.2">
      <c r="J162" s="15"/>
    </row>
    <row r="163" spans="10:46" x14ac:dyDescent="0.2">
      <c r="J163" s="15"/>
    </row>
    <row r="164" spans="10:46" x14ac:dyDescent="0.2">
      <c r="J164" s="15"/>
    </row>
    <row r="165" spans="10:46" x14ac:dyDescent="0.2">
      <c r="J165" s="15"/>
    </row>
    <row r="166" spans="10:46" x14ac:dyDescent="0.2">
      <c r="J166" s="15"/>
    </row>
    <row r="167" spans="10:46" x14ac:dyDescent="0.2">
      <c r="J167" s="15"/>
    </row>
    <row r="168" spans="10:46" x14ac:dyDescent="0.2">
      <c r="J168" s="15"/>
    </row>
    <row r="169" spans="10:46" x14ac:dyDescent="0.2">
      <c r="J169" s="15"/>
    </row>
    <row r="170" spans="10:46" x14ac:dyDescent="0.2">
      <c r="J170" s="15"/>
    </row>
    <row r="171" spans="10:46" x14ac:dyDescent="0.2">
      <c r="J171" s="15"/>
    </row>
    <row r="172" spans="10:46" x14ac:dyDescent="0.2">
      <c r="J172" s="15"/>
    </row>
    <row r="173" spans="10:46" x14ac:dyDescent="0.2">
      <c r="J173" s="15"/>
    </row>
    <row r="174" spans="10:46" x14ac:dyDescent="0.2">
      <c r="J174" s="15"/>
    </row>
    <row r="175" spans="10:46" x14ac:dyDescent="0.2">
      <c r="J175" s="15"/>
    </row>
    <row r="176" spans="10:46" x14ac:dyDescent="0.2">
      <c r="J176" s="15"/>
    </row>
    <row r="177" spans="10:10" x14ac:dyDescent="0.2">
      <c r="J177" s="15"/>
    </row>
    <row r="178" spans="10:10" x14ac:dyDescent="0.2">
      <c r="J178" s="15"/>
    </row>
    <row r="179" spans="10:10" x14ac:dyDescent="0.2">
      <c r="J179" s="15"/>
    </row>
    <row r="180" spans="10:10" x14ac:dyDescent="0.2">
      <c r="J180" s="15"/>
    </row>
    <row r="181" spans="10:10" x14ac:dyDescent="0.2">
      <c r="J181" s="15"/>
    </row>
    <row r="182" spans="10:10" x14ac:dyDescent="0.2">
      <c r="J182" s="15"/>
    </row>
    <row r="183" spans="10:10" x14ac:dyDescent="0.2">
      <c r="J183" s="15"/>
    </row>
    <row r="184" spans="10:10" x14ac:dyDescent="0.2">
      <c r="J184" s="15"/>
    </row>
    <row r="185" spans="10:10" x14ac:dyDescent="0.2">
      <c r="J185" s="15"/>
    </row>
    <row r="186" spans="10:10" x14ac:dyDescent="0.2">
      <c r="J186" s="15"/>
    </row>
    <row r="187" spans="10:10" x14ac:dyDescent="0.2">
      <c r="J187" s="15"/>
    </row>
    <row r="188" spans="10:10" x14ac:dyDescent="0.2">
      <c r="J188" s="15"/>
    </row>
    <row r="189" spans="10:10" x14ac:dyDescent="0.2">
      <c r="J189" s="15"/>
    </row>
    <row r="190" spans="10:10" x14ac:dyDescent="0.2">
      <c r="J190" s="15"/>
    </row>
  </sheetData>
  <mergeCells count="3">
    <mergeCell ref="AR4:AT4"/>
    <mergeCell ref="AN4:AP4"/>
    <mergeCell ref="A5:P5"/>
  </mergeCells>
  <printOptions horizontalCentered="1"/>
  <pageMargins left="0.5" right="0.5" top="0.1" bottom="0.25" header="0" footer="0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Raw Data</vt:lpstr>
      <vt:lpstr>Compilation</vt:lpstr>
      <vt:lpstr>Compilation 2</vt:lpstr>
      <vt:lpstr>Table</vt:lpstr>
      <vt:lpstr>Compilation!Print_Area</vt:lpstr>
      <vt:lpstr>'Compilation 2'!Print_Area</vt:lpstr>
      <vt:lpstr>'Raw Data'!Print_Area</vt:lpstr>
      <vt:lpstr>Table!Print_Area</vt:lpstr>
      <vt:lpstr>'Raw Data'!Print_Titles</vt:lpstr>
      <vt:lpstr>Table!Print_Titles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Kristi D</dc:creator>
  <cp:lastModifiedBy>Morris, Kristi D</cp:lastModifiedBy>
  <dcterms:created xsi:type="dcterms:W3CDTF">2016-03-31T19:39:13Z</dcterms:created>
  <dcterms:modified xsi:type="dcterms:W3CDTF">2016-04-04T20:16:01Z</dcterms:modified>
</cp:coreProperties>
</file>