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600" yWindow="120" windowWidth="11400" windowHeight="10005" tabRatio="835"/>
  </bookViews>
  <sheets>
    <sheet name="Raw Data" sheetId="3" r:id="rId1"/>
    <sheet name="Compilation" sheetId="4" r:id="rId2"/>
    <sheet name="Compilation 2" sheetId="5" r:id="rId3"/>
    <sheet name="Table" sheetId="6" r:id="rId4"/>
  </sheets>
  <definedNames>
    <definedName name="_xlnm.Print_Area" localSheetId="1">Compilation!$A$1:$O$44</definedName>
    <definedName name="_xlnm.Print_Area" localSheetId="2">'Compilation 2'!$A$1:$O$54</definedName>
    <definedName name="_xlnm.Print_Area" localSheetId="0">'Raw Data'!$A$1:$M$162</definedName>
    <definedName name="_xlnm.Print_Area" localSheetId="3">Table!$A$1:$X$138</definedName>
    <definedName name="_xlnm.Print_Titles" localSheetId="0">'Raw Data'!$1:$17</definedName>
    <definedName name="_xlnm.Print_Titles" localSheetId="3">Table!$1:$16</definedName>
  </definedNames>
  <calcPr calcId="145621"/>
</workbook>
</file>

<file path=xl/calcChain.xml><?xml version="1.0" encoding="utf-8"?>
<calcChain xmlns="http://schemas.openxmlformats.org/spreadsheetml/2006/main">
  <c r="A58" i="6" l="1"/>
  <c r="A31" i="6"/>
  <c r="AC16" i="6"/>
  <c r="AE10" i="6"/>
  <c r="AC10" i="6"/>
  <c r="A10" i="3"/>
  <c r="AE9" i="6"/>
  <c r="AD9" i="6"/>
  <c r="AC9" i="6"/>
  <c r="A9" i="3"/>
  <c r="K3" i="4"/>
  <c r="C3" i="4"/>
  <c r="C2" i="4"/>
  <c r="K6" i="5"/>
  <c r="K5" i="5"/>
  <c r="K4" i="5"/>
  <c r="K2" i="5"/>
  <c r="K6" i="4"/>
  <c r="K5" i="4"/>
  <c r="K4" i="4"/>
  <c r="K2" i="4"/>
  <c r="I11" i="3"/>
  <c r="I10" i="3"/>
  <c r="I9" i="3"/>
  <c r="I7" i="3"/>
  <c r="C4" i="4" l="1"/>
  <c r="C4" i="5"/>
  <c r="C5" i="5"/>
  <c r="C5" i="4"/>
  <c r="O3" i="5"/>
  <c r="O3" i="4"/>
  <c r="M8" i="3"/>
  <c r="I8" i="3"/>
  <c r="A8" i="3"/>
  <c r="A28" i="6"/>
  <c r="A39" i="6"/>
  <c r="A30" i="6"/>
  <c r="E30" i="6" s="1"/>
  <c r="A105" i="6"/>
  <c r="A37" i="6"/>
  <c r="A65" i="6"/>
  <c r="A55" i="6"/>
  <c r="A57" i="6"/>
  <c r="A35" i="6"/>
  <c r="A43" i="6"/>
  <c r="A59" i="6"/>
  <c r="N31" i="6"/>
  <c r="P31" i="6" s="1"/>
  <c r="L31" i="6"/>
  <c r="O31" i="6" s="1"/>
  <c r="M31" i="6"/>
  <c r="A24" i="6"/>
  <c r="A40" i="6"/>
  <c r="A18" i="6"/>
  <c r="E18" i="6" s="1"/>
  <c r="N58" i="6"/>
  <c r="P58" i="6" s="1"/>
  <c r="M58" i="6"/>
  <c r="L58" i="6"/>
  <c r="O58" i="6" s="1"/>
  <c r="A21" i="6"/>
  <c r="A53" i="6"/>
  <c r="E53" i="6" s="1"/>
  <c r="A61" i="6"/>
  <c r="A69" i="6"/>
  <c r="E69" i="6" s="1"/>
  <c r="A100" i="6"/>
  <c r="E100" i="6" s="1"/>
  <c r="A116" i="6"/>
  <c r="A26" i="6"/>
  <c r="E26" i="6" s="1"/>
  <c r="A34" i="6"/>
  <c r="E34" i="6" s="1"/>
  <c r="A42" i="6"/>
  <c r="E42" i="6" s="1"/>
  <c r="A50" i="6"/>
  <c r="E50" i="6" s="1"/>
  <c r="A66" i="6"/>
  <c r="A74" i="6"/>
  <c r="A84" i="6"/>
  <c r="A92" i="6"/>
  <c r="E92" i="6" s="1"/>
  <c r="A97" i="6"/>
  <c r="E97" i="6" s="1"/>
  <c r="A113" i="6"/>
  <c r="A133" i="6"/>
  <c r="E133" i="6" s="1"/>
  <c r="A67" i="6"/>
  <c r="A56" i="6"/>
  <c r="A23" i="6"/>
  <c r="A47" i="6"/>
  <c r="E47" i="6" s="1"/>
  <c r="A63" i="6"/>
  <c r="A71" i="6"/>
  <c r="A79" i="6"/>
  <c r="A86" i="6"/>
  <c r="E86" i="6" s="1"/>
  <c r="A95" i="6"/>
  <c r="A117" i="6"/>
  <c r="A64" i="6"/>
  <c r="A77" i="6"/>
  <c r="E77" i="6" s="1"/>
  <c r="A20" i="6"/>
  <c r="A36" i="6"/>
  <c r="E36" i="6" s="1"/>
  <c r="A44" i="6"/>
  <c r="E44" i="6" s="1"/>
  <c r="A52" i="6"/>
  <c r="A60" i="6"/>
  <c r="E60" i="6" s="1"/>
  <c r="A68" i="6"/>
  <c r="E68" i="6" s="1"/>
  <c r="A76" i="6"/>
  <c r="A111" i="6"/>
  <c r="E111" i="6" s="1"/>
  <c r="A124" i="6"/>
  <c r="A132" i="6"/>
  <c r="A27" i="6"/>
  <c r="E27" i="6" s="1"/>
  <c r="A51" i="6"/>
  <c r="E51" i="6" s="1"/>
  <c r="A22" i="6"/>
  <c r="A32" i="6"/>
  <c r="A72" i="6"/>
  <c r="A119" i="6"/>
  <c r="A101" i="6"/>
  <c r="E101" i="6" s="1"/>
  <c r="A29" i="6"/>
  <c r="A45" i="6"/>
  <c r="E45" i="6" s="1"/>
  <c r="A94" i="6"/>
  <c r="A135" i="6"/>
  <c r="A73" i="6"/>
  <c r="A25" i="6"/>
  <c r="E25" i="6" s="1"/>
  <c r="A33" i="6"/>
  <c r="A41" i="6"/>
  <c r="A49" i="6"/>
  <c r="A81" i="6"/>
  <c r="E81" i="6" s="1"/>
  <c r="A93" i="6"/>
  <c r="A108" i="6"/>
  <c r="E108" i="6" s="1"/>
  <c r="A125" i="6"/>
  <c r="A19" i="6"/>
  <c r="A75" i="6"/>
  <c r="E75" i="6" s="1"/>
  <c r="A89" i="6"/>
  <c r="E89" i="6" s="1"/>
  <c r="A109" i="6"/>
  <c r="A48" i="6"/>
  <c r="E48" i="6" s="1"/>
  <c r="A80" i="6"/>
  <c r="E80" i="6" s="1"/>
  <c r="A103" i="6"/>
  <c r="C2" i="5"/>
  <c r="A7" i="3"/>
  <c r="A82" i="6"/>
  <c r="A127" i="6"/>
  <c r="E127" i="6" s="1"/>
  <c r="A38" i="6"/>
  <c r="E38" i="6" s="1"/>
  <c r="A46" i="6"/>
  <c r="E46" i="6" s="1"/>
  <c r="A54" i="6"/>
  <c r="E54" i="6" s="1"/>
  <c r="A62" i="6"/>
  <c r="E62" i="6" s="1"/>
  <c r="A70" i="6"/>
  <c r="A78" i="6"/>
  <c r="A83" i="6"/>
  <c r="A85" i="6"/>
  <c r="E85" i="6" s="1"/>
  <c r="A87" i="6"/>
  <c r="E87" i="6" s="1"/>
  <c r="A121" i="6"/>
  <c r="E121" i="6" s="1"/>
  <c r="A129" i="6"/>
  <c r="E129" i="6" s="1"/>
  <c r="E135" i="6"/>
  <c r="E119" i="6"/>
  <c r="E117" i="6"/>
  <c r="E113" i="6"/>
  <c r="E109" i="6"/>
  <c r="E95" i="6"/>
  <c r="E72" i="6"/>
  <c r="E70" i="6"/>
  <c r="E67" i="6"/>
  <c r="E66" i="6"/>
  <c r="E65" i="6"/>
  <c r="E63" i="6"/>
  <c r="E58" i="6"/>
  <c r="E57" i="6"/>
  <c r="E52" i="6"/>
  <c r="E43" i="6"/>
  <c r="E37" i="6"/>
  <c r="E73" i="6"/>
  <c r="E32" i="6"/>
  <c r="E82" i="6"/>
  <c r="E20" i="6"/>
  <c r="E22" i="6"/>
  <c r="E74" i="6"/>
  <c r="E33" i="6"/>
  <c r="E31" i="6"/>
  <c r="E19" i="6"/>
  <c r="E29" i="6"/>
  <c r="A102" i="6"/>
  <c r="A110" i="6"/>
  <c r="E110" i="6" s="1"/>
  <c r="A118" i="6"/>
  <c r="E118" i="6" s="1"/>
  <c r="A126" i="6"/>
  <c r="E126" i="6" s="1"/>
  <c r="A134" i="6"/>
  <c r="E134" i="6" s="1"/>
  <c r="A91" i="6"/>
  <c r="E91" i="6" s="1"/>
  <c r="A99" i="6"/>
  <c r="E99" i="6" s="1"/>
  <c r="A107" i="6"/>
  <c r="A115" i="6"/>
  <c r="E115" i="6" s="1"/>
  <c r="A123" i="6"/>
  <c r="E123" i="6" s="1"/>
  <c r="A131" i="6"/>
  <c r="A88" i="6"/>
  <c r="E88" i="6" s="1"/>
  <c r="A96" i="6"/>
  <c r="A104" i="6"/>
  <c r="A112" i="6"/>
  <c r="E112" i="6" s="1"/>
  <c r="A120" i="6"/>
  <c r="A128" i="6"/>
  <c r="E128" i="6" s="1"/>
  <c r="A136" i="6"/>
  <c r="E136" i="6" s="1"/>
  <c r="E28" i="6"/>
  <c r="A90" i="6"/>
  <c r="A98" i="6"/>
  <c r="E98" i="6" s="1"/>
  <c r="A106" i="6"/>
  <c r="A114" i="6"/>
  <c r="A122" i="6"/>
  <c r="E122" i="6" s="1"/>
  <c r="A130" i="6"/>
  <c r="E130" i="6" s="1"/>
  <c r="C3" i="5"/>
  <c r="K3" i="5"/>
  <c r="O2" i="4" l="1"/>
  <c r="M7" i="3"/>
  <c r="O2" i="5"/>
  <c r="F115" i="6"/>
  <c r="F129" i="6"/>
  <c r="I130" i="6"/>
  <c r="F122" i="6"/>
  <c r="I123" i="6"/>
  <c r="F45" i="6"/>
  <c r="I46" i="6"/>
  <c r="F92" i="6"/>
  <c r="I89" i="6"/>
  <c r="F88" i="6"/>
  <c r="F69" i="6"/>
  <c r="I70" i="6"/>
  <c r="F128" i="6"/>
  <c r="I129" i="6"/>
  <c r="F60" i="6"/>
  <c r="F34" i="6"/>
  <c r="F62" i="6"/>
  <c r="I63" i="6"/>
  <c r="F101" i="6"/>
  <c r="F36" i="6"/>
  <c r="I37" i="6"/>
  <c r="F38" i="6"/>
  <c r="F89" i="6"/>
  <c r="F123" i="6"/>
  <c r="F100" i="6"/>
  <c r="I101" i="6"/>
  <c r="F53" i="6"/>
  <c r="I54" i="6"/>
  <c r="L21" i="6"/>
  <c r="O21" i="6" s="1"/>
  <c r="N21" i="6"/>
  <c r="P21" i="6" s="1"/>
  <c r="M21" i="6"/>
  <c r="M114" i="6"/>
  <c r="L114" i="6"/>
  <c r="O114" i="6" s="1"/>
  <c r="N114" i="6"/>
  <c r="P114" i="6" s="1"/>
  <c r="N120" i="6"/>
  <c r="P120" i="6" s="1"/>
  <c r="M120" i="6"/>
  <c r="L120" i="6"/>
  <c r="O120" i="6" s="1"/>
  <c r="F44" i="6"/>
  <c r="I45" i="6"/>
  <c r="F52" i="6"/>
  <c r="I53" i="6"/>
  <c r="F68" i="6"/>
  <c r="AN19" i="6"/>
  <c r="I69" i="6"/>
  <c r="I81" i="6"/>
  <c r="F80" i="6"/>
  <c r="F91" i="6"/>
  <c r="I92" i="6"/>
  <c r="AN16" i="6"/>
  <c r="F99" i="6"/>
  <c r="I100" i="6"/>
  <c r="AN14" i="6"/>
  <c r="I113" i="6"/>
  <c r="F112" i="6"/>
  <c r="E120" i="6"/>
  <c r="F136" i="6"/>
  <c r="N78" i="6"/>
  <c r="P78" i="6" s="1"/>
  <c r="L78" i="6"/>
  <c r="O78" i="6" s="1"/>
  <c r="M78" i="6"/>
  <c r="N125" i="6"/>
  <c r="P125" i="6" s="1"/>
  <c r="M125" i="6"/>
  <c r="L125" i="6"/>
  <c r="O125" i="6" s="1"/>
  <c r="M25" i="6"/>
  <c r="L25" i="6"/>
  <c r="O25" i="6" s="1"/>
  <c r="N25" i="6"/>
  <c r="P25" i="6" s="1"/>
  <c r="N132" i="6"/>
  <c r="P132" i="6" s="1"/>
  <c r="M132" i="6"/>
  <c r="L132" i="6"/>
  <c r="O132" i="6" s="1"/>
  <c r="N76" i="6"/>
  <c r="P76" i="6" s="1"/>
  <c r="M76" i="6"/>
  <c r="L76" i="6"/>
  <c r="O76" i="6" s="1"/>
  <c r="N97" i="6"/>
  <c r="P97" i="6" s="1"/>
  <c r="M97" i="6"/>
  <c r="L97" i="6"/>
  <c r="O97" i="6" s="1"/>
  <c r="N50" i="6"/>
  <c r="P50" i="6" s="1"/>
  <c r="M50" i="6"/>
  <c r="L50" i="6"/>
  <c r="O50" i="6" s="1"/>
  <c r="M116" i="6"/>
  <c r="L116" i="6"/>
  <c r="O116" i="6" s="1"/>
  <c r="N116" i="6"/>
  <c r="P116" i="6" s="1"/>
  <c r="N61" i="6"/>
  <c r="P61" i="6" s="1"/>
  <c r="M61" i="6"/>
  <c r="L61" i="6"/>
  <c r="O61" i="6" s="1"/>
  <c r="N24" i="6"/>
  <c r="P24" i="6" s="1"/>
  <c r="M24" i="6"/>
  <c r="L24" i="6"/>
  <c r="O24" i="6" s="1"/>
  <c r="N43" i="6"/>
  <c r="P43" i="6" s="1"/>
  <c r="M43" i="6"/>
  <c r="L43" i="6"/>
  <c r="O43" i="6" s="1"/>
  <c r="N30" i="6"/>
  <c r="P30" i="6" s="1"/>
  <c r="L30" i="6"/>
  <c r="O30" i="6" s="1"/>
  <c r="M30" i="6"/>
  <c r="AN27" i="6"/>
  <c r="I19" i="6"/>
  <c r="I18" i="6"/>
  <c r="F18" i="6"/>
  <c r="N107" i="6"/>
  <c r="P107" i="6" s="1"/>
  <c r="M107" i="6"/>
  <c r="L107" i="6"/>
  <c r="O107" i="6" s="1"/>
  <c r="N126" i="6"/>
  <c r="P126" i="6" s="1"/>
  <c r="M126" i="6"/>
  <c r="L126" i="6"/>
  <c r="O126" i="6" s="1"/>
  <c r="F29" i="6"/>
  <c r="AN25" i="6"/>
  <c r="I30" i="6"/>
  <c r="I74" i="6"/>
  <c r="F73" i="6"/>
  <c r="AN18" i="6"/>
  <c r="F37" i="6"/>
  <c r="I38" i="6"/>
  <c r="E61" i="6"/>
  <c r="F113" i="6"/>
  <c r="F121" i="6"/>
  <c r="I122" i="6"/>
  <c r="N54" i="6"/>
  <c r="P54" i="6" s="1"/>
  <c r="M54" i="6"/>
  <c r="L54" i="6"/>
  <c r="O54" i="6" s="1"/>
  <c r="N82" i="6"/>
  <c r="P82" i="6" s="1"/>
  <c r="M82" i="6"/>
  <c r="L82" i="6"/>
  <c r="O82" i="6" s="1"/>
  <c r="N80" i="6"/>
  <c r="P80" i="6" s="1"/>
  <c r="L80" i="6"/>
  <c r="O80" i="6" s="1"/>
  <c r="M80" i="6"/>
  <c r="N75" i="6"/>
  <c r="P75" i="6" s="1"/>
  <c r="M75" i="6"/>
  <c r="L75" i="6"/>
  <c r="O75" i="6" s="1"/>
  <c r="N81" i="6"/>
  <c r="P81" i="6" s="1"/>
  <c r="M81" i="6"/>
  <c r="L81" i="6"/>
  <c r="O81" i="6" s="1"/>
  <c r="N119" i="6"/>
  <c r="P119" i="6" s="1"/>
  <c r="M119" i="6"/>
  <c r="L119" i="6"/>
  <c r="O119" i="6" s="1"/>
  <c r="N22" i="6"/>
  <c r="P22" i="6" s="1"/>
  <c r="M22" i="6"/>
  <c r="L22" i="6"/>
  <c r="O22" i="6" s="1"/>
  <c r="N52" i="6"/>
  <c r="P52" i="6" s="1"/>
  <c r="M52" i="6"/>
  <c r="L52" i="6"/>
  <c r="O52" i="6" s="1"/>
  <c r="N117" i="6"/>
  <c r="P117" i="6" s="1"/>
  <c r="M117" i="6"/>
  <c r="L117" i="6"/>
  <c r="O117" i="6" s="1"/>
  <c r="N47" i="6"/>
  <c r="P47" i="6" s="1"/>
  <c r="M47" i="6"/>
  <c r="L47" i="6"/>
  <c r="O47" i="6" s="1"/>
  <c r="N67" i="6"/>
  <c r="P67" i="6" s="1"/>
  <c r="M67" i="6"/>
  <c r="L67" i="6"/>
  <c r="O67" i="6" s="1"/>
  <c r="N74" i="6"/>
  <c r="P74" i="6" s="1"/>
  <c r="M74" i="6"/>
  <c r="L74" i="6"/>
  <c r="O74" i="6" s="1"/>
  <c r="L26" i="6"/>
  <c r="O26" i="6" s="1"/>
  <c r="M26" i="6"/>
  <c r="N26" i="6"/>
  <c r="P26" i="6" s="1"/>
  <c r="N65" i="6"/>
  <c r="P65" i="6" s="1"/>
  <c r="M65" i="6"/>
  <c r="L65" i="6"/>
  <c r="O65" i="6" s="1"/>
  <c r="N90" i="6"/>
  <c r="P90" i="6" s="1"/>
  <c r="M90" i="6"/>
  <c r="L90" i="6"/>
  <c r="O90" i="6" s="1"/>
  <c r="N96" i="6"/>
  <c r="P96" i="6" s="1"/>
  <c r="M96" i="6"/>
  <c r="L96" i="6"/>
  <c r="O96" i="6" s="1"/>
  <c r="F30" i="6"/>
  <c r="I31" i="6"/>
  <c r="F50" i="6"/>
  <c r="I51" i="6"/>
  <c r="F111" i="6"/>
  <c r="I112" i="6"/>
  <c r="F97" i="6"/>
  <c r="I98" i="6"/>
  <c r="F134" i="6"/>
  <c r="I135" i="6"/>
  <c r="N83" i="6"/>
  <c r="P83" i="6" s="1"/>
  <c r="M83" i="6"/>
  <c r="L83" i="6"/>
  <c r="O83" i="6" s="1"/>
  <c r="E83" i="6"/>
  <c r="N93" i="6"/>
  <c r="P93" i="6" s="1"/>
  <c r="M93" i="6"/>
  <c r="L93" i="6"/>
  <c r="O93" i="6" s="1"/>
  <c r="M23" i="6"/>
  <c r="L23" i="6"/>
  <c r="O23" i="6" s="1"/>
  <c r="N23" i="6"/>
  <c r="P23" i="6" s="1"/>
  <c r="N84" i="6"/>
  <c r="P84" i="6" s="1"/>
  <c r="M84" i="6"/>
  <c r="L84" i="6"/>
  <c r="O84" i="6" s="1"/>
  <c r="N34" i="6"/>
  <c r="P34" i="6" s="1"/>
  <c r="L34" i="6"/>
  <c r="O34" i="6" s="1"/>
  <c r="M34" i="6"/>
  <c r="N69" i="6"/>
  <c r="P69" i="6" s="1"/>
  <c r="M69" i="6"/>
  <c r="L69" i="6"/>
  <c r="O69" i="6" s="1"/>
  <c r="M105" i="6"/>
  <c r="L105" i="6"/>
  <c r="O105" i="6" s="1"/>
  <c r="N105" i="6"/>
  <c r="P105" i="6" s="1"/>
  <c r="N102" i="6"/>
  <c r="P102" i="6" s="1"/>
  <c r="M102" i="6"/>
  <c r="L102" i="6"/>
  <c r="O102" i="6" s="1"/>
  <c r="F22" i="6"/>
  <c r="F51" i="6"/>
  <c r="I52" i="6"/>
  <c r="I73" i="6"/>
  <c r="F72" i="6"/>
  <c r="I109" i="6"/>
  <c r="F108" i="6"/>
  <c r="N94" i="6"/>
  <c r="P94" i="6" s="1"/>
  <c r="M94" i="6"/>
  <c r="L94" i="6"/>
  <c r="O94" i="6" s="1"/>
  <c r="N79" i="6"/>
  <c r="P79" i="6" s="1"/>
  <c r="M79" i="6"/>
  <c r="L79" i="6"/>
  <c r="O79" i="6" s="1"/>
  <c r="N56" i="6"/>
  <c r="P56" i="6" s="1"/>
  <c r="M56" i="6"/>
  <c r="L56" i="6"/>
  <c r="O56" i="6" s="1"/>
  <c r="N55" i="6"/>
  <c r="P55" i="6" s="1"/>
  <c r="M55" i="6"/>
  <c r="L55" i="6"/>
  <c r="O55" i="6" s="1"/>
  <c r="F28" i="6"/>
  <c r="I29" i="6"/>
  <c r="N88" i="6"/>
  <c r="P88" i="6" s="1"/>
  <c r="M88" i="6"/>
  <c r="L88" i="6"/>
  <c r="O88" i="6" s="1"/>
  <c r="N106" i="6"/>
  <c r="P106" i="6" s="1"/>
  <c r="M106" i="6"/>
  <c r="L106" i="6"/>
  <c r="O106" i="6" s="1"/>
  <c r="F26" i="6"/>
  <c r="I27" i="6"/>
  <c r="M112" i="6"/>
  <c r="L112" i="6"/>
  <c r="O112" i="6" s="1"/>
  <c r="N112" i="6"/>
  <c r="P112" i="6" s="1"/>
  <c r="E24" i="6"/>
  <c r="F19" i="6"/>
  <c r="I20" i="6"/>
  <c r="F20" i="6"/>
  <c r="F75" i="6"/>
  <c r="F46" i="6"/>
  <c r="I47" i="6"/>
  <c r="F54" i="6"/>
  <c r="F70" i="6"/>
  <c r="E90" i="6"/>
  <c r="I90" i="6" s="1"/>
  <c r="E93" i="6"/>
  <c r="I93" i="6" s="1"/>
  <c r="E114" i="6"/>
  <c r="F130" i="6"/>
  <c r="N129" i="6"/>
  <c r="P129" i="6" s="1"/>
  <c r="M129" i="6"/>
  <c r="L129" i="6"/>
  <c r="O129" i="6" s="1"/>
  <c r="N41" i="6"/>
  <c r="P41" i="6" s="1"/>
  <c r="M41" i="6"/>
  <c r="L41" i="6"/>
  <c r="O41" i="6" s="1"/>
  <c r="N45" i="6"/>
  <c r="P45" i="6" s="1"/>
  <c r="M45" i="6"/>
  <c r="L45" i="6"/>
  <c r="O45" i="6" s="1"/>
  <c r="N124" i="6"/>
  <c r="P124" i="6" s="1"/>
  <c r="M124" i="6"/>
  <c r="L124" i="6"/>
  <c r="O124" i="6" s="1"/>
  <c r="N77" i="6"/>
  <c r="P77" i="6" s="1"/>
  <c r="M77" i="6"/>
  <c r="L77" i="6"/>
  <c r="N71" i="6"/>
  <c r="P71" i="6" s="1"/>
  <c r="L71" i="6"/>
  <c r="O71" i="6" s="1"/>
  <c r="M71" i="6"/>
  <c r="N92" i="6"/>
  <c r="P92" i="6" s="1"/>
  <c r="M92" i="6"/>
  <c r="L92" i="6"/>
  <c r="O92" i="6" s="1"/>
  <c r="N100" i="6"/>
  <c r="P100" i="6" s="1"/>
  <c r="M100" i="6"/>
  <c r="L100" i="6"/>
  <c r="O100" i="6" s="1"/>
  <c r="N53" i="6"/>
  <c r="P53" i="6" s="1"/>
  <c r="M53" i="6"/>
  <c r="L53" i="6"/>
  <c r="O53" i="6" s="1"/>
  <c r="N35" i="6"/>
  <c r="P35" i="6" s="1"/>
  <c r="L35" i="6"/>
  <c r="O35" i="6" s="1"/>
  <c r="M35" i="6"/>
  <c r="N39" i="6"/>
  <c r="P39" i="6" s="1"/>
  <c r="M39" i="6"/>
  <c r="L39" i="6"/>
  <c r="O39" i="6" s="1"/>
  <c r="N122" i="6"/>
  <c r="P122" i="6" s="1"/>
  <c r="M122" i="6"/>
  <c r="L122" i="6"/>
  <c r="O122" i="6" s="1"/>
  <c r="F42" i="6"/>
  <c r="I43" i="6"/>
  <c r="AN23" i="6"/>
  <c r="I88" i="6"/>
  <c r="F87" i="6"/>
  <c r="F118" i="6"/>
  <c r="I119" i="6"/>
  <c r="N62" i="6"/>
  <c r="P62" i="6" s="1"/>
  <c r="M62" i="6"/>
  <c r="L62" i="6"/>
  <c r="O62" i="6" s="1"/>
  <c r="N40" i="6"/>
  <c r="P40" i="6" s="1"/>
  <c r="M40" i="6"/>
  <c r="L40" i="6"/>
  <c r="O40" i="6" s="1"/>
  <c r="F32" i="6"/>
  <c r="I33" i="6"/>
  <c r="F127" i="6"/>
  <c r="I128" i="6"/>
  <c r="I82" i="6"/>
  <c r="F81" i="6"/>
  <c r="AN17" i="6"/>
  <c r="E21" i="6"/>
  <c r="N131" i="6"/>
  <c r="P131" i="6" s="1"/>
  <c r="M131" i="6"/>
  <c r="L131" i="6"/>
  <c r="O131" i="6" s="1"/>
  <c r="N99" i="6"/>
  <c r="P99" i="6" s="1"/>
  <c r="M99" i="6"/>
  <c r="L99" i="6"/>
  <c r="O99" i="6" s="1"/>
  <c r="N118" i="6"/>
  <c r="P118" i="6" s="1"/>
  <c r="M118" i="6"/>
  <c r="L118" i="6"/>
  <c r="O118" i="6" s="1"/>
  <c r="F31" i="6"/>
  <c r="I32" i="6"/>
  <c r="I83" i="6"/>
  <c r="F82" i="6"/>
  <c r="E76" i="6"/>
  <c r="I76" i="6" s="1"/>
  <c r="E39" i="6"/>
  <c r="F47" i="6"/>
  <c r="I48" i="6"/>
  <c r="AN22" i="6"/>
  <c r="E55" i="6"/>
  <c r="F63" i="6"/>
  <c r="E78" i="6"/>
  <c r="E105" i="6"/>
  <c r="E94" i="6"/>
  <c r="E102" i="6"/>
  <c r="E131" i="6"/>
  <c r="I131" i="6" s="1"/>
  <c r="N70" i="6"/>
  <c r="P70" i="6" s="1"/>
  <c r="M70" i="6"/>
  <c r="L70" i="6"/>
  <c r="O70" i="6" s="1"/>
  <c r="N48" i="6"/>
  <c r="P48" i="6" s="1"/>
  <c r="M48" i="6"/>
  <c r="L48" i="6"/>
  <c r="O48" i="6" s="1"/>
  <c r="N19" i="6"/>
  <c r="P19" i="6" s="1"/>
  <c r="M19" i="6"/>
  <c r="L19" i="6"/>
  <c r="O19" i="6" s="1"/>
  <c r="L108" i="6"/>
  <c r="O108" i="6" s="1"/>
  <c r="N108" i="6"/>
  <c r="P108" i="6" s="1"/>
  <c r="M108" i="6"/>
  <c r="N73" i="6"/>
  <c r="P73" i="6" s="1"/>
  <c r="M73" i="6"/>
  <c r="L73" i="6"/>
  <c r="O73" i="6" s="1"/>
  <c r="N72" i="6"/>
  <c r="P72" i="6" s="1"/>
  <c r="M72" i="6"/>
  <c r="L72" i="6"/>
  <c r="O72" i="6" s="1"/>
  <c r="N51" i="6"/>
  <c r="P51" i="6" s="1"/>
  <c r="M51" i="6"/>
  <c r="L51" i="6"/>
  <c r="O51" i="6" s="1"/>
  <c r="N68" i="6"/>
  <c r="P68" i="6" s="1"/>
  <c r="M68" i="6"/>
  <c r="L68" i="6"/>
  <c r="O68" i="6" s="1"/>
  <c r="N20" i="6"/>
  <c r="P20" i="6" s="1"/>
  <c r="M20" i="6"/>
  <c r="L20" i="6"/>
  <c r="O20" i="6" s="1"/>
  <c r="N95" i="6"/>
  <c r="P95" i="6" s="1"/>
  <c r="M95" i="6"/>
  <c r="L95" i="6"/>
  <c r="O95" i="6" s="1"/>
  <c r="N133" i="6"/>
  <c r="P133" i="6" s="1"/>
  <c r="M133" i="6"/>
  <c r="L133" i="6"/>
  <c r="O133" i="6" s="1"/>
  <c r="N42" i="6"/>
  <c r="P42" i="6" s="1"/>
  <c r="M42" i="6"/>
  <c r="L42" i="6"/>
  <c r="O42" i="6" s="1"/>
  <c r="N37" i="6"/>
  <c r="P37" i="6" s="1"/>
  <c r="M37" i="6"/>
  <c r="L37" i="6"/>
  <c r="O37" i="6" s="1"/>
  <c r="N128" i="6"/>
  <c r="P128" i="6" s="1"/>
  <c r="M128" i="6"/>
  <c r="L128" i="6"/>
  <c r="O128" i="6" s="1"/>
  <c r="I75" i="6"/>
  <c r="F74" i="6"/>
  <c r="F58" i="6"/>
  <c r="I110" i="6"/>
  <c r="F109" i="6"/>
  <c r="N64" i="6"/>
  <c r="P64" i="6" s="1"/>
  <c r="M64" i="6"/>
  <c r="L64" i="6"/>
  <c r="O64" i="6" s="1"/>
  <c r="N134" i="6"/>
  <c r="P134" i="6" s="1"/>
  <c r="M134" i="6"/>
  <c r="L134" i="6"/>
  <c r="O134" i="6" s="1"/>
  <c r="F43" i="6"/>
  <c r="I44" i="6"/>
  <c r="F67" i="6"/>
  <c r="I68" i="6"/>
  <c r="F98" i="6"/>
  <c r="I99" i="6"/>
  <c r="F135" i="6"/>
  <c r="I136" i="6"/>
  <c r="AN8" i="6"/>
  <c r="N103" i="6"/>
  <c r="P103" i="6" s="1"/>
  <c r="M103" i="6"/>
  <c r="L103" i="6"/>
  <c r="O103" i="6" s="1"/>
  <c r="N49" i="6"/>
  <c r="P49" i="6" s="1"/>
  <c r="M49" i="6"/>
  <c r="L49" i="6"/>
  <c r="O49" i="6" s="1"/>
  <c r="N36" i="6"/>
  <c r="P36" i="6" s="1"/>
  <c r="M36" i="6"/>
  <c r="L36" i="6"/>
  <c r="O36" i="6" s="1"/>
  <c r="I26" i="6"/>
  <c r="F25" i="6"/>
  <c r="N130" i="6"/>
  <c r="P130" i="6" s="1"/>
  <c r="M130" i="6"/>
  <c r="L130" i="6"/>
  <c r="O130" i="6" s="1"/>
  <c r="N98" i="6"/>
  <c r="P98" i="6" s="1"/>
  <c r="M98" i="6"/>
  <c r="L98" i="6"/>
  <c r="O98" i="6" s="1"/>
  <c r="N136" i="6"/>
  <c r="P136" i="6" s="1"/>
  <c r="M136" i="6"/>
  <c r="L136" i="6"/>
  <c r="O136" i="6" s="1"/>
  <c r="N104" i="6"/>
  <c r="P104" i="6" s="1"/>
  <c r="L104" i="6"/>
  <c r="O104" i="6" s="1"/>
  <c r="M104" i="6"/>
  <c r="F33" i="6"/>
  <c r="I34" i="6"/>
  <c r="E23" i="6"/>
  <c r="I23" i="6" s="1"/>
  <c r="E84" i="6"/>
  <c r="E40" i="6"/>
  <c r="F48" i="6"/>
  <c r="E56" i="6"/>
  <c r="E64" i="6"/>
  <c r="I87" i="6"/>
  <c r="F86" i="6"/>
  <c r="E104" i="6"/>
  <c r="F95" i="6"/>
  <c r="AN15" i="6"/>
  <c r="E103" i="6"/>
  <c r="E116" i="6"/>
  <c r="I116" i="6" s="1"/>
  <c r="E124" i="6"/>
  <c r="I124" i="6" s="1"/>
  <c r="E132" i="6"/>
  <c r="N121" i="6"/>
  <c r="P121" i="6" s="1"/>
  <c r="M121" i="6"/>
  <c r="L121" i="6"/>
  <c r="O121" i="6" s="1"/>
  <c r="N85" i="6"/>
  <c r="P85" i="6" s="1"/>
  <c r="M85" i="6"/>
  <c r="L85" i="6"/>
  <c r="O85" i="6" s="1"/>
  <c r="N46" i="6"/>
  <c r="P46" i="6" s="1"/>
  <c r="M46" i="6"/>
  <c r="L46" i="6"/>
  <c r="O46" i="6" s="1"/>
  <c r="N29" i="6"/>
  <c r="P29" i="6" s="1"/>
  <c r="L29" i="6"/>
  <c r="O29" i="6" s="1"/>
  <c r="M29" i="6"/>
  <c r="L111" i="6"/>
  <c r="O111" i="6" s="1"/>
  <c r="N111" i="6"/>
  <c r="P111" i="6" s="1"/>
  <c r="M111" i="6"/>
  <c r="N44" i="6"/>
  <c r="P44" i="6" s="1"/>
  <c r="M44" i="6"/>
  <c r="L44" i="6"/>
  <c r="O44" i="6" s="1"/>
  <c r="N66" i="6"/>
  <c r="P66" i="6" s="1"/>
  <c r="M66" i="6"/>
  <c r="L66" i="6"/>
  <c r="O66" i="6" s="1"/>
  <c r="L18" i="6"/>
  <c r="O18" i="6" s="1"/>
  <c r="N18" i="6"/>
  <c r="P18" i="6" s="1"/>
  <c r="M18" i="6"/>
  <c r="N28" i="6"/>
  <c r="P28" i="6" s="1"/>
  <c r="L28" i="6"/>
  <c r="O28" i="6" s="1"/>
  <c r="M28" i="6"/>
  <c r="I78" i="6"/>
  <c r="F77" i="6"/>
  <c r="F66" i="6"/>
  <c r="I67" i="6"/>
  <c r="F126" i="6"/>
  <c r="I127" i="6"/>
  <c r="N60" i="6"/>
  <c r="P60" i="6" s="1"/>
  <c r="M60" i="6"/>
  <c r="L60" i="6"/>
  <c r="O60" i="6" s="1"/>
  <c r="N59" i="6"/>
  <c r="P59" i="6" s="1"/>
  <c r="M59" i="6"/>
  <c r="L59" i="6"/>
  <c r="O59" i="6" s="1"/>
  <c r="M115" i="6"/>
  <c r="L115" i="6"/>
  <c r="O115" i="6" s="1"/>
  <c r="N115" i="6"/>
  <c r="P115" i="6" s="1"/>
  <c r="I86" i="6"/>
  <c r="F85" i="6"/>
  <c r="E59" i="6"/>
  <c r="I59" i="6" s="1"/>
  <c r="I111" i="6"/>
  <c r="F110" i="6"/>
  <c r="F119" i="6"/>
  <c r="I120" i="6"/>
  <c r="N38" i="6"/>
  <c r="P38" i="6" s="1"/>
  <c r="M38" i="6"/>
  <c r="L38" i="6"/>
  <c r="O38" i="6" s="1"/>
  <c r="N89" i="6"/>
  <c r="P89" i="6" s="1"/>
  <c r="M89" i="6"/>
  <c r="L89" i="6"/>
  <c r="O89" i="6" s="1"/>
  <c r="N101" i="6"/>
  <c r="P101" i="6" s="1"/>
  <c r="M101" i="6"/>
  <c r="L101" i="6"/>
  <c r="O101" i="6" s="1"/>
  <c r="N87" i="6"/>
  <c r="P87" i="6" s="1"/>
  <c r="L87" i="6"/>
  <c r="O87" i="6" s="1"/>
  <c r="M87" i="6"/>
  <c r="N123" i="6"/>
  <c r="P123" i="6" s="1"/>
  <c r="M123" i="6"/>
  <c r="L123" i="6"/>
  <c r="O123" i="6" s="1"/>
  <c r="N91" i="6"/>
  <c r="P91" i="6" s="1"/>
  <c r="M91" i="6"/>
  <c r="L91" i="6"/>
  <c r="O91" i="6" s="1"/>
  <c r="L110" i="6"/>
  <c r="O110" i="6" s="1"/>
  <c r="N110" i="6"/>
  <c r="P110" i="6" s="1"/>
  <c r="M110" i="6"/>
  <c r="E35" i="6"/>
  <c r="F27" i="6"/>
  <c r="I28" i="6"/>
  <c r="E71" i="6"/>
  <c r="I71" i="6" s="1"/>
  <c r="E41" i="6"/>
  <c r="E49" i="6"/>
  <c r="I49" i="6" s="1"/>
  <c r="F57" i="6"/>
  <c r="I58" i="6"/>
  <c r="F65" i="6"/>
  <c r="I66" i="6"/>
  <c r="E79" i="6"/>
  <c r="E106" i="6"/>
  <c r="E96" i="6"/>
  <c r="I96" i="6" s="1"/>
  <c r="E107" i="6"/>
  <c r="I118" i="6"/>
  <c r="F117" i="6"/>
  <c r="AN12" i="6"/>
  <c r="E125" i="6"/>
  <c r="F133" i="6"/>
  <c r="I134" i="6"/>
  <c r="AN9" i="6"/>
  <c r="N127" i="6"/>
  <c r="P127" i="6" s="1"/>
  <c r="M127" i="6"/>
  <c r="L127" i="6"/>
  <c r="O127" i="6" s="1"/>
  <c r="L109" i="6"/>
  <c r="O109" i="6" s="1"/>
  <c r="N109" i="6"/>
  <c r="P109" i="6" s="1"/>
  <c r="M109" i="6"/>
  <c r="N33" i="6"/>
  <c r="P33" i="6" s="1"/>
  <c r="L33" i="6"/>
  <c r="O33" i="6" s="1"/>
  <c r="M33" i="6"/>
  <c r="N135" i="6"/>
  <c r="P135" i="6" s="1"/>
  <c r="M135" i="6"/>
  <c r="L135" i="6"/>
  <c r="O135" i="6" s="1"/>
  <c r="N32" i="6"/>
  <c r="P32" i="6" s="1"/>
  <c r="L32" i="6"/>
  <c r="O32" i="6" s="1"/>
  <c r="M32" i="6"/>
  <c r="N27" i="6"/>
  <c r="P27" i="6" s="1"/>
  <c r="M27" i="6"/>
  <c r="L27" i="6"/>
  <c r="O27" i="6" s="1"/>
  <c r="N86" i="6"/>
  <c r="P86" i="6" s="1"/>
  <c r="L86" i="6"/>
  <c r="O86" i="6" s="1"/>
  <c r="M86" i="6"/>
  <c r="N63" i="6"/>
  <c r="P63" i="6" s="1"/>
  <c r="M63" i="6"/>
  <c r="L63" i="6"/>
  <c r="O63" i="6" s="1"/>
  <c r="M113" i="6"/>
  <c r="L113" i="6"/>
  <c r="O113" i="6" s="1"/>
  <c r="N113" i="6"/>
  <c r="P113" i="6" s="1"/>
  <c r="N57" i="6"/>
  <c r="P57" i="6" s="1"/>
  <c r="M57" i="6"/>
  <c r="L57" i="6"/>
  <c r="O57" i="6" s="1"/>
  <c r="F56" i="6" l="1"/>
  <c r="I57" i="6"/>
  <c r="F64" i="6"/>
  <c r="I65" i="6"/>
  <c r="AN20" i="6"/>
  <c r="I64" i="6"/>
  <c r="F39" i="6"/>
  <c r="AN24" i="6"/>
  <c r="I40" i="6"/>
  <c r="F61" i="6"/>
  <c r="I62" i="6"/>
  <c r="F96" i="6"/>
  <c r="I97" i="6"/>
  <c r="F131" i="6"/>
  <c r="I132" i="6"/>
  <c r="F55" i="6"/>
  <c r="AN21" i="6"/>
  <c r="I56" i="6"/>
  <c r="I55" i="6"/>
  <c r="I84" i="6"/>
  <c r="F83" i="6"/>
  <c r="F106" i="6"/>
  <c r="I107" i="6"/>
  <c r="F49" i="6"/>
  <c r="I50" i="6"/>
  <c r="F132" i="6"/>
  <c r="I133" i="6"/>
  <c r="F104" i="6"/>
  <c r="I105" i="6"/>
  <c r="F102" i="6"/>
  <c r="I103" i="6"/>
  <c r="AN26" i="6"/>
  <c r="F21" i="6"/>
  <c r="I22" i="6"/>
  <c r="F120" i="6"/>
  <c r="I121" i="6"/>
  <c r="AN11" i="6"/>
  <c r="I102" i="6"/>
  <c r="F24" i="6"/>
  <c r="I25" i="6"/>
  <c r="F125" i="6"/>
  <c r="I126" i="6"/>
  <c r="AN10" i="6"/>
  <c r="I80" i="6"/>
  <c r="F79" i="6"/>
  <c r="F41" i="6"/>
  <c r="I42" i="6"/>
  <c r="F59" i="6"/>
  <c r="I60" i="6"/>
  <c r="F124" i="6"/>
  <c r="I125" i="6"/>
  <c r="F40" i="6"/>
  <c r="I41" i="6"/>
  <c r="F94" i="6"/>
  <c r="I95" i="6"/>
  <c r="I115" i="6"/>
  <c r="F114" i="6"/>
  <c r="I21" i="6"/>
  <c r="I114" i="6"/>
  <c r="I61" i="6"/>
  <c r="I77" i="6"/>
  <c r="F76" i="6"/>
  <c r="F107" i="6"/>
  <c r="I108" i="6"/>
  <c r="AN13" i="6"/>
  <c r="F35" i="6"/>
  <c r="I36" i="6"/>
  <c r="I35" i="6"/>
  <c r="I72" i="6"/>
  <c r="F71" i="6"/>
  <c r="I117" i="6"/>
  <c r="F116" i="6"/>
  <c r="I85" i="6"/>
  <c r="F84" i="6"/>
  <c r="I106" i="6"/>
  <c r="F105" i="6"/>
  <c r="F93" i="6"/>
  <c r="I94" i="6"/>
  <c r="I39" i="6"/>
  <c r="F103" i="6"/>
  <c r="I104" i="6"/>
  <c r="I24" i="6"/>
  <c r="F23" i="6"/>
  <c r="I79" i="6"/>
  <c r="F78" i="6"/>
  <c r="O77" i="6"/>
  <c r="F90" i="6"/>
  <c r="I91" i="6"/>
  <c r="C50" i="3" l="1"/>
  <c r="I23" i="3" l="1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1" i="3"/>
  <c r="Q50" i="6"/>
  <c r="Q41" i="6" l="1"/>
  <c r="R41" i="6"/>
  <c r="U41" i="6" s="1"/>
  <c r="V41" i="6" s="1"/>
  <c r="Q33" i="6"/>
  <c r="R33" i="6"/>
  <c r="U33" i="6" s="1"/>
  <c r="V33" i="6" s="1"/>
  <c r="Q25" i="6"/>
  <c r="R25" i="6"/>
  <c r="U25" i="6" s="1"/>
  <c r="V25" i="6" s="1"/>
  <c r="R44" i="6"/>
  <c r="U44" i="6" s="1"/>
  <c r="V44" i="6" s="1"/>
  <c r="Q44" i="6"/>
  <c r="Q36" i="6"/>
  <c r="R36" i="6"/>
  <c r="U36" i="6" s="1"/>
  <c r="V36" i="6" s="1"/>
  <c r="R28" i="6"/>
  <c r="U28" i="6" s="1"/>
  <c r="V28" i="6" s="1"/>
  <c r="Q28" i="6"/>
  <c r="Q20" i="6"/>
  <c r="R20" i="6"/>
  <c r="U20" i="6" s="1"/>
  <c r="V20" i="6" s="1"/>
  <c r="Q43" i="6"/>
  <c r="R43" i="6"/>
  <c r="U43" i="6" s="1"/>
  <c r="V43" i="6" s="1"/>
  <c r="Q35" i="6"/>
  <c r="R35" i="6"/>
  <c r="U35" i="6" s="1"/>
  <c r="V35" i="6" s="1"/>
  <c r="R27" i="6"/>
  <c r="U27" i="6" s="1"/>
  <c r="V27" i="6" s="1"/>
  <c r="Q27" i="6"/>
  <c r="Q19" i="6"/>
  <c r="R19" i="6"/>
  <c r="U19" i="6" s="1"/>
  <c r="V19" i="6" s="1"/>
  <c r="R42" i="6"/>
  <c r="U42" i="6" s="1"/>
  <c r="V42" i="6" s="1"/>
  <c r="Q42" i="6"/>
  <c r="Q34" i="6"/>
  <c r="R34" i="6"/>
  <c r="U34" i="6" s="1"/>
  <c r="V34" i="6" s="1"/>
  <c r="Q26" i="6"/>
  <c r="R26" i="6"/>
  <c r="U26" i="6" s="1"/>
  <c r="V26" i="6" s="1"/>
  <c r="R18" i="6"/>
  <c r="U18" i="6" s="1"/>
  <c r="V18" i="6" s="1"/>
  <c r="Q18" i="6"/>
  <c r="Q49" i="6"/>
  <c r="R49" i="6"/>
  <c r="U49" i="6" s="1"/>
  <c r="V49" i="6" s="1"/>
  <c r="R48" i="6"/>
  <c r="U48" i="6" s="1"/>
  <c r="V48" i="6" s="1"/>
  <c r="Q48" i="6"/>
  <c r="Q40" i="6"/>
  <c r="R40" i="6"/>
  <c r="U40" i="6" s="1"/>
  <c r="V40" i="6" s="1"/>
  <c r="Q32" i="6"/>
  <c r="R32" i="6"/>
  <c r="U32" i="6" s="1"/>
  <c r="V32" i="6" s="1"/>
  <c r="R24" i="6"/>
  <c r="U24" i="6" s="1"/>
  <c r="V24" i="6" s="1"/>
  <c r="Q24" i="6"/>
  <c r="R50" i="6"/>
  <c r="U50" i="6" s="1"/>
  <c r="V50" i="6" s="1"/>
  <c r="R47" i="6"/>
  <c r="U47" i="6" s="1"/>
  <c r="V47" i="6" s="1"/>
  <c r="Q47" i="6"/>
  <c r="R39" i="6"/>
  <c r="U39" i="6" s="1"/>
  <c r="V39" i="6" s="1"/>
  <c r="Q39" i="6"/>
  <c r="Q31" i="6"/>
  <c r="R31" i="6"/>
  <c r="U31" i="6" s="1"/>
  <c r="V31" i="6" s="1"/>
  <c r="R23" i="6"/>
  <c r="U23" i="6" s="1"/>
  <c r="V23" i="6" s="1"/>
  <c r="Q23" i="6"/>
  <c r="R46" i="6"/>
  <c r="U46" i="6" s="1"/>
  <c r="V46" i="6" s="1"/>
  <c r="Q46" i="6"/>
  <c r="R38" i="6"/>
  <c r="U38" i="6" s="1"/>
  <c r="V38" i="6" s="1"/>
  <c r="Q38" i="6"/>
  <c r="Q30" i="6"/>
  <c r="R30" i="6"/>
  <c r="U30" i="6" s="1"/>
  <c r="V30" i="6" s="1"/>
  <c r="R22" i="6"/>
  <c r="U22" i="6" s="1"/>
  <c r="V22" i="6" s="1"/>
  <c r="Q22" i="6"/>
  <c r="R45" i="6"/>
  <c r="U45" i="6" s="1"/>
  <c r="V45" i="6" s="1"/>
  <c r="Q45" i="6"/>
  <c r="Q37" i="6"/>
  <c r="R37" i="6"/>
  <c r="U37" i="6" s="1"/>
  <c r="V37" i="6" s="1"/>
  <c r="R29" i="6"/>
  <c r="U29" i="6" s="1"/>
  <c r="V29" i="6" s="1"/>
  <c r="Q29" i="6"/>
  <c r="R21" i="6"/>
  <c r="U21" i="6" s="1"/>
  <c r="V21" i="6" s="1"/>
  <c r="Q21" i="6"/>
  <c r="C52" i="3"/>
  <c r="R51" i="6"/>
  <c r="U51" i="6" s="1"/>
  <c r="V51" i="6" s="1"/>
  <c r="Q51" i="6"/>
  <c r="C53" i="3" l="1"/>
  <c r="R52" i="6"/>
  <c r="U52" i="6" s="1"/>
  <c r="V52" i="6" s="1"/>
  <c r="Q52" i="6"/>
  <c r="C54" i="3" l="1"/>
  <c r="R53" i="6"/>
  <c r="U53" i="6" s="1"/>
  <c r="V53" i="6" s="1"/>
  <c r="Q53" i="6"/>
  <c r="C55" i="3" l="1"/>
  <c r="R54" i="6"/>
  <c r="U54" i="6" s="1"/>
  <c r="V54" i="6" s="1"/>
  <c r="Q54" i="6"/>
  <c r="R55" i="6" l="1"/>
  <c r="U55" i="6" s="1"/>
  <c r="V55" i="6" s="1"/>
  <c r="Q55" i="6"/>
  <c r="C56" i="3"/>
  <c r="C57" i="3" l="1"/>
  <c r="R56" i="6"/>
  <c r="U56" i="6" s="1"/>
  <c r="V56" i="6" s="1"/>
  <c r="Q56" i="6"/>
  <c r="Q57" i="6" l="1"/>
  <c r="R57" i="6"/>
  <c r="U57" i="6" s="1"/>
  <c r="V57" i="6" s="1"/>
  <c r="C58" i="3"/>
  <c r="Q58" i="6" l="1"/>
  <c r="R58" i="6"/>
  <c r="U58" i="6" s="1"/>
  <c r="V58" i="6" s="1"/>
  <c r="C59" i="3"/>
  <c r="R59" i="6" l="1"/>
  <c r="U59" i="6" s="1"/>
  <c r="V59" i="6" s="1"/>
  <c r="Q59" i="6"/>
  <c r="C60" i="3"/>
  <c r="C61" i="3" l="1"/>
  <c r="R60" i="6"/>
  <c r="U60" i="6" s="1"/>
  <c r="V60" i="6" s="1"/>
  <c r="Q60" i="6"/>
  <c r="C62" i="3" l="1"/>
  <c r="R61" i="6"/>
  <c r="U61" i="6" s="1"/>
  <c r="V61" i="6" s="1"/>
  <c r="Q61" i="6"/>
  <c r="C63" i="3" l="1"/>
  <c r="R62" i="6"/>
  <c r="U62" i="6" s="1"/>
  <c r="V62" i="6" s="1"/>
  <c r="Q62" i="6"/>
  <c r="C64" i="3" l="1"/>
  <c r="R63" i="6"/>
  <c r="U63" i="6" s="1"/>
  <c r="V63" i="6" s="1"/>
  <c r="Q63" i="6"/>
  <c r="R64" i="6" l="1"/>
  <c r="U64" i="6" s="1"/>
  <c r="V64" i="6" s="1"/>
  <c r="Q64" i="6"/>
  <c r="C65" i="3"/>
  <c r="Q65" i="6" l="1"/>
  <c r="R65" i="6"/>
  <c r="U65" i="6" s="1"/>
  <c r="V65" i="6" s="1"/>
  <c r="C66" i="3"/>
  <c r="Q66" i="6" l="1"/>
  <c r="R66" i="6"/>
  <c r="U66" i="6" s="1"/>
  <c r="V66" i="6" s="1"/>
  <c r="C67" i="3"/>
  <c r="R67" i="6" l="1"/>
  <c r="U67" i="6" s="1"/>
  <c r="V67" i="6" s="1"/>
  <c r="Q67" i="6"/>
  <c r="C68" i="3"/>
  <c r="R68" i="6" l="1"/>
  <c r="U68" i="6" s="1"/>
  <c r="V68" i="6" s="1"/>
  <c r="Q68" i="6"/>
  <c r="C69" i="3"/>
  <c r="C70" i="3" l="1"/>
  <c r="R69" i="6"/>
  <c r="U69" i="6" s="1"/>
  <c r="V69" i="6" s="1"/>
  <c r="Q69" i="6"/>
  <c r="C71" i="3" l="1"/>
  <c r="R70" i="6"/>
  <c r="U70" i="6" s="1"/>
  <c r="V70" i="6" s="1"/>
  <c r="Q70" i="6"/>
  <c r="C72" i="3" l="1"/>
  <c r="R71" i="6"/>
  <c r="U71" i="6" s="1"/>
  <c r="V71" i="6" s="1"/>
  <c r="Q71" i="6"/>
  <c r="C73" i="3" l="1"/>
  <c r="R72" i="6"/>
  <c r="U72" i="6" s="1"/>
  <c r="V72" i="6" s="1"/>
  <c r="Q72" i="6"/>
  <c r="C74" i="3" l="1"/>
  <c r="R73" i="6"/>
  <c r="U73" i="6" s="1"/>
  <c r="V73" i="6" s="1"/>
  <c r="Q73" i="6"/>
  <c r="C75" i="3" l="1"/>
  <c r="R74" i="6"/>
  <c r="U74" i="6" s="1"/>
  <c r="V74" i="6" s="1"/>
  <c r="Q74" i="6"/>
  <c r="C76" i="3" l="1"/>
  <c r="R75" i="6"/>
  <c r="U75" i="6" s="1"/>
  <c r="V75" i="6" s="1"/>
  <c r="Q75" i="6"/>
  <c r="R76" i="6" l="1"/>
  <c r="U76" i="6" s="1"/>
  <c r="V76" i="6" s="1"/>
  <c r="Q76" i="6"/>
  <c r="C77" i="3"/>
  <c r="K27" i="3"/>
  <c r="AE17" i="6" l="1"/>
  <c r="C78" i="3"/>
  <c r="R77" i="6"/>
  <c r="U77" i="6" s="1"/>
  <c r="V77" i="6" s="1"/>
  <c r="Q77" i="6"/>
  <c r="C79" i="3" l="1"/>
  <c r="R78" i="6"/>
  <c r="U78" i="6" s="1"/>
  <c r="V78" i="6" s="1"/>
  <c r="Q78" i="6"/>
  <c r="C80" i="3" l="1"/>
  <c r="R79" i="6"/>
  <c r="U79" i="6" s="1"/>
  <c r="V79" i="6" s="1"/>
  <c r="Q79" i="6"/>
  <c r="C81" i="3" l="1"/>
  <c r="R80" i="6"/>
  <c r="U80" i="6" s="1"/>
  <c r="V80" i="6" s="1"/>
  <c r="Q80" i="6"/>
  <c r="C82" i="3" l="1"/>
  <c r="R81" i="6"/>
  <c r="U81" i="6" s="1"/>
  <c r="V81" i="6" s="1"/>
  <c r="Q81" i="6"/>
  <c r="C83" i="3" l="1"/>
  <c r="R82" i="6"/>
  <c r="U82" i="6" s="1"/>
  <c r="V82" i="6" s="1"/>
  <c r="Q82" i="6"/>
  <c r="C84" i="3" l="1"/>
  <c r="R83" i="6"/>
  <c r="U83" i="6" s="1"/>
  <c r="V83" i="6" s="1"/>
  <c r="Q83" i="6"/>
  <c r="C85" i="3" l="1"/>
  <c r="R84" i="6"/>
  <c r="U84" i="6" s="1"/>
  <c r="V84" i="6" s="1"/>
  <c r="Q84" i="6"/>
  <c r="C86" i="3" l="1"/>
  <c r="R85" i="6"/>
  <c r="U85" i="6" s="1"/>
  <c r="V85" i="6" s="1"/>
  <c r="Q85" i="6"/>
  <c r="C87" i="3" l="1"/>
  <c r="R86" i="6"/>
  <c r="U86" i="6" s="1"/>
  <c r="V86" i="6" s="1"/>
  <c r="Q86" i="6"/>
  <c r="C88" i="3" l="1"/>
  <c r="R87" i="6"/>
  <c r="U87" i="6" s="1"/>
  <c r="V87" i="6" s="1"/>
  <c r="Q87" i="6"/>
  <c r="R88" i="6" l="1"/>
  <c r="U88" i="6" s="1"/>
  <c r="V88" i="6" s="1"/>
  <c r="Q88" i="6"/>
  <c r="C89" i="3"/>
  <c r="C90" i="3" l="1"/>
  <c r="R89" i="6"/>
  <c r="U89" i="6" s="1"/>
  <c r="V89" i="6" s="1"/>
  <c r="Q89" i="6"/>
  <c r="R90" i="6" l="1"/>
  <c r="U90" i="6" s="1"/>
  <c r="V90" i="6" s="1"/>
  <c r="Q90" i="6"/>
  <c r="C91" i="3"/>
  <c r="C92" i="3" l="1"/>
  <c r="R91" i="6"/>
  <c r="U91" i="6" s="1"/>
  <c r="V91" i="6" s="1"/>
  <c r="Q91" i="6"/>
  <c r="C93" i="3" l="1"/>
  <c r="R92" i="6"/>
  <c r="U92" i="6" s="1"/>
  <c r="V92" i="6" s="1"/>
  <c r="Q92" i="6"/>
  <c r="R93" i="6" l="1"/>
  <c r="U93" i="6" s="1"/>
  <c r="V93" i="6" s="1"/>
  <c r="Q93" i="6"/>
  <c r="C94" i="3"/>
  <c r="R94" i="6" l="1"/>
  <c r="U94" i="6" s="1"/>
  <c r="V94" i="6" s="1"/>
  <c r="Q94" i="6"/>
  <c r="C95" i="3"/>
  <c r="C96" i="3" l="1"/>
  <c r="R95" i="6"/>
  <c r="U95" i="6" s="1"/>
  <c r="V95" i="6" s="1"/>
  <c r="Q95" i="6"/>
  <c r="R96" i="6" l="1"/>
  <c r="U96" i="6" s="1"/>
  <c r="V96" i="6" s="1"/>
  <c r="Q96" i="6"/>
  <c r="C97" i="3"/>
  <c r="C98" i="3" l="1"/>
  <c r="Q97" i="6"/>
  <c r="R97" i="6"/>
  <c r="U97" i="6" s="1"/>
  <c r="V97" i="6" s="1"/>
  <c r="C99" i="3" l="1"/>
  <c r="R98" i="6"/>
  <c r="U98" i="6" s="1"/>
  <c r="V98" i="6" s="1"/>
  <c r="Q98" i="6"/>
  <c r="C100" i="3" l="1"/>
  <c r="R99" i="6"/>
  <c r="U99" i="6" s="1"/>
  <c r="V99" i="6" s="1"/>
  <c r="Q99" i="6"/>
  <c r="C101" i="3" l="1"/>
  <c r="R100" i="6"/>
  <c r="U100" i="6" s="1"/>
  <c r="V100" i="6" s="1"/>
  <c r="Q100" i="6"/>
  <c r="C102" i="3" l="1"/>
  <c r="R101" i="6"/>
  <c r="U101" i="6" s="1"/>
  <c r="V101" i="6" s="1"/>
  <c r="Q101" i="6"/>
  <c r="C103" i="3" l="1"/>
  <c r="R102" i="6"/>
  <c r="U102" i="6" s="1"/>
  <c r="V102" i="6" s="1"/>
  <c r="Q102" i="6"/>
  <c r="C104" i="3" l="1"/>
  <c r="Q103" i="6"/>
  <c r="R103" i="6"/>
  <c r="U103" i="6" s="1"/>
  <c r="V103" i="6" s="1"/>
  <c r="C105" i="3" l="1"/>
  <c r="R104" i="6"/>
  <c r="U104" i="6" s="1"/>
  <c r="V104" i="6" s="1"/>
  <c r="Q104" i="6"/>
  <c r="C106" i="3" l="1"/>
  <c r="R105" i="6"/>
  <c r="U105" i="6" s="1"/>
  <c r="V105" i="6" s="1"/>
  <c r="Q105" i="6"/>
  <c r="R106" i="6" l="1"/>
  <c r="U106" i="6" s="1"/>
  <c r="V106" i="6" s="1"/>
  <c r="Q106" i="6"/>
  <c r="C107" i="3"/>
  <c r="C108" i="3" l="1"/>
  <c r="R107" i="6"/>
  <c r="U107" i="6" s="1"/>
  <c r="V107" i="6" s="1"/>
  <c r="Q107" i="6"/>
  <c r="C109" i="3" l="1"/>
  <c r="R108" i="6"/>
  <c r="U108" i="6" s="1"/>
  <c r="V108" i="6" s="1"/>
  <c r="Q108" i="6"/>
  <c r="C110" i="3" l="1"/>
  <c r="R109" i="6"/>
  <c r="U109" i="6" s="1"/>
  <c r="V109" i="6" s="1"/>
  <c r="Q109" i="6"/>
  <c r="C111" i="3" l="1"/>
  <c r="R110" i="6"/>
  <c r="U110" i="6" s="1"/>
  <c r="V110" i="6" s="1"/>
  <c r="Q110" i="6"/>
  <c r="R111" i="6" l="1"/>
  <c r="U111" i="6" s="1"/>
  <c r="V111" i="6" s="1"/>
  <c r="Q111" i="6"/>
  <c r="C112" i="3"/>
  <c r="C113" i="3" l="1"/>
  <c r="Q112" i="6"/>
  <c r="R112" i="6"/>
  <c r="U112" i="6" s="1"/>
  <c r="V112" i="6" s="1"/>
  <c r="R113" i="6" l="1"/>
  <c r="U113" i="6" s="1"/>
  <c r="V113" i="6" s="1"/>
  <c r="Q113" i="6"/>
  <c r="C114" i="3"/>
  <c r="C115" i="3" l="1"/>
  <c r="Q114" i="6"/>
  <c r="R114" i="6"/>
  <c r="U114" i="6" s="1"/>
  <c r="V114" i="6" s="1"/>
  <c r="R115" i="6" l="1"/>
  <c r="U115" i="6" s="1"/>
  <c r="V115" i="6" s="1"/>
  <c r="Q115" i="6"/>
  <c r="C116" i="3"/>
  <c r="C117" i="3" l="1"/>
  <c r="Q116" i="6"/>
  <c r="R116" i="6"/>
  <c r="U116" i="6" s="1"/>
  <c r="V116" i="6" s="1"/>
  <c r="C118" i="3" l="1"/>
  <c r="Q117" i="6"/>
  <c r="R117" i="6"/>
  <c r="U117" i="6" s="1"/>
  <c r="V117" i="6" s="1"/>
  <c r="C119" i="3" l="1"/>
  <c r="R118" i="6"/>
  <c r="U118" i="6" s="1"/>
  <c r="V118" i="6" s="1"/>
  <c r="Q118" i="6"/>
  <c r="C120" i="3" l="1"/>
  <c r="Q119" i="6"/>
  <c r="R119" i="6"/>
  <c r="U119" i="6" s="1"/>
  <c r="V119" i="6" s="1"/>
  <c r="C121" i="3" l="1"/>
  <c r="R120" i="6"/>
  <c r="U120" i="6" s="1"/>
  <c r="V120" i="6" s="1"/>
  <c r="Q120" i="6"/>
  <c r="C122" i="3" l="1"/>
  <c r="R121" i="6"/>
  <c r="U121" i="6" s="1"/>
  <c r="V121" i="6" s="1"/>
  <c r="Q121" i="6"/>
  <c r="C123" i="3" l="1"/>
  <c r="Q122" i="6"/>
  <c r="R122" i="6"/>
  <c r="U122" i="6" s="1"/>
  <c r="V122" i="6" s="1"/>
  <c r="C124" i="3" l="1"/>
  <c r="R123" i="6"/>
  <c r="U123" i="6" s="1"/>
  <c r="V123" i="6" s="1"/>
  <c r="Q123" i="6"/>
  <c r="C125" i="3" l="1"/>
  <c r="Q124" i="6"/>
  <c r="R124" i="6"/>
  <c r="U124" i="6" s="1"/>
  <c r="V124" i="6" s="1"/>
  <c r="C126" i="3" l="1"/>
  <c r="R125" i="6"/>
  <c r="U125" i="6" s="1"/>
  <c r="V125" i="6" s="1"/>
  <c r="Q125" i="6"/>
  <c r="C127" i="3" l="1"/>
  <c r="Q126" i="6"/>
  <c r="R126" i="6"/>
  <c r="U126" i="6" s="1"/>
  <c r="V126" i="6" s="1"/>
  <c r="C128" i="3" l="1"/>
  <c r="R127" i="6"/>
  <c r="U127" i="6" s="1"/>
  <c r="V127" i="6" s="1"/>
  <c r="Q127" i="6"/>
  <c r="C129" i="3" l="1"/>
  <c r="Q128" i="6"/>
  <c r="R128" i="6"/>
  <c r="U128" i="6" s="1"/>
  <c r="V128" i="6" s="1"/>
  <c r="C130" i="3" l="1"/>
  <c r="R129" i="6"/>
  <c r="U129" i="6" s="1"/>
  <c r="V129" i="6" s="1"/>
  <c r="Q129" i="6"/>
  <c r="C131" i="3" l="1"/>
  <c r="Q130" i="6"/>
  <c r="R130" i="6"/>
  <c r="U130" i="6" s="1"/>
  <c r="V130" i="6" s="1"/>
  <c r="R131" i="6" l="1"/>
  <c r="U131" i="6" s="1"/>
  <c r="V131" i="6" s="1"/>
  <c r="Q131" i="6"/>
  <c r="C132" i="3"/>
  <c r="C133" i="3" l="1"/>
  <c r="Q132" i="6"/>
  <c r="R132" i="6"/>
  <c r="U132" i="6" s="1"/>
  <c r="V132" i="6" s="1"/>
  <c r="R133" i="6" l="1"/>
  <c r="U133" i="6" s="1"/>
  <c r="V133" i="6" s="1"/>
  <c r="Q133" i="6"/>
  <c r="C134" i="3"/>
  <c r="Q134" i="6" l="1"/>
  <c r="R134" i="6"/>
  <c r="U134" i="6" s="1"/>
  <c r="V134" i="6" s="1"/>
  <c r="C135" i="3"/>
  <c r="D135" i="3"/>
  <c r="D136" i="3" l="1"/>
  <c r="C136" i="3"/>
  <c r="G135" i="6" s="1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R135" i="6"/>
  <c r="U135" i="6" s="1"/>
  <c r="V135" i="6" s="1"/>
  <c r="Q135" i="6"/>
  <c r="G136" i="6" l="1"/>
  <c r="H136" i="6" s="1"/>
  <c r="Q136" i="6"/>
  <c r="R136" i="6"/>
  <c r="U136" i="6" s="1"/>
  <c r="V136" i="6" s="1"/>
  <c r="P9" i="6" s="1"/>
  <c r="H23" i="3"/>
  <c r="G18" i="6"/>
  <c r="H18" i="6" s="1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H127" i="6" l="1"/>
  <c r="H119" i="6"/>
  <c r="H111" i="6"/>
  <c r="H103" i="6"/>
  <c r="H95" i="6"/>
  <c r="H87" i="6"/>
  <c r="H79" i="6"/>
  <c r="H71" i="6"/>
  <c r="H63" i="6"/>
  <c r="H55" i="6"/>
  <c r="H47" i="6"/>
  <c r="H39" i="6"/>
  <c r="H31" i="6"/>
  <c r="H23" i="6"/>
  <c r="H133" i="6"/>
  <c r="H125" i="6"/>
  <c r="H117" i="6"/>
  <c r="H109" i="6"/>
  <c r="H101" i="6"/>
  <c r="H93" i="6"/>
  <c r="H85" i="6"/>
  <c r="H77" i="6"/>
  <c r="H69" i="6"/>
  <c r="H61" i="6"/>
  <c r="H53" i="6"/>
  <c r="H45" i="6"/>
  <c r="H37" i="6"/>
  <c r="H29" i="6"/>
  <c r="H21" i="6"/>
  <c r="H129" i="6"/>
  <c r="H121" i="6"/>
  <c r="H113" i="6"/>
  <c r="H105" i="6"/>
  <c r="H97" i="6"/>
  <c r="H89" i="6"/>
  <c r="H81" i="6"/>
  <c r="H73" i="6"/>
  <c r="H65" i="6"/>
  <c r="H57" i="6"/>
  <c r="H49" i="6"/>
  <c r="H41" i="6"/>
  <c r="H33" i="6"/>
  <c r="H25" i="6"/>
  <c r="H128" i="6"/>
  <c r="H120" i="6"/>
  <c r="H112" i="6"/>
  <c r="H104" i="6"/>
  <c r="H96" i="6"/>
  <c r="H88" i="6"/>
  <c r="H80" i="6"/>
  <c r="H72" i="6"/>
  <c r="H64" i="6"/>
  <c r="H56" i="6"/>
  <c r="H48" i="6"/>
  <c r="H40" i="6"/>
  <c r="H32" i="6"/>
  <c r="H24" i="6"/>
  <c r="H132" i="6"/>
  <c r="H124" i="6"/>
  <c r="H116" i="6"/>
  <c r="H108" i="6"/>
  <c r="H100" i="6"/>
  <c r="H92" i="6"/>
  <c r="H84" i="6"/>
  <c r="H76" i="6"/>
  <c r="H68" i="6"/>
  <c r="H60" i="6"/>
  <c r="H52" i="6"/>
  <c r="H44" i="6"/>
  <c r="H36" i="6"/>
  <c r="H28" i="6"/>
  <c r="H20" i="6"/>
  <c r="H130" i="6"/>
  <c r="H122" i="6"/>
  <c r="H114" i="6"/>
  <c r="H106" i="6"/>
  <c r="H98" i="6"/>
  <c r="H90" i="6"/>
  <c r="H82" i="6"/>
  <c r="H74" i="6"/>
  <c r="H66" i="6"/>
  <c r="H58" i="6"/>
  <c r="H50" i="6"/>
  <c r="H42" i="6"/>
  <c r="H34" i="6"/>
  <c r="H26" i="6"/>
  <c r="O4" i="4"/>
  <c r="M9" i="3"/>
  <c r="O4" i="5"/>
  <c r="H134" i="6"/>
  <c r="H126" i="6"/>
  <c r="H118" i="6"/>
  <c r="H110" i="6"/>
  <c r="H102" i="6"/>
  <c r="H94" i="6"/>
  <c r="H86" i="6"/>
  <c r="H78" i="6"/>
  <c r="H70" i="6"/>
  <c r="H62" i="6"/>
  <c r="H54" i="6"/>
  <c r="H46" i="6"/>
  <c r="H38" i="6"/>
  <c r="H30" i="6"/>
  <c r="H22" i="6"/>
  <c r="K23" i="3"/>
  <c r="M10" i="3" s="1"/>
  <c r="P10" i="6" s="1"/>
  <c r="J23" i="3"/>
  <c r="L23" i="3" s="1"/>
  <c r="M11" i="3" s="1"/>
  <c r="P11" i="6" s="1"/>
  <c r="E18" i="3"/>
  <c r="B18" i="6" s="1"/>
  <c r="E19" i="3"/>
  <c r="B19" i="6" s="1"/>
  <c r="E20" i="3"/>
  <c r="B20" i="6" s="1"/>
  <c r="E21" i="3"/>
  <c r="B21" i="6" s="1"/>
  <c r="E22" i="3"/>
  <c r="B22" i="6" s="1"/>
  <c r="E23" i="3"/>
  <c r="B23" i="6" s="1"/>
  <c r="E24" i="3"/>
  <c r="B24" i="6" s="1"/>
  <c r="E25" i="3"/>
  <c r="B25" i="6" s="1"/>
  <c r="E26" i="3"/>
  <c r="B26" i="6" s="1"/>
  <c r="E27" i="3"/>
  <c r="B27" i="6" s="1"/>
  <c r="E28" i="3"/>
  <c r="B28" i="6" s="1"/>
  <c r="E29" i="3"/>
  <c r="B29" i="6" s="1"/>
  <c r="E30" i="3"/>
  <c r="B30" i="6" s="1"/>
  <c r="E31" i="3"/>
  <c r="B31" i="6" s="1"/>
  <c r="E32" i="3"/>
  <c r="B32" i="6" s="1"/>
  <c r="E33" i="3"/>
  <c r="B33" i="6" s="1"/>
  <c r="E34" i="3"/>
  <c r="B34" i="6" s="1"/>
  <c r="E35" i="3"/>
  <c r="B35" i="6" s="1"/>
  <c r="E36" i="3"/>
  <c r="B36" i="6" s="1"/>
  <c r="E37" i="3"/>
  <c r="B37" i="6" s="1"/>
  <c r="E38" i="3"/>
  <c r="B38" i="6" s="1"/>
  <c r="E39" i="3"/>
  <c r="B39" i="6" s="1"/>
  <c r="E40" i="3"/>
  <c r="B40" i="6" s="1"/>
  <c r="E41" i="3"/>
  <c r="B41" i="6" s="1"/>
  <c r="E42" i="3"/>
  <c r="B42" i="6" s="1"/>
  <c r="E43" i="3"/>
  <c r="B43" i="6" s="1"/>
  <c r="E44" i="3"/>
  <c r="B44" i="6" s="1"/>
  <c r="E45" i="3"/>
  <c r="B45" i="6" s="1"/>
  <c r="E46" i="3"/>
  <c r="B46" i="6" s="1"/>
  <c r="E47" i="3"/>
  <c r="B47" i="6" s="1"/>
  <c r="E48" i="3"/>
  <c r="B48" i="6" s="1"/>
  <c r="E49" i="3"/>
  <c r="B49" i="6" s="1"/>
  <c r="E50" i="3"/>
  <c r="B50" i="6" s="1"/>
  <c r="E51" i="3"/>
  <c r="B51" i="6" s="1"/>
  <c r="E52" i="3"/>
  <c r="B52" i="6" s="1"/>
  <c r="E53" i="3"/>
  <c r="B53" i="6" s="1"/>
  <c r="E54" i="3"/>
  <c r="B54" i="6" s="1"/>
  <c r="E55" i="3"/>
  <c r="B55" i="6" s="1"/>
  <c r="E56" i="3"/>
  <c r="B56" i="6" s="1"/>
  <c r="E57" i="3"/>
  <c r="B57" i="6" s="1"/>
  <c r="E58" i="3"/>
  <c r="B58" i="6" s="1"/>
  <c r="E59" i="3"/>
  <c r="B59" i="6" s="1"/>
  <c r="E60" i="3"/>
  <c r="B60" i="6" s="1"/>
  <c r="E61" i="3"/>
  <c r="B61" i="6" s="1"/>
  <c r="E62" i="3"/>
  <c r="B62" i="6" s="1"/>
  <c r="E63" i="3"/>
  <c r="B63" i="6" s="1"/>
  <c r="E64" i="3"/>
  <c r="B64" i="6" s="1"/>
  <c r="E65" i="3"/>
  <c r="B65" i="6" s="1"/>
  <c r="E66" i="3"/>
  <c r="B66" i="6" s="1"/>
  <c r="E67" i="3"/>
  <c r="B67" i="6" s="1"/>
  <c r="E68" i="3"/>
  <c r="B68" i="6" s="1"/>
  <c r="E69" i="3"/>
  <c r="B69" i="6" s="1"/>
  <c r="E70" i="3"/>
  <c r="B70" i="6" s="1"/>
  <c r="E71" i="3"/>
  <c r="B71" i="6" s="1"/>
  <c r="E72" i="3"/>
  <c r="B72" i="6" s="1"/>
  <c r="E73" i="3"/>
  <c r="B73" i="6" s="1"/>
  <c r="E74" i="3"/>
  <c r="B74" i="6" s="1"/>
  <c r="E75" i="3"/>
  <c r="B75" i="6" s="1"/>
  <c r="E76" i="3"/>
  <c r="B76" i="6" s="1"/>
  <c r="E77" i="3"/>
  <c r="B77" i="6" s="1"/>
  <c r="E78" i="3"/>
  <c r="B78" i="6" s="1"/>
  <c r="E79" i="3"/>
  <c r="B79" i="6" s="1"/>
  <c r="E80" i="3"/>
  <c r="B80" i="6" s="1"/>
  <c r="E81" i="3"/>
  <c r="B81" i="6" s="1"/>
  <c r="E82" i="3"/>
  <c r="B82" i="6" s="1"/>
  <c r="E83" i="3"/>
  <c r="B83" i="6" s="1"/>
  <c r="E84" i="3"/>
  <c r="B84" i="6" s="1"/>
  <c r="E85" i="3"/>
  <c r="B85" i="6" s="1"/>
  <c r="E86" i="3"/>
  <c r="B86" i="6" s="1"/>
  <c r="E87" i="3"/>
  <c r="B87" i="6" s="1"/>
  <c r="E88" i="3"/>
  <c r="B88" i="6" s="1"/>
  <c r="E89" i="3"/>
  <c r="B89" i="6" s="1"/>
  <c r="E90" i="3"/>
  <c r="B90" i="6" s="1"/>
  <c r="E91" i="3"/>
  <c r="B91" i="6" s="1"/>
  <c r="E92" i="3"/>
  <c r="B92" i="6" s="1"/>
  <c r="E93" i="3"/>
  <c r="B93" i="6" s="1"/>
  <c r="E94" i="3"/>
  <c r="B94" i="6" s="1"/>
  <c r="E95" i="3"/>
  <c r="B95" i="6" s="1"/>
  <c r="E96" i="3"/>
  <c r="B96" i="6" s="1"/>
  <c r="E97" i="3"/>
  <c r="B97" i="6" s="1"/>
  <c r="E98" i="3"/>
  <c r="B98" i="6" s="1"/>
  <c r="E99" i="3"/>
  <c r="B99" i="6" s="1"/>
  <c r="E100" i="3"/>
  <c r="B100" i="6" s="1"/>
  <c r="E101" i="3"/>
  <c r="B101" i="6" s="1"/>
  <c r="E102" i="3"/>
  <c r="B102" i="6" s="1"/>
  <c r="E103" i="3"/>
  <c r="B103" i="6" s="1"/>
  <c r="E104" i="3"/>
  <c r="B104" i="6" s="1"/>
  <c r="E105" i="3"/>
  <c r="B105" i="6" s="1"/>
  <c r="E106" i="3"/>
  <c r="B106" i="6" s="1"/>
  <c r="E107" i="3"/>
  <c r="B107" i="6" s="1"/>
  <c r="E108" i="3"/>
  <c r="B108" i="6" s="1"/>
  <c r="E109" i="3"/>
  <c r="B109" i="6" s="1"/>
  <c r="E110" i="3"/>
  <c r="B110" i="6" s="1"/>
  <c r="E111" i="3"/>
  <c r="B111" i="6" s="1"/>
  <c r="E112" i="3"/>
  <c r="B112" i="6" s="1"/>
  <c r="E113" i="3"/>
  <c r="B113" i="6" s="1"/>
  <c r="E114" i="3"/>
  <c r="B114" i="6" s="1"/>
  <c r="E115" i="3"/>
  <c r="B115" i="6" s="1"/>
  <c r="E116" i="3"/>
  <c r="B116" i="6" s="1"/>
  <c r="E117" i="3"/>
  <c r="B117" i="6" s="1"/>
  <c r="E118" i="3"/>
  <c r="B118" i="6" s="1"/>
  <c r="E119" i="3"/>
  <c r="B119" i="6" s="1"/>
  <c r="E120" i="3"/>
  <c r="B120" i="6" s="1"/>
  <c r="E121" i="3"/>
  <c r="B121" i="6" s="1"/>
  <c r="E122" i="3"/>
  <c r="B122" i="6" s="1"/>
  <c r="E123" i="3"/>
  <c r="B123" i="6" s="1"/>
  <c r="E124" i="3"/>
  <c r="B124" i="6" s="1"/>
  <c r="E125" i="3"/>
  <c r="B125" i="6" s="1"/>
  <c r="E126" i="3"/>
  <c r="B126" i="6" s="1"/>
  <c r="E127" i="3"/>
  <c r="B127" i="6" s="1"/>
  <c r="E128" i="3"/>
  <c r="B128" i="6" s="1"/>
  <c r="E129" i="3"/>
  <c r="B129" i="6" s="1"/>
  <c r="E130" i="3"/>
  <c r="B130" i="6" s="1"/>
  <c r="E131" i="3"/>
  <c r="B131" i="6" s="1"/>
  <c r="E132" i="3"/>
  <c r="B132" i="6" s="1"/>
  <c r="E133" i="3"/>
  <c r="B133" i="6" s="1"/>
  <c r="E134" i="3"/>
  <c r="B134" i="6" s="1"/>
  <c r="E135" i="3"/>
  <c r="B135" i="6" s="1"/>
  <c r="E136" i="3"/>
  <c r="B136" i="6" s="1"/>
  <c r="H131" i="6"/>
  <c r="H123" i="6"/>
  <c r="H115" i="6"/>
  <c r="H107" i="6"/>
  <c r="H99" i="6"/>
  <c r="H91" i="6"/>
  <c r="H83" i="6"/>
  <c r="H75" i="6"/>
  <c r="H67" i="6"/>
  <c r="H59" i="6"/>
  <c r="H51" i="6"/>
  <c r="H43" i="6"/>
  <c r="H35" i="6"/>
  <c r="H27" i="6"/>
  <c r="H19" i="6"/>
  <c r="H135" i="6"/>
  <c r="K80" i="6" l="1"/>
  <c r="K103" i="6"/>
  <c r="F120" i="3"/>
  <c r="J120" i="6" s="1"/>
  <c r="F104" i="3"/>
  <c r="J104" i="6" s="1"/>
  <c r="F72" i="3"/>
  <c r="J72" i="6" s="1"/>
  <c r="F64" i="3"/>
  <c r="J64" i="6" s="1"/>
  <c r="F40" i="3"/>
  <c r="J40" i="6" s="1"/>
  <c r="F24" i="3"/>
  <c r="J24" i="6" s="1"/>
  <c r="K115" i="6"/>
  <c r="K124" i="6"/>
  <c r="K20" i="6"/>
  <c r="K54" i="6"/>
  <c r="K57" i="6"/>
  <c r="K45" i="6"/>
  <c r="K89" i="6"/>
  <c r="F111" i="3"/>
  <c r="J111" i="6" s="1"/>
  <c r="F95" i="3"/>
  <c r="J95" i="6" s="1"/>
  <c r="F71" i="3"/>
  <c r="J71" i="6" s="1"/>
  <c r="F39" i="3"/>
  <c r="J39" i="6" s="1"/>
  <c r="F23" i="3"/>
  <c r="J23" i="6" s="1"/>
  <c r="K67" i="6"/>
  <c r="K105" i="6"/>
  <c r="K41" i="6"/>
  <c r="F129" i="3"/>
  <c r="J129" i="6" s="1"/>
  <c r="F121" i="3"/>
  <c r="J121" i="6" s="1"/>
  <c r="F113" i="3"/>
  <c r="J113" i="6" s="1"/>
  <c r="F105" i="3"/>
  <c r="J105" i="6" s="1"/>
  <c r="F97" i="3"/>
  <c r="J97" i="6" s="1"/>
  <c r="F89" i="3"/>
  <c r="J89" i="6" s="1"/>
  <c r="F81" i="3"/>
  <c r="J81" i="6" s="1"/>
  <c r="F73" i="3"/>
  <c r="J73" i="6" s="1"/>
  <c r="F65" i="3"/>
  <c r="J65" i="6" s="1"/>
  <c r="F57" i="3"/>
  <c r="J57" i="6" s="1"/>
  <c r="F49" i="3"/>
  <c r="J49" i="6" s="1"/>
  <c r="F41" i="3"/>
  <c r="J41" i="6" s="1"/>
  <c r="F33" i="3"/>
  <c r="J33" i="6" s="1"/>
  <c r="F25" i="3"/>
  <c r="J25" i="6" s="1"/>
  <c r="O6" i="4"/>
  <c r="O6" i="5"/>
  <c r="K135" i="6"/>
  <c r="K87" i="6"/>
  <c r="K123" i="6"/>
  <c r="K55" i="6"/>
  <c r="K122" i="6"/>
  <c r="K62" i="6"/>
  <c r="K100" i="6"/>
  <c r="K133" i="6"/>
  <c r="K81" i="6"/>
  <c r="K125" i="6"/>
  <c r="K77" i="6"/>
  <c r="K120" i="6"/>
  <c r="K36" i="6"/>
  <c r="K93" i="6"/>
  <c r="F63" i="3"/>
  <c r="J63" i="6" s="1"/>
  <c r="K128" i="6"/>
  <c r="K51" i="6"/>
  <c r="K65" i="6"/>
  <c r="F134" i="3"/>
  <c r="J134" i="6" s="1"/>
  <c r="F126" i="3"/>
  <c r="J126" i="6" s="1"/>
  <c r="F118" i="3"/>
  <c r="J118" i="6" s="1"/>
  <c r="F110" i="3"/>
  <c r="J110" i="6" s="1"/>
  <c r="F102" i="3"/>
  <c r="J102" i="6" s="1"/>
  <c r="F94" i="3"/>
  <c r="J94" i="6" s="1"/>
  <c r="F86" i="3"/>
  <c r="J86" i="6" s="1"/>
  <c r="F78" i="3"/>
  <c r="J78" i="6" s="1"/>
  <c r="F70" i="3"/>
  <c r="J70" i="6" s="1"/>
  <c r="F62" i="3"/>
  <c r="J62" i="6" s="1"/>
  <c r="F54" i="3"/>
  <c r="J54" i="6" s="1"/>
  <c r="F46" i="3"/>
  <c r="J46" i="6" s="1"/>
  <c r="F38" i="3"/>
  <c r="J38" i="6" s="1"/>
  <c r="F30" i="3"/>
  <c r="J30" i="6" s="1"/>
  <c r="F22" i="3"/>
  <c r="J22" i="6" s="1"/>
  <c r="K72" i="6"/>
  <c r="K134" i="6"/>
  <c r="K82" i="6"/>
  <c r="K98" i="6"/>
  <c r="K30" i="6"/>
  <c r="K132" i="6"/>
  <c r="K34" i="6"/>
  <c r="K127" i="6"/>
  <c r="K19" i="6"/>
  <c r="K42" i="6"/>
  <c r="K18" i="6"/>
  <c r="K43" i="6"/>
  <c r="K88" i="6"/>
  <c r="K56" i="6"/>
  <c r="K74" i="6"/>
  <c r="F128" i="3"/>
  <c r="J128" i="6" s="1"/>
  <c r="F80" i="3"/>
  <c r="J80" i="6" s="1"/>
  <c r="F32" i="3"/>
  <c r="J32" i="6" s="1"/>
  <c r="K101" i="6"/>
  <c r="F127" i="3"/>
  <c r="J127" i="6" s="1"/>
  <c r="F79" i="3"/>
  <c r="J79" i="6" s="1"/>
  <c r="K68" i="6"/>
  <c r="K24" i="6"/>
  <c r="K129" i="6"/>
  <c r="K70" i="6"/>
  <c r="F133" i="3"/>
  <c r="J133" i="6" s="1"/>
  <c r="F125" i="3"/>
  <c r="J125" i="6" s="1"/>
  <c r="F117" i="3"/>
  <c r="J117" i="6" s="1"/>
  <c r="F109" i="3"/>
  <c r="J109" i="6" s="1"/>
  <c r="F101" i="3"/>
  <c r="J101" i="6" s="1"/>
  <c r="F93" i="3"/>
  <c r="J93" i="6" s="1"/>
  <c r="F85" i="3"/>
  <c r="J85" i="6" s="1"/>
  <c r="F77" i="3"/>
  <c r="J77" i="6" s="1"/>
  <c r="F69" i="3"/>
  <c r="J69" i="6" s="1"/>
  <c r="F61" i="3"/>
  <c r="J61" i="6" s="1"/>
  <c r="F53" i="3"/>
  <c r="J53" i="6" s="1"/>
  <c r="F45" i="3"/>
  <c r="J45" i="6" s="1"/>
  <c r="F37" i="3"/>
  <c r="J37" i="6" s="1"/>
  <c r="F29" i="3"/>
  <c r="J29" i="6" s="1"/>
  <c r="F21" i="3"/>
  <c r="J21" i="6" s="1"/>
  <c r="K48" i="6"/>
  <c r="K118" i="6"/>
  <c r="K114" i="6"/>
  <c r="K49" i="6"/>
  <c r="K95" i="6"/>
  <c r="K44" i="6"/>
  <c r="K23" i="6"/>
  <c r="K59" i="6"/>
  <c r="K79" i="6"/>
  <c r="K108" i="6"/>
  <c r="K73" i="6"/>
  <c r="K61" i="6"/>
  <c r="K91" i="6"/>
  <c r="K94" i="6"/>
  <c r="F112" i="3"/>
  <c r="J112" i="6" s="1"/>
  <c r="O5" i="4"/>
  <c r="O5" i="5"/>
  <c r="K66" i="6"/>
  <c r="K32" i="6"/>
  <c r="K96" i="6"/>
  <c r="F103" i="3"/>
  <c r="J103" i="6" s="1"/>
  <c r="F47" i="3"/>
  <c r="J47" i="6" s="1"/>
  <c r="K38" i="6"/>
  <c r="K63" i="6"/>
  <c r="F132" i="3"/>
  <c r="J132" i="6" s="1"/>
  <c r="F124" i="3"/>
  <c r="J124" i="6" s="1"/>
  <c r="F116" i="3"/>
  <c r="J116" i="6" s="1"/>
  <c r="F108" i="3"/>
  <c r="J108" i="6" s="1"/>
  <c r="F100" i="3"/>
  <c r="J100" i="6" s="1"/>
  <c r="F92" i="3"/>
  <c r="J92" i="6" s="1"/>
  <c r="F84" i="3"/>
  <c r="J84" i="6" s="1"/>
  <c r="F76" i="3"/>
  <c r="J76" i="6" s="1"/>
  <c r="F68" i="3"/>
  <c r="J68" i="6" s="1"/>
  <c r="F60" i="3"/>
  <c r="J60" i="6" s="1"/>
  <c r="F52" i="3"/>
  <c r="J52" i="6" s="1"/>
  <c r="F44" i="3"/>
  <c r="J44" i="6" s="1"/>
  <c r="F36" i="3"/>
  <c r="J36" i="6" s="1"/>
  <c r="F28" i="3"/>
  <c r="J28" i="6" s="1"/>
  <c r="F20" i="3"/>
  <c r="J20" i="6" s="1"/>
  <c r="K52" i="6"/>
  <c r="K131" i="6"/>
  <c r="K97" i="6"/>
  <c r="K35" i="6"/>
  <c r="K47" i="6"/>
  <c r="K85" i="6"/>
  <c r="K83" i="6"/>
  <c r="K29" i="6"/>
  <c r="K26" i="6"/>
  <c r="K111" i="6"/>
  <c r="K39" i="6"/>
  <c r="K50" i="6"/>
  <c r="K28" i="6"/>
  <c r="K102" i="6"/>
  <c r="K78" i="6"/>
  <c r="F136" i="3"/>
  <c r="J136" i="6" s="1"/>
  <c r="F96" i="3"/>
  <c r="J96" i="6" s="1"/>
  <c r="F56" i="3"/>
  <c r="J56" i="6" s="1"/>
  <c r="K109" i="6"/>
  <c r="K106" i="6"/>
  <c r="F119" i="3"/>
  <c r="J119" i="6" s="1"/>
  <c r="F55" i="3"/>
  <c r="J55" i="6" s="1"/>
  <c r="K46" i="6"/>
  <c r="K33" i="6"/>
  <c r="F131" i="3"/>
  <c r="J131" i="6" s="1"/>
  <c r="F123" i="3"/>
  <c r="J123" i="6" s="1"/>
  <c r="F115" i="3"/>
  <c r="J115" i="6" s="1"/>
  <c r="F107" i="3"/>
  <c r="J107" i="6" s="1"/>
  <c r="F99" i="3"/>
  <c r="J99" i="6" s="1"/>
  <c r="F91" i="3"/>
  <c r="J91" i="6" s="1"/>
  <c r="F83" i="3"/>
  <c r="J83" i="6" s="1"/>
  <c r="F75" i="3"/>
  <c r="J75" i="6" s="1"/>
  <c r="F67" i="3"/>
  <c r="J67" i="6" s="1"/>
  <c r="F59" i="3"/>
  <c r="J59" i="6" s="1"/>
  <c r="F51" i="3"/>
  <c r="J51" i="6" s="1"/>
  <c r="F43" i="3"/>
  <c r="J43" i="6" s="1"/>
  <c r="F35" i="3"/>
  <c r="J35" i="6" s="1"/>
  <c r="F27" i="3"/>
  <c r="J27" i="6" s="1"/>
  <c r="F19" i="3"/>
  <c r="J19" i="6" s="1"/>
  <c r="K75" i="6"/>
  <c r="K40" i="6"/>
  <c r="K86" i="6"/>
  <c r="K71" i="6"/>
  <c r="K21" i="6"/>
  <c r="K64" i="6"/>
  <c r="K126" i="6"/>
  <c r="K104" i="6"/>
  <c r="K117" i="6"/>
  <c r="K119" i="6"/>
  <c r="K53" i="6"/>
  <c r="K76" i="6"/>
  <c r="K136" i="6"/>
  <c r="K69" i="6"/>
  <c r="K58" i="6"/>
  <c r="F88" i="3"/>
  <c r="J88" i="6" s="1"/>
  <c r="F48" i="3"/>
  <c r="J48" i="6" s="1"/>
  <c r="K90" i="6"/>
  <c r="F135" i="3"/>
  <c r="J135" i="6" s="1"/>
  <c r="F87" i="3"/>
  <c r="J87" i="6" s="1"/>
  <c r="F31" i="3"/>
  <c r="J31" i="6" s="1"/>
  <c r="K121" i="6"/>
  <c r="F130" i="3"/>
  <c r="J130" i="6" s="1"/>
  <c r="F122" i="3"/>
  <c r="J122" i="6" s="1"/>
  <c r="F114" i="3"/>
  <c r="J114" i="6" s="1"/>
  <c r="F106" i="3"/>
  <c r="J106" i="6" s="1"/>
  <c r="F98" i="3"/>
  <c r="J98" i="6" s="1"/>
  <c r="F90" i="3"/>
  <c r="J90" i="6" s="1"/>
  <c r="F82" i="3"/>
  <c r="J82" i="6" s="1"/>
  <c r="F74" i="3"/>
  <c r="J74" i="6" s="1"/>
  <c r="F66" i="3"/>
  <c r="J66" i="6" s="1"/>
  <c r="F58" i="3"/>
  <c r="J58" i="6" s="1"/>
  <c r="F50" i="3"/>
  <c r="J50" i="6" s="1"/>
  <c r="F42" i="3"/>
  <c r="J42" i="6" s="1"/>
  <c r="F34" i="3"/>
  <c r="J34" i="6" s="1"/>
  <c r="F26" i="3"/>
  <c r="J26" i="6" s="1"/>
  <c r="F18" i="3"/>
  <c r="J18" i="6" s="1"/>
  <c r="K27" i="6"/>
  <c r="K107" i="6"/>
  <c r="K110" i="6"/>
  <c r="K112" i="6"/>
  <c r="K113" i="6"/>
  <c r="K99" i="6"/>
  <c r="K60" i="6"/>
  <c r="K37" i="6"/>
  <c r="K22" i="6"/>
  <c r="K116" i="6"/>
  <c r="K92" i="6"/>
  <c r="K25" i="6"/>
  <c r="K130" i="6"/>
  <c r="K84" i="6"/>
  <c r="K31" i="6"/>
  <c r="D132" i="6" l="1"/>
  <c r="C132" i="6"/>
  <c r="D133" i="6"/>
  <c r="C133" i="6"/>
  <c r="AO9" i="6"/>
  <c r="C26" i="6"/>
  <c r="D26" i="6"/>
  <c r="C90" i="6"/>
  <c r="D90" i="6"/>
  <c r="D122" i="6"/>
  <c r="C122" i="6"/>
  <c r="D44" i="6"/>
  <c r="C44" i="6"/>
  <c r="D76" i="6"/>
  <c r="C76" i="6"/>
  <c r="D108" i="6"/>
  <c r="C108" i="6"/>
  <c r="D63" i="6"/>
  <c r="C63" i="6"/>
  <c r="D81" i="6"/>
  <c r="C81" i="6"/>
  <c r="AO17" i="6"/>
  <c r="D113" i="6"/>
  <c r="C113" i="6"/>
  <c r="D95" i="6"/>
  <c r="C95" i="6"/>
  <c r="AO15" i="6"/>
  <c r="C82" i="6"/>
  <c r="D82" i="6"/>
  <c r="D55" i="6"/>
  <c r="C55" i="6"/>
  <c r="AO21" i="6"/>
  <c r="D66" i="6"/>
  <c r="C66" i="6"/>
  <c r="D135" i="6"/>
  <c r="C135" i="6"/>
  <c r="AO8" i="6"/>
  <c r="D27" i="6"/>
  <c r="C27" i="6"/>
  <c r="D59" i="6"/>
  <c r="C59" i="6"/>
  <c r="D91" i="6"/>
  <c r="C91" i="6"/>
  <c r="AO16" i="6"/>
  <c r="D123" i="6"/>
  <c r="C123" i="6"/>
  <c r="C119" i="6"/>
  <c r="D119" i="6"/>
  <c r="D136" i="6"/>
  <c r="C136" i="6"/>
  <c r="D45" i="6"/>
  <c r="C45" i="6"/>
  <c r="D77" i="6"/>
  <c r="C77" i="6"/>
  <c r="D109" i="6"/>
  <c r="C109" i="6"/>
  <c r="D30" i="6"/>
  <c r="C30" i="6"/>
  <c r="D62" i="6"/>
  <c r="C62" i="6"/>
  <c r="D94" i="6"/>
  <c r="C94" i="6"/>
  <c r="D126" i="6"/>
  <c r="C126" i="6"/>
  <c r="D72" i="6"/>
  <c r="C72" i="6"/>
  <c r="D105" i="6"/>
  <c r="C105" i="6"/>
  <c r="D115" i="6"/>
  <c r="C115" i="6"/>
  <c r="D37" i="6"/>
  <c r="C37" i="6"/>
  <c r="D34" i="6"/>
  <c r="C34" i="6"/>
  <c r="D98" i="6"/>
  <c r="C98" i="6"/>
  <c r="D130" i="6"/>
  <c r="C130" i="6"/>
  <c r="D20" i="6"/>
  <c r="C20" i="6"/>
  <c r="D52" i="6"/>
  <c r="C52" i="6"/>
  <c r="D84" i="6"/>
  <c r="C84" i="6"/>
  <c r="D116" i="6"/>
  <c r="C116" i="6"/>
  <c r="D47" i="6"/>
  <c r="C47" i="6"/>
  <c r="AO22" i="6"/>
  <c r="D32" i="6"/>
  <c r="C32" i="6"/>
  <c r="D25" i="6"/>
  <c r="C25" i="6"/>
  <c r="D57" i="6"/>
  <c r="C57" i="6"/>
  <c r="D89" i="6"/>
  <c r="C89" i="6"/>
  <c r="D121" i="6"/>
  <c r="C121" i="6"/>
  <c r="D23" i="6"/>
  <c r="C23" i="6"/>
  <c r="D111" i="6"/>
  <c r="C111" i="6"/>
  <c r="D71" i="6"/>
  <c r="C71" i="6"/>
  <c r="D87" i="6"/>
  <c r="C87" i="6"/>
  <c r="C83" i="6"/>
  <c r="D83" i="6"/>
  <c r="D96" i="6"/>
  <c r="C96" i="6"/>
  <c r="D101" i="6"/>
  <c r="C101" i="6"/>
  <c r="D86" i="6"/>
  <c r="C86" i="6"/>
  <c r="D42" i="6"/>
  <c r="C42" i="6"/>
  <c r="AO23" i="6"/>
  <c r="D35" i="6"/>
  <c r="C35" i="6"/>
  <c r="D67" i="6"/>
  <c r="C67" i="6"/>
  <c r="D99" i="6"/>
  <c r="C99" i="6"/>
  <c r="AO14" i="6"/>
  <c r="D131" i="6"/>
  <c r="C131" i="6"/>
  <c r="D112" i="6"/>
  <c r="C112" i="6"/>
  <c r="C21" i="6"/>
  <c r="D21" i="6"/>
  <c r="D53" i="6"/>
  <c r="C53" i="6"/>
  <c r="D85" i="6"/>
  <c r="C85" i="6"/>
  <c r="D117" i="6"/>
  <c r="C117" i="6"/>
  <c r="AO12" i="6"/>
  <c r="D38" i="6"/>
  <c r="C38" i="6"/>
  <c r="D70" i="6"/>
  <c r="C70" i="6"/>
  <c r="D102" i="6"/>
  <c r="C102" i="6"/>
  <c r="D134" i="6"/>
  <c r="C134" i="6"/>
  <c r="D65" i="6"/>
  <c r="C65" i="6"/>
  <c r="D24" i="6"/>
  <c r="C24" i="6"/>
  <c r="D104" i="6"/>
  <c r="C104" i="6"/>
  <c r="D18" i="6"/>
  <c r="C18" i="6"/>
  <c r="AO27" i="6"/>
  <c r="AP27" i="6" s="1"/>
  <c r="D114" i="6"/>
  <c r="C114" i="6"/>
  <c r="D88" i="6"/>
  <c r="C88" i="6"/>
  <c r="D68" i="6"/>
  <c r="C68" i="6"/>
  <c r="AO19" i="6"/>
  <c r="D128" i="6"/>
  <c r="C128" i="6"/>
  <c r="D51" i="6"/>
  <c r="C51" i="6"/>
  <c r="AO26" i="6"/>
  <c r="D22" i="6"/>
  <c r="C22" i="6"/>
  <c r="D118" i="6"/>
  <c r="C118" i="6"/>
  <c r="D64" i="6"/>
  <c r="C64" i="6"/>
  <c r="AO20" i="6"/>
  <c r="C74" i="6"/>
  <c r="D74" i="6"/>
  <c r="D106" i="6"/>
  <c r="C106" i="6"/>
  <c r="D31" i="6"/>
  <c r="C31" i="6"/>
  <c r="D48" i="6"/>
  <c r="C48" i="6"/>
  <c r="D28" i="6"/>
  <c r="C28" i="6"/>
  <c r="D60" i="6"/>
  <c r="C60" i="6"/>
  <c r="D92" i="6"/>
  <c r="C92" i="6"/>
  <c r="D124" i="6"/>
  <c r="C124" i="6"/>
  <c r="D103" i="6"/>
  <c r="C103" i="6"/>
  <c r="D80" i="6"/>
  <c r="C80" i="6"/>
  <c r="D33" i="6"/>
  <c r="C33" i="6"/>
  <c r="D97" i="6"/>
  <c r="C97" i="6"/>
  <c r="D129" i="6"/>
  <c r="C129" i="6"/>
  <c r="D39" i="6"/>
  <c r="C39" i="6"/>
  <c r="AO24" i="6"/>
  <c r="D40" i="6"/>
  <c r="C40" i="6"/>
  <c r="D36" i="6"/>
  <c r="C36" i="6"/>
  <c r="D100" i="6"/>
  <c r="C100" i="6"/>
  <c r="D73" i="6"/>
  <c r="C73" i="6"/>
  <c r="AO18" i="6"/>
  <c r="D58" i="6"/>
  <c r="C58" i="6"/>
  <c r="D19" i="6"/>
  <c r="C19" i="6"/>
  <c r="D69" i="6"/>
  <c r="C69" i="6"/>
  <c r="D127" i="6"/>
  <c r="C127" i="6"/>
  <c r="D54" i="6"/>
  <c r="C54" i="6"/>
  <c r="D49" i="6"/>
  <c r="C49" i="6"/>
  <c r="D50" i="6"/>
  <c r="C50" i="6"/>
  <c r="D43" i="6"/>
  <c r="C43" i="6"/>
  <c r="D75" i="6"/>
  <c r="C75" i="6"/>
  <c r="D107" i="6"/>
  <c r="C107" i="6"/>
  <c r="AO13" i="6"/>
  <c r="D56" i="6"/>
  <c r="C56" i="6"/>
  <c r="D29" i="6"/>
  <c r="C29" i="6"/>
  <c r="AO25" i="6"/>
  <c r="D61" i="6"/>
  <c r="C61" i="6"/>
  <c r="D93" i="6"/>
  <c r="C93" i="6"/>
  <c r="D125" i="6"/>
  <c r="C125" i="6"/>
  <c r="AO10" i="6"/>
  <c r="D79" i="6"/>
  <c r="C79" i="6"/>
  <c r="D46" i="6"/>
  <c r="C46" i="6"/>
  <c r="D78" i="6"/>
  <c r="C78" i="6"/>
  <c r="D110" i="6"/>
  <c r="C110" i="6"/>
  <c r="D41" i="6"/>
  <c r="C41" i="6"/>
  <c r="D120" i="6"/>
  <c r="C120" i="6"/>
  <c r="AO11" i="6"/>
  <c r="AP25" i="6" l="1"/>
  <c r="AP20" i="6"/>
  <c r="AP16" i="6"/>
  <c r="AP13" i="6"/>
  <c r="AP19" i="6"/>
  <c r="AP26" i="6"/>
  <c r="AP23" i="6"/>
  <c r="S27" i="6"/>
  <c r="W27" i="6" s="1"/>
  <c r="AP18" i="6"/>
  <c r="AP14" i="6"/>
  <c r="AP11" i="6"/>
  <c r="AP10" i="6"/>
  <c r="S75" i="6"/>
  <c r="W75" i="6" s="1"/>
  <c r="S36" i="6"/>
  <c r="W36" i="6" s="1"/>
  <c r="S88" i="6"/>
  <c r="W88" i="6" s="1"/>
  <c r="S104" i="6"/>
  <c r="W104" i="6" s="1"/>
  <c r="S102" i="6"/>
  <c r="W102" i="6" s="1"/>
  <c r="S35" i="6"/>
  <c r="W35" i="6" s="1"/>
  <c r="S47" i="6"/>
  <c r="W47" i="6" s="1"/>
  <c r="S20" i="6"/>
  <c r="W20" i="6" s="1"/>
  <c r="S37" i="6"/>
  <c r="W37" i="6" s="1"/>
  <c r="S126" i="6"/>
  <c r="W126" i="6" s="1"/>
  <c r="S109" i="6"/>
  <c r="W109" i="6" s="1"/>
  <c r="AP21" i="6"/>
  <c r="S108" i="6"/>
  <c r="W108" i="6" s="1"/>
  <c r="S54" i="6"/>
  <c r="W54" i="6" s="1"/>
  <c r="S48" i="6"/>
  <c r="W48" i="6" s="1"/>
  <c r="S96" i="6"/>
  <c r="W96" i="6" s="1"/>
  <c r="S26" i="6"/>
  <c r="W26" i="6" s="1"/>
  <c r="S125" i="6"/>
  <c r="W125" i="6" s="1"/>
  <c r="S43" i="6"/>
  <c r="W43" i="6" s="1"/>
  <c r="S40" i="6"/>
  <c r="W40" i="6" s="1"/>
  <c r="S64" i="6"/>
  <c r="W64" i="6" s="1"/>
  <c r="S114" i="6"/>
  <c r="W114" i="6" s="1"/>
  <c r="S24" i="6"/>
  <c r="W24" i="6" s="1"/>
  <c r="S70" i="6"/>
  <c r="W70" i="6" s="1"/>
  <c r="S83" i="6"/>
  <c r="W83" i="6" s="1"/>
  <c r="S116" i="6"/>
  <c r="W116" i="6" s="1"/>
  <c r="S130" i="6"/>
  <c r="W130" i="6" s="1"/>
  <c r="S115" i="6"/>
  <c r="W115" i="6" s="1"/>
  <c r="S94" i="6"/>
  <c r="W94" i="6" s="1"/>
  <c r="S77" i="6"/>
  <c r="W77" i="6" s="1"/>
  <c r="S123" i="6"/>
  <c r="W123" i="6" s="1"/>
  <c r="AP7" i="6"/>
  <c r="AP8" i="6"/>
  <c r="S55" i="6"/>
  <c r="W55" i="6" s="1"/>
  <c r="AP17" i="6"/>
  <c r="S76" i="6"/>
  <c r="W76" i="6" s="1"/>
  <c r="S29" i="6"/>
  <c r="W29" i="6" s="1"/>
  <c r="S113" i="6"/>
  <c r="W113" i="6" s="1"/>
  <c r="S78" i="6"/>
  <c r="W78" i="6" s="1"/>
  <c r="S56" i="6"/>
  <c r="W56" i="6" s="1"/>
  <c r="S127" i="6"/>
  <c r="W127" i="6" s="1"/>
  <c r="AP24" i="6"/>
  <c r="S33" i="6"/>
  <c r="W33" i="6" s="1"/>
  <c r="S92" i="6"/>
  <c r="W92" i="6" s="1"/>
  <c r="S31" i="6"/>
  <c r="W31" i="6" s="1"/>
  <c r="S128" i="6"/>
  <c r="W128" i="6" s="1"/>
  <c r="S53" i="6"/>
  <c r="W53" i="6" s="1"/>
  <c r="S42" i="6"/>
  <c r="W42" i="6" s="1"/>
  <c r="S23" i="6"/>
  <c r="W23" i="6" s="1"/>
  <c r="S25" i="6"/>
  <c r="W25" i="6" s="1"/>
  <c r="S82" i="6"/>
  <c r="W82" i="6" s="1"/>
  <c r="AP9" i="6"/>
  <c r="S58" i="6"/>
  <c r="W58" i="6" s="1"/>
  <c r="S97" i="6"/>
  <c r="W97" i="6" s="1"/>
  <c r="S51" i="6"/>
  <c r="W51" i="6" s="1"/>
  <c r="S131" i="6"/>
  <c r="W131" i="6" s="1"/>
  <c r="S57" i="6"/>
  <c r="W57" i="6" s="1"/>
  <c r="S93" i="6"/>
  <c r="W93" i="6" s="1"/>
  <c r="S50" i="6"/>
  <c r="W50" i="6" s="1"/>
  <c r="S73" i="6"/>
  <c r="W73" i="6" s="1"/>
  <c r="S118" i="6"/>
  <c r="W118" i="6" s="1"/>
  <c r="S65" i="6"/>
  <c r="W65" i="6" s="1"/>
  <c r="S38" i="6"/>
  <c r="W38" i="6" s="1"/>
  <c r="S21" i="6"/>
  <c r="W21" i="6" s="1"/>
  <c r="S99" i="6"/>
  <c r="W99" i="6" s="1"/>
  <c r="S84" i="6"/>
  <c r="W84" i="6" s="1"/>
  <c r="S98" i="6"/>
  <c r="W98" i="6" s="1"/>
  <c r="S105" i="6"/>
  <c r="W105" i="6" s="1"/>
  <c r="S62" i="6"/>
  <c r="W62" i="6" s="1"/>
  <c r="S45" i="6"/>
  <c r="W45" i="6" s="1"/>
  <c r="AC17" i="6"/>
  <c r="S135" i="6"/>
  <c r="W135" i="6" s="1"/>
  <c r="S81" i="6"/>
  <c r="W81" i="6" s="1"/>
  <c r="S44" i="6"/>
  <c r="W44" i="6" s="1"/>
  <c r="S110" i="6"/>
  <c r="W110" i="6" s="1"/>
  <c r="S124" i="6"/>
  <c r="W124" i="6" s="1"/>
  <c r="S85" i="6"/>
  <c r="W85" i="6" s="1"/>
  <c r="S111" i="6"/>
  <c r="W111" i="6" s="1"/>
  <c r="S120" i="6"/>
  <c r="W120" i="6" s="1"/>
  <c r="S46" i="6"/>
  <c r="W46" i="6" s="1"/>
  <c r="S69" i="6"/>
  <c r="W69" i="6" s="1"/>
  <c r="S39" i="6"/>
  <c r="W39" i="6" s="1"/>
  <c r="S80" i="6"/>
  <c r="W80" i="6" s="1"/>
  <c r="S60" i="6"/>
  <c r="W60" i="6" s="1"/>
  <c r="S106" i="6"/>
  <c r="W106" i="6" s="1"/>
  <c r="S18" i="6"/>
  <c r="W18" i="6" s="1"/>
  <c r="X18" i="6" s="1"/>
  <c r="AP12" i="6"/>
  <c r="S86" i="6"/>
  <c r="W86" i="6" s="1"/>
  <c r="S87" i="6"/>
  <c r="W87" i="6" s="1"/>
  <c r="S121" i="6"/>
  <c r="W121" i="6" s="1"/>
  <c r="S32" i="6"/>
  <c r="W32" i="6" s="1"/>
  <c r="S91" i="6"/>
  <c r="W91" i="6" s="1"/>
  <c r="AP15" i="6"/>
  <c r="S133" i="6"/>
  <c r="W133" i="6" s="1"/>
  <c r="S61" i="6"/>
  <c r="W61" i="6" s="1"/>
  <c r="S107" i="6"/>
  <c r="W107" i="6" s="1"/>
  <c r="S100" i="6"/>
  <c r="W100" i="6" s="1"/>
  <c r="S74" i="6"/>
  <c r="W74" i="6" s="1"/>
  <c r="S22" i="6"/>
  <c r="S68" i="6"/>
  <c r="W68" i="6" s="1"/>
  <c r="S134" i="6"/>
  <c r="W134" i="6" s="1"/>
  <c r="S67" i="6"/>
  <c r="W67" i="6" s="1"/>
  <c r="AP22" i="6"/>
  <c r="S52" i="6"/>
  <c r="W52" i="6" s="1"/>
  <c r="S34" i="6"/>
  <c r="W34" i="6" s="1"/>
  <c r="S72" i="6"/>
  <c r="W72" i="6" s="1"/>
  <c r="S30" i="6"/>
  <c r="W30" i="6" s="1"/>
  <c r="S136" i="6"/>
  <c r="W136" i="6" s="1"/>
  <c r="S66" i="6"/>
  <c r="W66" i="6" s="1"/>
  <c r="S63" i="6"/>
  <c r="W63" i="6" s="1"/>
  <c r="S122" i="6"/>
  <c r="W122" i="6" s="1"/>
  <c r="S41" i="6"/>
  <c r="W41" i="6" s="1"/>
  <c r="S79" i="6"/>
  <c r="W79" i="6" s="1"/>
  <c r="S49" i="6"/>
  <c r="W49" i="6" s="1"/>
  <c r="S19" i="6"/>
  <c r="W19" i="6" s="1"/>
  <c r="S129" i="6"/>
  <c r="W129" i="6" s="1"/>
  <c r="S103" i="6"/>
  <c r="W103" i="6" s="1"/>
  <c r="S28" i="6"/>
  <c r="W28" i="6" s="1"/>
  <c r="S117" i="6"/>
  <c r="W117" i="6" s="1"/>
  <c r="S112" i="6"/>
  <c r="W112" i="6" s="1"/>
  <c r="S101" i="6"/>
  <c r="W101" i="6" s="1"/>
  <c r="S71" i="6"/>
  <c r="W71" i="6" s="1"/>
  <c r="S89" i="6"/>
  <c r="W89" i="6" s="1"/>
  <c r="S119" i="6"/>
  <c r="W119" i="6" s="1"/>
  <c r="S59" i="6"/>
  <c r="W59" i="6" s="1"/>
  <c r="S95" i="6"/>
  <c r="W95" i="6" s="1"/>
  <c r="S90" i="6"/>
  <c r="W90" i="6" s="1"/>
  <c r="S132" i="6"/>
  <c r="W132" i="6" s="1"/>
  <c r="X19" i="6" l="1"/>
  <c r="X20" i="6" s="1"/>
  <c r="X21" i="6" s="1"/>
  <c r="W22" i="6"/>
  <c r="AD17" i="6"/>
  <c r="X22" i="6" l="1"/>
  <c r="X23" i="6" l="1"/>
  <c r="X24" i="6" l="1"/>
  <c r="X25" i="6" l="1"/>
  <c r="X26" i="6" l="1"/>
  <c r="X27" i="6" l="1"/>
  <c r="X28" i="6" l="1"/>
  <c r="X29" i="6" l="1"/>
  <c r="X30" i="6" l="1"/>
  <c r="X31" i="6" l="1"/>
  <c r="X32" i="6" l="1"/>
  <c r="X33" i="6" l="1"/>
  <c r="X34" i="6" l="1"/>
  <c r="X35" i="6" l="1"/>
  <c r="X36" i="6" l="1"/>
  <c r="X37" i="6" l="1"/>
  <c r="X38" i="6" l="1"/>
  <c r="X39" i="6" l="1"/>
  <c r="X40" i="6" l="1"/>
  <c r="X41" i="6" l="1"/>
  <c r="X42" i="6" l="1"/>
  <c r="X43" i="6" l="1"/>
  <c r="X44" i="6" l="1"/>
  <c r="X45" i="6" l="1"/>
  <c r="X46" i="6" l="1"/>
  <c r="X47" i="6" l="1"/>
  <c r="X48" i="6" l="1"/>
  <c r="X49" i="6" l="1"/>
  <c r="X50" i="6" l="1"/>
  <c r="X51" i="6" l="1"/>
  <c r="X52" i="6" l="1"/>
  <c r="X53" i="6" l="1"/>
  <c r="X54" i="6" l="1"/>
  <c r="X55" i="6" l="1"/>
  <c r="X56" i="6" l="1"/>
  <c r="X57" i="6" l="1"/>
  <c r="X58" i="6" l="1"/>
  <c r="X59" i="6" l="1"/>
  <c r="X60" i="6" l="1"/>
  <c r="X61" i="6" l="1"/>
  <c r="X62" i="6" l="1"/>
  <c r="X63" i="6" l="1"/>
  <c r="X64" i="6" l="1"/>
  <c r="X65" i="6" l="1"/>
  <c r="X66" i="6" l="1"/>
  <c r="X67" i="6" l="1"/>
  <c r="X68" i="6" l="1"/>
  <c r="X69" i="6" l="1"/>
  <c r="X70" i="6" l="1"/>
  <c r="X71" i="6" l="1"/>
  <c r="X72" i="6" l="1"/>
  <c r="X73" i="6" l="1"/>
  <c r="X74" i="6" l="1"/>
  <c r="X75" i="6" l="1"/>
  <c r="X76" i="6" l="1"/>
  <c r="X77" i="6" l="1"/>
  <c r="X78" i="6" l="1"/>
  <c r="X79" i="6" l="1"/>
  <c r="X80" i="6" l="1"/>
  <c r="X81" i="6" l="1"/>
  <c r="X82" i="6" l="1"/>
  <c r="X83" i="6" l="1"/>
  <c r="X84" i="6" l="1"/>
  <c r="X85" i="6" l="1"/>
  <c r="X86" i="6" l="1"/>
  <c r="X87" i="6" l="1"/>
  <c r="X88" i="6" l="1"/>
  <c r="X89" i="6" l="1"/>
  <c r="X90" i="6" l="1"/>
  <c r="X91" i="6" l="1"/>
  <c r="X92" i="6" l="1"/>
  <c r="X93" i="6" l="1"/>
  <c r="X94" i="6" l="1"/>
  <c r="X95" i="6" l="1"/>
  <c r="X96" i="6" l="1"/>
  <c r="X97" i="6" l="1"/>
  <c r="X98" i="6" l="1"/>
  <c r="X99" i="6" l="1"/>
  <c r="X100" i="6" l="1"/>
  <c r="X101" i="6" l="1"/>
  <c r="X102" i="6" l="1"/>
  <c r="X103" i="6" l="1"/>
  <c r="X104" i="6" l="1"/>
  <c r="X105" i="6" l="1"/>
  <c r="X106" i="6" l="1"/>
  <c r="X107" i="6" l="1"/>
  <c r="X108" i="6" l="1"/>
  <c r="X109" i="6" l="1"/>
  <c r="X110" i="6" l="1"/>
  <c r="X111" i="6" l="1"/>
  <c r="X112" i="6" l="1"/>
  <c r="X113" i="6" l="1"/>
  <c r="X114" i="6" l="1"/>
  <c r="X115" i="6" l="1"/>
  <c r="X116" i="6" l="1"/>
  <c r="X117" i="6" l="1"/>
  <c r="X118" i="6" l="1"/>
  <c r="X119" i="6" l="1"/>
  <c r="X120" i="6" l="1"/>
  <c r="X121" i="6" l="1"/>
  <c r="X122" i="6" l="1"/>
  <c r="X123" i="6" l="1"/>
  <c r="X124" i="6" l="1"/>
  <c r="X125" i="6" l="1"/>
  <c r="X126" i="6" l="1"/>
  <c r="X127" i="6" l="1"/>
  <c r="X128" i="6" l="1"/>
  <c r="X129" i="6" l="1"/>
  <c r="X130" i="6" l="1"/>
  <c r="X131" i="6" l="1"/>
  <c r="X132" i="6" l="1"/>
  <c r="X133" i="6" l="1"/>
  <c r="X134" i="6" l="1"/>
  <c r="X135" i="6" l="1"/>
  <c r="X136" i="6" l="1"/>
  <c r="T136" i="6" l="1"/>
  <c r="T18" i="6"/>
  <c r="T19" i="6"/>
  <c r="T21" i="6"/>
  <c r="T20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</calcChain>
</file>

<file path=xl/sharedStrings.xml><?xml version="1.0" encoding="utf-8"?>
<sst xmlns="http://schemas.openxmlformats.org/spreadsheetml/2006/main" count="156" uniqueCount="97">
  <si>
    <t>air/oil</t>
  </si>
  <si>
    <t>Above Free Water, ft</t>
  </si>
  <si>
    <t>Bulk</t>
  </si>
  <si>
    <t>Volume,</t>
  </si>
  <si>
    <t>Gas-Oil,</t>
  </si>
  <si>
    <t>Saturation,</t>
  </si>
  <si>
    <t>Inc. (mD)</t>
  </si>
  <si>
    <t>Cumulative</t>
  </si>
  <si>
    <t>Hg Sat</t>
  </si>
  <si>
    <t>Weight,</t>
  </si>
  <si>
    <t>Laboratory TcosTheta</t>
  </si>
  <si>
    <t>MERCURY INJECTION CAPILLARY PRESSURE</t>
  </si>
  <si>
    <t>Gas:</t>
  </si>
  <si>
    <t>cumulative</t>
  </si>
  <si>
    <t>Oil:</t>
  </si>
  <si>
    <t>Sample</t>
  </si>
  <si>
    <t>incremental</t>
  </si>
  <si>
    <t>Estimated Height</t>
  </si>
  <si>
    <t>grams</t>
  </si>
  <si>
    <t>Funct.</t>
  </si>
  <si>
    <t>%BV</t>
  </si>
  <si>
    <t>Mercury IFT</t>
  </si>
  <si>
    <t>Grain Density, grams/cc:</t>
  </si>
  <si>
    <t>Reservoir Contact Angle</t>
  </si>
  <si>
    <t>fraction</t>
  </si>
  <si>
    <t>grams/cc</t>
  </si>
  <si>
    <t>Sb/Pc</t>
  </si>
  <si>
    <t>oil/water</t>
  </si>
  <si>
    <t>Laboratory IFT</t>
  </si>
  <si>
    <t>PSD HISTOGRAM</t>
  </si>
  <si>
    <t>Laboratory Contact Angle</t>
  </si>
  <si>
    <t>intrusion</t>
  </si>
  <si>
    <t>Saturation</t>
  </si>
  <si>
    <t>O-W</t>
  </si>
  <si>
    <t>cc</t>
  </si>
  <si>
    <t>Conformance Correction,</t>
  </si>
  <si>
    <t>Norm. Pore</t>
  </si>
  <si>
    <t xml:space="preserve"> </t>
  </si>
  <si>
    <t>Density,</t>
  </si>
  <si>
    <t>Sample Number:</t>
  </si>
  <si>
    <t>Oil-Water,</t>
  </si>
  <si>
    <t>Contribution</t>
  </si>
  <si>
    <t>Size Dist.</t>
  </si>
  <si>
    <t>Pore Throat</t>
  </si>
  <si>
    <t xml:space="preserve"> 1.0-Mercury </t>
  </si>
  <si>
    <t>Radius, µm</t>
  </si>
  <si>
    <t>Fluid Density Gradients</t>
  </si>
  <si>
    <t>psia</t>
  </si>
  <si>
    <t xml:space="preserve">Mercury </t>
  </si>
  <si>
    <t>Conversion Parameters</t>
  </si>
  <si>
    <t>air/water</t>
  </si>
  <si>
    <t>Porosity, fraction:</t>
  </si>
  <si>
    <t>Diameter,</t>
  </si>
  <si>
    <t>microns</t>
  </si>
  <si>
    <t>frequency</t>
  </si>
  <si>
    <t>Corrected</t>
  </si>
  <si>
    <t>Uncorrected</t>
  </si>
  <si>
    <t>Normalized</t>
  </si>
  <si>
    <t>%PV</t>
  </si>
  <si>
    <t>Reservoir TcosTheta</t>
  </si>
  <si>
    <t>Porosity,</t>
  </si>
  <si>
    <t>Mercury</t>
  </si>
  <si>
    <t>micron</t>
  </si>
  <si>
    <t>Injection Pressure,</t>
  </si>
  <si>
    <t>G-W</t>
  </si>
  <si>
    <t>air/Hg</t>
  </si>
  <si>
    <t>d Log</t>
  </si>
  <si>
    <t>Function</t>
  </si>
  <si>
    <t>Mercury Saturation</t>
  </si>
  <si>
    <t>ml</t>
  </si>
  <si>
    <t>Water:</t>
  </si>
  <si>
    <t>IFT * Cosine Contact Angle:</t>
  </si>
  <si>
    <t>Gas-Water,</t>
  </si>
  <si>
    <t>Permeability to Air (calc), mD:</t>
  </si>
  <si>
    <t>Pore Radius,</t>
  </si>
  <si>
    <t>Mercury Injection</t>
  </si>
  <si>
    <t>Pressure,</t>
  </si>
  <si>
    <t>Radius,</t>
  </si>
  <si>
    <t>d Sw/d Log</t>
  </si>
  <si>
    <t>Reservoir IFT</t>
  </si>
  <si>
    <t>MC 39</t>
  </si>
  <si>
    <t>&lt; 0.0018</t>
  </si>
  <si>
    <t>Mercury Contact Angle</t>
  </si>
  <si>
    <t>Grain</t>
  </si>
  <si>
    <t>Injection</t>
  </si>
  <si>
    <t>Other Laboratory Systems</t>
  </si>
  <si>
    <t>Permeability</t>
  </si>
  <si>
    <t>J</t>
  </si>
  <si>
    <t>Pore</t>
  </si>
  <si>
    <t>Cum. (mD)</t>
  </si>
  <si>
    <t>Incremental</t>
  </si>
  <si>
    <t>Shell Exploration &amp; Production Company</t>
  </si>
  <si>
    <t>Sample Depth, feet:</t>
  </si>
  <si>
    <t>Offshore</t>
  </si>
  <si>
    <t>HH-77445</t>
  </si>
  <si>
    <t>All Data Proprietary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</si>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</sst>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0.0_)"/>
    <numFmt numFmtId="165" formatCode="0.0"/>
    <numFmt numFmtId="166" formatCode="0.000"/>
    <numFmt numFmtId="167" formatCode="0.0000"/>
    <numFmt numFmtId="168" formatCode="???0.00"/>
    <numFmt numFmtId="169" formatCode="[&lt;1]0.?0;[&gt;10]0;0.0"/>
    <numFmt numFmtId="170" formatCode="[&lt;1]0.000;[&gt;10]0.0;0.00"/>
    <numFmt numFmtId="171" formatCode="[&lt;0.1]0.000;[&gt;0.1]0.00;0.0"/>
    <numFmt numFmtId="172" formatCode="[Blue]General"/>
    <numFmt numFmtId="173" formatCode="?????.0"/>
    <numFmt numFmtId="174" formatCode="[&lt;10]???0.00;[&gt;100]???0;???0.0"/>
    <numFmt numFmtId="175" formatCode="?????"/>
    <numFmt numFmtId="176" formatCode="?????.00"/>
    <numFmt numFmtId="177" formatCode="[&lt;100]????0.0;[&gt;100]?????;General"/>
    <numFmt numFmtId="178" formatCode="????0.00"/>
    <numFmt numFmtId="179" formatCode="??0."/>
    <numFmt numFmtId="180" formatCode="??????0.0000"/>
    <numFmt numFmtId="181" formatCode="????0.0?"/>
    <numFmt numFmtId="182" formatCode="????0.??"/>
    <numFmt numFmtId="183" formatCode="0.00??"/>
    <numFmt numFmtId="184" formatCode="0.00000"/>
    <numFmt numFmtId="185" formatCode="m\-dd\-yy"/>
    <numFmt numFmtId="186" formatCode="??0.000"/>
    <numFmt numFmtId="187" formatCode="???0.000"/>
    <numFmt numFmtId="188" formatCode="????0.000"/>
    <numFmt numFmtId="189" formatCode="??0.0000"/>
    <numFmt numFmtId="190" formatCode="0.0\ \ \ \ 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174">
    <xf numFmtId="0" fontId="0" fillId="0" borderId="0" xfId="0"/>
    <xf numFmtId="0" fontId="2" fillId="0" borderId="0" xfId="5" applyFont="1" applyAlignment="1">
      <alignment horizontal="centerContinuous"/>
    </xf>
    <xf numFmtId="0" fontId="0" fillId="0" borderId="0" xfId="5" applyFont="1" applyAlignment="1"/>
    <xf numFmtId="188" fontId="0" fillId="0" borderId="0" xfId="5" applyNumberFormat="1" applyFont="1" applyAlignment="1" applyProtection="1">
      <alignment horizontal="left"/>
    </xf>
    <xf numFmtId="2" fontId="0" fillId="0" borderId="0" xfId="0" applyNumberFormat="1" applyFont="1" applyAlignment="1">
      <alignment horizontal="right"/>
    </xf>
    <xf numFmtId="164" fontId="0" fillId="0" borderId="2" xfId="5" applyNumberFormat="1" applyFont="1" applyBorder="1" applyAlignment="1" applyProtection="1">
      <alignment horizontal="center"/>
    </xf>
    <xf numFmtId="190" fontId="0" fillId="0" borderId="0" xfId="0" quotePrefix="1" applyNumberFormat="1" applyFont="1" applyBorder="1" applyAlignment="1">
      <alignment horizontal="left"/>
    </xf>
    <xf numFmtId="165" fontId="0" fillId="0" borderId="0" xfId="0" applyNumberFormat="1" applyAlignment="1">
      <alignment horizontal="center"/>
    </xf>
    <xf numFmtId="189" fontId="0" fillId="0" borderId="0" xfId="5" applyNumberFormat="1" applyFont="1" applyAlignment="1" applyProtection="1">
      <alignment horizontal="center"/>
    </xf>
    <xf numFmtId="0" fontId="0" fillId="0" borderId="5" xfId="5" applyFont="1" applyBorder="1" applyAlignment="1" applyProtection="1">
      <alignment horizontal="centerContinuous" vertical="center"/>
    </xf>
    <xf numFmtId="0" fontId="0" fillId="0" borderId="0" xfId="5" applyFont="1" applyAlignment="1" applyProtection="1">
      <alignment horizontal="center"/>
    </xf>
    <xf numFmtId="0" fontId="0" fillId="0" borderId="6" xfId="5" applyFont="1" applyBorder="1" applyAlignment="1" applyProtection="1">
      <alignment horizontal="centerContinuous" vertical="center"/>
    </xf>
    <xf numFmtId="166" fontId="0" fillId="0" borderId="0" xfId="5" applyNumberFormat="1" applyFont="1" applyBorder="1" applyAlignment="1">
      <alignment horizontal="center"/>
    </xf>
    <xf numFmtId="185" fontId="0" fillId="0" borderId="0" xfId="4" applyNumberFormat="1" applyFont="1" applyFill="1"/>
    <xf numFmtId="184" fontId="0" fillId="0" borderId="0" xfId="0" applyNumberFormat="1" applyFont="1" applyAlignment="1">
      <alignment horizontal="right"/>
    </xf>
    <xf numFmtId="0" fontId="2" fillId="0" borderId="0" xfId="5" applyFont="1" applyAlignment="1" applyProtection="1">
      <alignment horizontal="centerContinuous"/>
    </xf>
    <xf numFmtId="0" fontId="0" fillId="0" borderId="0" xfId="0" applyFont="1" applyBorder="1" applyAlignment="1">
      <alignment horizontal="center"/>
    </xf>
    <xf numFmtId="0" fontId="4" fillId="0" borderId="0" xfId="5" applyFont="1" applyProtection="1"/>
    <xf numFmtId="182" fontId="0" fillId="0" borderId="0" xfId="5" applyNumberFormat="1" applyFont="1" applyAlignment="1" applyProtection="1">
      <alignment horizontal="center"/>
    </xf>
    <xf numFmtId="166" fontId="0" fillId="0" borderId="0" xfId="0" applyNumberFormat="1" applyBorder="1" applyAlignment="1">
      <alignment horizontal="center"/>
    </xf>
    <xf numFmtId="0" fontId="3" fillId="0" borderId="0" xfId="5" applyFont="1" applyAlignment="1" applyProtection="1"/>
    <xf numFmtId="0" fontId="0" fillId="0" borderId="5" xfId="5" applyFont="1" applyBorder="1"/>
    <xf numFmtId="2" fontId="0" fillId="0" borderId="0" xfId="0" applyNumberFormat="1" applyFont="1"/>
    <xf numFmtId="0" fontId="0" fillId="0" borderId="5" xfId="5" applyFont="1" applyBorder="1" applyAlignment="1" applyProtection="1">
      <alignment horizontal="left"/>
    </xf>
    <xf numFmtId="2" fontId="0" fillId="0" borderId="8" xfId="5" applyNumberFormat="1" applyFont="1" applyBorder="1" applyAlignment="1" applyProtection="1">
      <alignment horizontal="centerContinuous"/>
    </xf>
    <xf numFmtId="0" fontId="0" fillId="0" borderId="0" xfId="5" applyFont="1" applyAlignment="1">
      <alignment horizontal="right"/>
    </xf>
    <xf numFmtId="0" fontId="0" fillId="0" borderId="3" xfId="5" applyFont="1" applyBorder="1" applyAlignment="1" applyProtection="1">
      <alignment horizontal="centerContinuous" vertical="center"/>
    </xf>
    <xf numFmtId="166" fontId="0" fillId="0" borderId="0" xfId="0" applyNumberFormat="1" applyFont="1" applyAlignment="1">
      <alignment horizontal="center"/>
    </xf>
    <xf numFmtId="0" fontId="0" fillId="0" borderId="4" xfId="5" applyFont="1" applyBorder="1" applyAlignment="1" applyProtection="1">
      <alignment horizontal="centerContinuous" vertical="center"/>
    </xf>
    <xf numFmtId="186" fontId="0" fillId="0" borderId="0" xfId="5" applyNumberFormat="1" applyFont="1" applyBorder="1" applyAlignment="1" applyProtection="1">
      <alignment horizontal="centerContinuous"/>
    </xf>
    <xf numFmtId="0" fontId="2" fillId="0" borderId="0" xfId="5" applyFont="1" applyAlignment="1" applyProtection="1">
      <alignment horizontal="center"/>
    </xf>
    <xf numFmtId="178" fontId="0" fillId="0" borderId="0" xfId="5" applyNumberFormat="1" applyFont="1" applyAlignment="1" applyProtection="1">
      <alignment horizontal="center"/>
    </xf>
    <xf numFmtId="166" fontId="0" fillId="0" borderId="0" xfId="5" applyNumberFormat="1" applyFont="1" applyBorder="1" applyAlignment="1" applyProtection="1">
      <alignment horizontal="center"/>
    </xf>
    <xf numFmtId="167" fontId="0" fillId="0" borderId="8" xfId="5" applyNumberFormat="1" applyFont="1" applyBorder="1" applyAlignment="1" applyProtection="1">
      <alignment horizontal="centerContinuous"/>
    </xf>
    <xf numFmtId="166" fontId="5" fillId="0" borderId="4" xfId="5" applyNumberFormat="1" applyFont="1" applyBorder="1" applyProtection="1">
      <protection locked="0"/>
    </xf>
    <xf numFmtId="179" fontId="0" fillId="0" borderId="0" xfId="0" applyNumberFormat="1" applyAlignment="1">
      <alignment horizontal="center"/>
    </xf>
    <xf numFmtId="188" fontId="0" fillId="0" borderId="0" xfId="5" applyNumberFormat="1" applyFont="1" applyAlignment="1" applyProtection="1">
      <alignment horizontal="center"/>
    </xf>
    <xf numFmtId="0" fontId="0" fillId="0" borderId="0" xfId="5" applyNumberFormat="1" applyFont="1" applyBorder="1" applyAlignment="1" applyProtection="1">
      <alignment horizontal="center"/>
    </xf>
    <xf numFmtId="1" fontId="5" fillId="0" borderId="4" xfId="5" applyNumberFormat="1" applyFont="1" applyBorder="1" applyAlignment="1" applyProtection="1">
      <alignment horizontal="center"/>
      <protection locked="0"/>
    </xf>
    <xf numFmtId="0" fontId="0" fillId="0" borderId="5" xfId="5" applyFont="1" applyBorder="1" applyProtection="1"/>
    <xf numFmtId="167" fontId="0" fillId="0" borderId="0" xfId="0" applyNumberFormat="1" applyBorder="1" applyAlignment="1">
      <alignment horizontal="center"/>
    </xf>
    <xf numFmtId="0" fontId="0" fillId="0" borderId="10" xfId="5" applyNumberFormat="1" applyFont="1" applyBorder="1" applyAlignment="1" applyProtection="1">
      <alignment horizontal="center"/>
    </xf>
    <xf numFmtId="186" fontId="0" fillId="0" borderId="0" xfId="5" applyNumberFormat="1" applyFont="1" applyBorder="1" applyAlignment="1" applyProtection="1">
      <alignment horizontal="center"/>
    </xf>
    <xf numFmtId="0" fontId="0" fillId="0" borderId="0" xfId="5" applyFont="1" applyAlignment="1" applyProtection="1">
      <alignment horizontal="right"/>
    </xf>
    <xf numFmtId="169" fontId="0" fillId="0" borderId="0" xfId="5" applyNumberFormat="1" applyFont="1" applyAlignment="1" applyProtection="1">
      <alignment horizontal="center"/>
    </xf>
    <xf numFmtId="172" fontId="0" fillId="0" borderId="4" xfId="5" applyNumberFormat="1" applyFont="1" applyBorder="1" applyAlignment="1" applyProtection="1">
      <alignment horizontal="center"/>
      <protection locked="0"/>
    </xf>
    <xf numFmtId="0" fontId="0" fillId="0" borderId="11" xfId="5" applyFont="1" applyBorder="1" applyAlignment="1">
      <alignment horizontal="center"/>
    </xf>
    <xf numFmtId="0" fontId="0" fillId="0" borderId="0" xfId="5" applyFont="1"/>
    <xf numFmtId="0" fontId="0" fillId="0" borderId="7" xfId="5" applyFont="1" applyBorder="1" applyAlignment="1" applyProtection="1">
      <alignment horizontal="centerContinuous" vertical="center"/>
    </xf>
    <xf numFmtId="0" fontId="0" fillId="0" borderId="12" xfId="0" applyFont="1" applyBorder="1"/>
    <xf numFmtId="0" fontId="0" fillId="0" borderId="0" xfId="5" applyFont="1" applyAlignment="1" applyProtection="1">
      <alignment horizontal="left"/>
    </xf>
    <xf numFmtId="0" fontId="0" fillId="0" borderId="1" xfId="5" applyFont="1" applyBorder="1" applyAlignment="1" applyProtection="1">
      <alignment horizontal="center" vertical="center"/>
    </xf>
    <xf numFmtId="164" fontId="0" fillId="0" borderId="4" xfId="5" applyNumberFormat="1" applyFont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5" applyFont="1" applyFill="1"/>
    <xf numFmtId="167" fontId="0" fillId="0" borderId="0" xfId="0" applyNumberFormat="1" applyFill="1" applyBorder="1" applyAlignment="1"/>
    <xf numFmtId="180" fontId="0" fillId="0" borderId="0" xfId="0" applyNumberFormat="1" applyAlignment="1">
      <alignment horizontal="center"/>
    </xf>
    <xf numFmtId="183" fontId="0" fillId="0" borderId="0" xfId="5" applyNumberFormat="1" applyFont="1" applyAlignment="1" applyProtection="1">
      <alignment horizontal="center"/>
    </xf>
    <xf numFmtId="0" fontId="0" fillId="0" borderId="11" xfId="5" applyFont="1" applyBorder="1" applyAlignment="1" applyProtection="1">
      <alignment horizontal="center"/>
    </xf>
    <xf numFmtId="0" fontId="7" fillId="2" borderId="0" xfId="0" applyFont="1" applyFill="1" applyBorder="1" applyAlignment="1">
      <alignment vertical="center"/>
    </xf>
    <xf numFmtId="0" fontId="0" fillId="0" borderId="0" xfId="5" applyFont="1" applyProtection="1"/>
    <xf numFmtId="166" fontId="0" fillId="0" borderId="0" xfId="5" applyNumberFormat="1" applyFont="1" applyBorder="1"/>
    <xf numFmtId="0" fontId="0" fillId="0" borderId="0" xfId="0" applyFont="1" applyAlignment="1">
      <alignment horizontal="right"/>
    </xf>
    <xf numFmtId="0" fontId="0" fillId="0" borderId="0" xfId="0" applyFont="1" applyBorder="1"/>
    <xf numFmtId="1" fontId="0" fillId="0" borderId="0" xfId="5" applyNumberFormat="1" applyFont="1" applyBorder="1" applyProtection="1"/>
    <xf numFmtId="178" fontId="0" fillId="0" borderId="11" xfId="5" applyNumberFormat="1" applyFont="1" applyBorder="1" applyAlignment="1" applyProtection="1">
      <alignment horizontal="centerContinuous"/>
    </xf>
    <xf numFmtId="0" fontId="0" fillId="0" borderId="13" xfId="5" applyFont="1" applyFill="1" applyBorder="1" applyAlignment="1" applyProtection="1">
      <alignment horizontal="center" vertical="center"/>
    </xf>
    <xf numFmtId="165" fontId="0" fillId="0" borderId="0" xfId="5" applyNumberFormat="1" applyFont="1" applyProtection="1"/>
    <xf numFmtId="0" fontId="0" fillId="0" borderId="0" xfId="5" applyFont="1" applyFill="1" applyProtection="1"/>
    <xf numFmtId="1" fontId="5" fillId="0" borderId="0" xfId="5" applyNumberFormat="1" applyFont="1" applyBorder="1" applyAlignment="1" applyProtection="1">
      <alignment horizontal="center"/>
      <protection locked="0"/>
    </xf>
    <xf numFmtId="0" fontId="0" fillId="0" borderId="7" xfId="5" applyFont="1" applyBorder="1" applyProtection="1"/>
    <xf numFmtId="168" fontId="0" fillId="0" borderId="0" xfId="5" applyNumberFormat="1" applyFont="1" applyAlignment="1" applyProtection="1">
      <alignment horizontal="center"/>
    </xf>
    <xf numFmtId="0" fontId="0" fillId="0" borderId="0" xfId="5" applyFont="1" applyBorder="1" applyAlignment="1">
      <alignment horizontal="centerContinuous"/>
    </xf>
    <xf numFmtId="0" fontId="0" fillId="0" borderId="9" xfId="5" applyFont="1" applyBorder="1"/>
    <xf numFmtId="166" fontId="0" fillId="0" borderId="0" xfId="0" applyNumberFormat="1" applyFont="1"/>
    <xf numFmtId="172" fontId="0" fillId="0" borderId="0" xfId="5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166" fontId="0" fillId="0" borderId="0" xfId="5" applyNumberFormat="1" applyFont="1" applyAlignment="1" applyProtection="1">
      <alignment horizontal="right"/>
    </xf>
    <xf numFmtId="0" fontId="0" fillId="0" borderId="10" xfId="5" applyFont="1" applyBorder="1" applyAlignment="1" applyProtection="1">
      <alignment horizontal="center"/>
      <protection locked="0"/>
    </xf>
    <xf numFmtId="0" fontId="0" fillId="0" borderId="0" xfId="5" applyNumberFormat="1" applyFont="1" applyBorder="1" applyProtection="1"/>
    <xf numFmtId="0" fontId="0" fillId="0" borderId="0" xfId="5" applyFont="1" applyBorder="1" applyAlignment="1">
      <alignment horizontal="center"/>
    </xf>
    <xf numFmtId="0" fontId="0" fillId="0" borderId="14" xfId="5" applyFont="1" applyBorder="1" applyAlignment="1" applyProtection="1">
      <alignment horizontal="center"/>
    </xf>
    <xf numFmtId="0" fontId="0" fillId="0" borderId="6" xfId="5" applyFont="1" applyBorder="1"/>
    <xf numFmtId="186" fontId="0" fillId="0" borderId="8" xfId="5" applyNumberFormat="1" applyFont="1" applyBorder="1" applyAlignment="1" applyProtection="1">
      <alignment horizontal="centerContinuous"/>
    </xf>
    <xf numFmtId="2" fontId="0" fillId="0" borderId="0" xfId="5" applyNumberFormat="1" applyFont="1" applyAlignment="1" applyProtection="1">
      <alignment horizontal="right"/>
    </xf>
    <xf numFmtId="0" fontId="0" fillId="0" borderId="0" xfId="5" applyFont="1" applyBorder="1" applyAlignment="1" applyProtection="1">
      <alignment horizontal="centerContinuous"/>
    </xf>
    <xf numFmtId="187" fontId="0" fillId="0" borderId="0" xfId="5" applyNumberFormat="1" applyFont="1" applyAlignment="1" applyProtection="1">
      <alignment horizontal="center"/>
    </xf>
    <xf numFmtId="0" fontId="0" fillId="0" borderId="9" xfId="5" applyFont="1" applyBorder="1" applyProtection="1"/>
    <xf numFmtId="0" fontId="2" fillId="0" borderId="0" xfId="5" applyFont="1" applyBorder="1" applyAlignment="1">
      <alignment horizontal="centerContinuous"/>
    </xf>
    <xf numFmtId="178" fontId="0" fillId="0" borderId="14" xfId="5" applyNumberFormat="1" applyFont="1" applyBorder="1" applyAlignment="1" applyProtection="1">
      <alignment horizontal="centerContinuous"/>
    </xf>
    <xf numFmtId="0" fontId="0" fillId="0" borderId="10" xfId="5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ont="1" applyBorder="1" applyAlignment="1">
      <alignment horizontal="center"/>
    </xf>
    <xf numFmtId="166" fontId="5" fillId="0" borderId="3" xfId="5" applyNumberFormat="1" applyFont="1" applyBorder="1" applyProtection="1">
      <protection locked="0"/>
    </xf>
    <xf numFmtId="0" fontId="0" fillId="0" borderId="0" xfId="5" applyFont="1" applyBorder="1" applyAlignment="1"/>
    <xf numFmtId="167" fontId="0" fillId="0" borderId="0" xfId="5" applyNumberFormat="1" applyFont="1" applyAlignment="1" applyProtection="1">
      <alignment horizontal="right"/>
    </xf>
    <xf numFmtId="174" fontId="0" fillId="0" borderId="0" xfId="5" applyNumberFormat="1" applyFont="1" applyBorder="1" applyAlignment="1" applyProtection="1">
      <alignment horizontal="center"/>
    </xf>
    <xf numFmtId="175" fontId="0" fillId="0" borderId="0" xfId="5" applyNumberFormat="1" applyFont="1" applyBorder="1" applyAlignment="1" applyProtection="1">
      <alignment horizontal="center"/>
    </xf>
    <xf numFmtId="166" fontId="0" fillId="0" borderId="0" xfId="5" applyNumberFormat="1" applyFont="1" applyAlignment="1">
      <alignment horizontal="center"/>
    </xf>
    <xf numFmtId="187" fontId="0" fillId="0" borderId="0" xfId="5" applyNumberFormat="1" applyFont="1" applyFill="1" applyAlignment="1" applyProtection="1">
      <alignment horizontal="center"/>
    </xf>
    <xf numFmtId="1" fontId="5" fillId="0" borderId="2" xfId="5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7" fontId="0" fillId="0" borderId="0" xfId="5" applyNumberFormat="1" applyFont="1" applyBorder="1" applyAlignment="1" applyProtection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5" applyFont="1" applyBorder="1" applyAlignment="1" applyProtection="1">
      <alignment horizontal="center"/>
    </xf>
    <xf numFmtId="166" fontId="0" fillId="0" borderId="0" xfId="0" applyNumberFormat="1" applyAlignment="1">
      <alignment horizontal="center"/>
    </xf>
    <xf numFmtId="176" fontId="0" fillId="0" borderId="0" xfId="5" applyNumberFormat="1" applyFont="1" applyBorder="1" applyAlignment="1" applyProtection="1">
      <alignment horizontal="center"/>
    </xf>
    <xf numFmtId="0" fontId="0" fillId="0" borderId="0" xfId="0" applyFill="1" applyBorder="1" applyAlignment="1"/>
    <xf numFmtId="181" fontId="0" fillId="0" borderId="0" xfId="5" applyNumberFormat="1" applyFont="1" applyAlignment="1" applyProtection="1">
      <alignment horizontal="center"/>
    </xf>
    <xf numFmtId="178" fontId="0" fillId="0" borderId="0" xfId="5" applyNumberFormat="1" applyFont="1" applyBorder="1" applyAlignment="1" applyProtection="1">
      <alignment horizontal="centerContinuous"/>
    </xf>
    <xf numFmtId="166" fontId="0" fillId="0" borderId="0" xfId="5" applyNumberFormat="1" applyFont="1" applyAlignment="1" applyProtection="1">
      <alignment horizontal="center"/>
    </xf>
    <xf numFmtId="0" fontId="0" fillId="2" borderId="0" xfId="0" applyFill="1" applyBorder="1" applyAlignment="1">
      <alignment vertical="center"/>
    </xf>
    <xf numFmtId="166" fontId="0" fillId="0" borderId="1" xfId="5" applyNumberFormat="1" applyFont="1" applyBorder="1" applyAlignment="1" applyProtection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12" xfId="5" applyFont="1" applyBorder="1" applyAlignment="1" applyProtection="1">
      <alignment horizontal="center" vertical="center"/>
    </xf>
    <xf numFmtId="170" fontId="0" fillId="0" borderId="0" xfId="5" applyNumberFormat="1" applyFont="1" applyBorder="1" applyAlignment="1" applyProtection="1">
      <alignment horizontal="center"/>
    </xf>
    <xf numFmtId="0" fontId="0" fillId="0" borderId="7" xfId="5" applyFont="1" applyBorder="1"/>
    <xf numFmtId="167" fontId="0" fillId="0" borderId="0" xfId="0" applyNumberFormat="1" applyAlignment="1">
      <alignment horizontal="center"/>
    </xf>
    <xf numFmtId="178" fontId="0" fillId="0" borderId="0" xfId="5" applyNumberFormat="1" applyFont="1" applyBorder="1" applyAlignment="1" applyProtection="1">
      <alignment horizontal="center"/>
    </xf>
    <xf numFmtId="179" fontId="0" fillId="0" borderId="0" xfId="0" applyNumberFormat="1" applyBorder="1" applyAlignment="1">
      <alignment horizontal="center"/>
    </xf>
    <xf numFmtId="0" fontId="0" fillId="0" borderId="13" xfId="5" applyFont="1" applyBorder="1" applyAlignment="1" applyProtection="1">
      <alignment horizontal="center" vertical="center"/>
    </xf>
    <xf numFmtId="2" fontId="0" fillId="0" borderId="14" xfId="5" applyNumberFormat="1" applyFont="1" applyBorder="1" applyAlignment="1" applyProtection="1">
      <alignment horizontal="centerContinuous"/>
    </xf>
    <xf numFmtId="186" fontId="0" fillId="0" borderId="0" xfId="5" applyNumberFormat="1" applyFont="1" applyAlignment="1" applyProtection="1">
      <alignment horizontal="center"/>
    </xf>
    <xf numFmtId="0" fontId="0" fillId="0" borderId="0" xfId="5" applyFont="1" applyBorder="1" applyAlignment="1" applyProtection="1">
      <alignment horizontal="centerContinuous" vertical="center"/>
    </xf>
    <xf numFmtId="0" fontId="0" fillId="0" borderId="12" xfId="5" applyFont="1" applyFill="1" applyBorder="1" applyAlignment="1" applyProtection="1">
      <alignment horizontal="center" vertical="center"/>
    </xf>
    <xf numFmtId="2" fontId="0" fillId="0" borderId="1" xfId="5" applyNumberFormat="1" applyFont="1" applyBorder="1" applyAlignment="1" applyProtection="1">
      <alignment horizontal="center"/>
    </xf>
    <xf numFmtId="1" fontId="0" fillId="0" borderId="0" xfId="0" quotePrefix="1" applyNumberFormat="1" applyFont="1" applyAlignment="1">
      <alignment horizontal="right"/>
    </xf>
    <xf numFmtId="0" fontId="0" fillId="0" borderId="15" xfId="5" applyFont="1" applyBorder="1" applyAlignment="1" applyProtection="1">
      <alignment horizontal="center" vertical="center"/>
    </xf>
    <xf numFmtId="166" fontId="5" fillId="0" borderId="0" xfId="5" applyNumberFormat="1" applyFont="1" applyBorder="1" applyProtection="1">
      <protection locked="0"/>
    </xf>
    <xf numFmtId="0" fontId="0" fillId="0" borderId="15" xfId="5" applyFont="1" applyFill="1" applyBorder="1" applyAlignment="1" applyProtection="1">
      <alignment horizontal="center" vertical="center"/>
    </xf>
    <xf numFmtId="0" fontId="0" fillId="0" borderId="0" xfId="5" applyFont="1" applyBorder="1"/>
    <xf numFmtId="0" fontId="0" fillId="0" borderId="12" xfId="0" applyBorder="1" applyAlignment="1">
      <alignment horizontal="center"/>
    </xf>
    <xf numFmtId="166" fontId="5" fillId="0" borderId="0" xfId="5" applyNumberFormat="1" applyFont="1" applyFill="1" applyBorder="1" applyProtection="1">
      <protection locked="0"/>
    </xf>
    <xf numFmtId="0" fontId="0" fillId="0" borderId="0" xfId="5" applyFont="1" applyBorder="1" applyAlignment="1" applyProtection="1">
      <alignment horizontal="center"/>
      <protection locked="0"/>
    </xf>
    <xf numFmtId="0" fontId="0" fillId="0" borderId="0" xfId="5" applyFont="1" applyBorder="1" applyAlignment="1" applyProtection="1">
      <alignment horizontal="center" vertical="center"/>
    </xf>
    <xf numFmtId="0" fontId="0" fillId="0" borderId="0" xfId="5" applyFont="1" applyBorder="1" applyAlignment="1" applyProtection="1">
      <alignment horizontal="left"/>
    </xf>
    <xf numFmtId="0" fontId="0" fillId="0" borderId="10" xfId="5" applyFont="1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vertical="center"/>
    </xf>
    <xf numFmtId="180" fontId="0" fillId="0" borderId="0" xfId="0" applyNumberFormat="1" applyBorder="1" applyAlignment="1">
      <alignment horizontal="center"/>
    </xf>
    <xf numFmtId="174" fontId="0" fillId="0" borderId="0" xfId="5" applyNumberFormat="1" applyFont="1" applyBorder="1" applyProtection="1"/>
    <xf numFmtId="166" fontId="0" fillId="0" borderId="0" xfId="5" applyNumberFormat="1" applyFont="1"/>
    <xf numFmtId="0" fontId="0" fillId="0" borderId="0" xfId="0" applyFont="1"/>
    <xf numFmtId="164" fontId="0" fillId="0" borderId="0" xfId="5" applyNumberFormat="1" applyFont="1" applyBorder="1" applyAlignment="1" applyProtection="1">
      <alignment horizontal="center"/>
    </xf>
    <xf numFmtId="1" fontId="0" fillId="0" borderId="0" xfId="5" applyNumberFormat="1" applyFont="1" applyProtection="1"/>
    <xf numFmtId="0" fontId="5" fillId="0" borderId="0" xfId="5" applyNumberFormat="1" applyFont="1" applyBorder="1" applyAlignment="1" applyProtection="1">
      <alignment horizontal="center"/>
      <protection locked="0"/>
    </xf>
    <xf numFmtId="0" fontId="0" fillId="0" borderId="0" xfId="5" applyFont="1" applyBorder="1" applyProtection="1"/>
    <xf numFmtId="0" fontId="0" fillId="0" borderId="0" xfId="5" applyNumberFormat="1" applyFont="1" applyAlignment="1" applyProtection="1">
      <alignment horizontal="left"/>
    </xf>
    <xf numFmtId="2" fontId="0" fillId="0" borderId="0" xfId="5" applyNumberFormat="1" applyFont="1" applyBorder="1" applyAlignment="1" applyProtection="1">
      <alignment horizontal="center"/>
    </xf>
    <xf numFmtId="14" fontId="0" fillId="0" borderId="0" xfId="0" applyNumberFormat="1" applyFont="1"/>
    <xf numFmtId="0" fontId="5" fillId="0" borderId="10" xfId="5" applyNumberFormat="1" applyFont="1" applyBorder="1" applyAlignment="1" applyProtection="1">
      <alignment horizontal="center"/>
      <protection locked="0"/>
    </xf>
    <xf numFmtId="166" fontId="5" fillId="0" borderId="0" xfId="0" applyNumberFormat="1" applyFont="1"/>
    <xf numFmtId="2" fontId="0" fillId="0" borderId="0" xfId="0" applyNumberFormat="1" applyFont="1" applyAlignment="1"/>
    <xf numFmtId="173" fontId="0" fillId="0" borderId="0" xfId="5" applyNumberFormat="1" applyFont="1" applyBorder="1" applyAlignment="1" applyProtection="1">
      <alignment horizontal="center"/>
    </xf>
    <xf numFmtId="0" fontId="0" fillId="0" borderId="0" xfId="5" applyFont="1" applyAlignment="1">
      <alignment horizontal="centerContinuous"/>
    </xf>
    <xf numFmtId="165" fontId="0" fillId="0" borderId="0" xfId="5" applyNumberFormat="1" applyFont="1" applyBorder="1" applyProtection="1"/>
    <xf numFmtId="166" fontId="5" fillId="0" borderId="2" xfId="5" applyNumberFormat="1" applyFont="1" applyBorder="1" applyProtection="1">
      <protection locked="0"/>
    </xf>
    <xf numFmtId="0" fontId="0" fillId="0" borderId="0" xfId="5" applyNumberFormat="1" applyFont="1" applyProtection="1"/>
    <xf numFmtId="166" fontId="0" fillId="0" borderId="0" xfId="0" applyNumberFormat="1" applyFont="1" applyBorder="1"/>
    <xf numFmtId="171" fontId="0" fillId="0" borderId="0" xfId="5" applyNumberFormat="1" applyFont="1" applyBorder="1" applyAlignment="1" applyProtection="1">
      <alignment horizontal="center"/>
    </xf>
    <xf numFmtId="185" fontId="0" fillId="0" borderId="0" xfId="0" applyNumberFormat="1" applyAlignment="1">
      <alignment horizontal="left"/>
    </xf>
    <xf numFmtId="0" fontId="0" fillId="0" borderId="0" xfId="5" applyFont="1" applyAlignment="1" applyProtection="1">
      <alignment horizontal="centerContinuous"/>
    </xf>
    <xf numFmtId="0" fontId="3" fillId="0" borderId="0" xfId="5" applyFont="1" applyAlignment="1" applyProtection="1">
      <alignment horizontal="center"/>
    </xf>
    <xf numFmtId="186" fontId="0" fillId="0" borderId="7" xfId="5" applyNumberFormat="1" applyFont="1" applyBorder="1" applyAlignment="1" applyProtection="1">
      <alignment horizontal="center"/>
    </xf>
    <xf numFmtId="186" fontId="0" fillId="0" borderId="3" xfId="5" applyNumberFormat="1" applyFont="1" applyBorder="1" applyAlignment="1" applyProtection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90" fontId="8" fillId="0" borderId="0" xfId="0" quotePrefix="1" applyNumberFormat="1" applyFont="1" applyBorder="1" applyAlignment="1">
      <alignment horizontal="left"/>
    </xf>
    <xf numFmtId="0" fontId="9" fillId="0" borderId="0" xfId="0" applyFont="1" applyAlignment="1">
      <alignment vertical="center"/>
    </xf>
  </cellXfs>
  <cellStyles count="6">
    <cellStyle name="Normal" xfId="0" builtinId="0"/>
    <cellStyle name="Normal 2" xfId="1"/>
    <cellStyle name="Normal 2 2" xfId="2"/>
    <cellStyle name="Normal 3" xfId="3"/>
    <cellStyle name="Normal_Core Data H-3258" xfId="4"/>
    <cellStyle name="Normal_HG-DATA_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5492957746478872"/>
          <c:y val="7.0234113712374549E-2"/>
          <c:w val="0.76760563380283331"/>
          <c:h val="0.8160535117056855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Table!$B$18:$B$136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5.5433974854305476E-3</c:v>
                </c:pt>
                <c:pt idx="35">
                  <c:v>1.4638207319901592E-2</c:v>
                </c:pt>
                <c:pt idx="36">
                  <c:v>4.1111748869693203E-2</c:v>
                </c:pt>
                <c:pt idx="37">
                  <c:v>8.5444321452498098E-2</c:v>
                </c:pt>
                <c:pt idx="38">
                  <c:v>0.13231860679594476</c:v>
                </c:pt>
                <c:pt idx="39">
                  <c:v>0.18454723898735614</c:v>
                </c:pt>
                <c:pt idx="40">
                  <c:v>0.23184040530264402</c:v>
                </c:pt>
                <c:pt idx="41">
                  <c:v>0.27631731046758284</c:v>
                </c:pt>
                <c:pt idx="42">
                  <c:v>0.31870704603298011</c:v>
                </c:pt>
                <c:pt idx="43">
                  <c:v>0.35427531841424448</c:v>
                </c:pt>
                <c:pt idx="44">
                  <c:v>0.38528026441581892</c:v>
                </c:pt>
                <c:pt idx="45">
                  <c:v>0.41126373267996486</c:v>
                </c:pt>
                <c:pt idx="46">
                  <c:v>0.4341124751701978</c:v>
                </c:pt>
                <c:pt idx="47">
                  <c:v>0.45371729323478849</c:v>
                </c:pt>
                <c:pt idx="48">
                  <c:v>0.47251795039210476</c:v>
                </c:pt>
                <c:pt idx="49">
                  <c:v>0.48730138762670305</c:v>
                </c:pt>
                <c:pt idx="50">
                  <c:v>0.50103404253464123</c:v>
                </c:pt>
                <c:pt idx="51">
                  <c:v>0.51243783055082948</c:v>
                </c:pt>
                <c:pt idx="52">
                  <c:v>0.52334177249256841</c:v>
                </c:pt>
                <c:pt idx="53">
                  <c:v>0.53300479665289147</c:v>
                </c:pt>
                <c:pt idx="54">
                  <c:v>0.54137664297509425</c:v>
                </c:pt>
                <c:pt idx="55">
                  <c:v>0.54943338289073507</c:v>
                </c:pt>
                <c:pt idx="56">
                  <c:v>0.55687515403447463</c:v>
                </c:pt>
                <c:pt idx="57">
                  <c:v>0.56362456648416492</c:v>
                </c:pt>
                <c:pt idx="58">
                  <c:v>0.56977765015295412</c:v>
                </c:pt>
                <c:pt idx="59">
                  <c:v>0.57571750590850168</c:v>
                </c:pt>
                <c:pt idx="60">
                  <c:v>0.58138055402442046</c:v>
                </c:pt>
                <c:pt idx="61">
                  <c:v>0.58687418197922525</c:v>
                </c:pt>
                <c:pt idx="62">
                  <c:v>0.59222555737113491</c:v>
                </c:pt>
                <c:pt idx="63">
                  <c:v>0.59750969295745304</c:v>
                </c:pt>
                <c:pt idx="64">
                  <c:v>0.60263765258678892</c:v>
                </c:pt>
                <c:pt idx="65">
                  <c:v>0.60781802304102162</c:v>
                </c:pt>
                <c:pt idx="66">
                  <c:v>0.61300182717780705</c:v>
                </c:pt>
                <c:pt idx="67">
                  <c:v>0.61817548119803578</c:v>
                </c:pt>
                <c:pt idx="68">
                  <c:v>0.62338015155956417</c:v>
                </c:pt>
                <c:pt idx="69">
                  <c:v>0.62872997990768631</c:v>
                </c:pt>
                <c:pt idx="70">
                  <c:v>0.63434839015042077</c:v>
                </c:pt>
                <c:pt idx="71">
                  <c:v>0.64010697765340885</c:v>
                </c:pt>
                <c:pt idx="72">
                  <c:v>0.64692649759961363</c:v>
                </c:pt>
                <c:pt idx="73">
                  <c:v>0.65437343813356974</c:v>
                </c:pt>
                <c:pt idx="74">
                  <c:v>0.66436386958520399</c:v>
                </c:pt>
                <c:pt idx="75">
                  <c:v>0.67757698190998428</c:v>
                </c:pt>
                <c:pt idx="76">
                  <c:v>0.69469483275430211</c:v>
                </c:pt>
                <c:pt idx="77">
                  <c:v>0.71414253154252783</c:v>
                </c:pt>
                <c:pt idx="78">
                  <c:v>0.73426089267900307</c:v>
                </c:pt>
                <c:pt idx="79">
                  <c:v>0.75521835527268411</c:v>
                </c:pt>
                <c:pt idx="80">
                  <c:v>0.77460296486060187</c:v>
                </c:pt>
                <c:pt idx="81">
                  <c:v>0.79243139932944073</c:v>
                </c:pt>
                <c:pt idx="82">
                  <c:v>0.81040344474108583</c:v>
                </c:pt>
                <c:pt idx="83">
                  <c:v>0.82628766022962141</c:v>
                </c:pt>
                <c:pt idx="84">
                  <c:v>0.84100698947897856</c:v>
                </c:pt>
                <c:pt idx="85">
                  <c:v>0.85536008441123701</c:v>
                </c:pt>
                <c:pt idx="86">
                  <c:v>0.86784835012243144</c:v>
                </c:pt>
                <c:pt idx="87">
                  <c:v>0.87937239249351296</c:v>
                </c:pt>
                <c:pt idx="88">
                  <c:v>0.89077765208793802</c:v>
                </c:pt>
                <c:pt idx="89">
                  <c:v>0.90039430266741283</c:v>
                </c:pt>
                <c:pt idx="90">
                  <c:v>0.90975965296336436</c:v>
                </c:pt>
                <c:pt idx="91">
                  <c:v>0.91849652615385602</c:v>
                </c:pt>
                <c:pt idx="92">
                  <c:v>0.92627476045497936</c:v>
                </c:pt>
                <c:pt idx="93">
                  <c:v>0.93337787994036747</c:v>
                </c:pt>
                <c:pt idx="94">
                  <c:v>0.94024516958010684</c:v>
                </c:pt>
                <c:pt idx="95">
                  <c:v>0.9463618788535032</c:v>
                </c:pt>
                <c:pt idx="96">
                  <c:v>0.95297688715756146</c:v>
                </c:pt>
                <c:pt idx="97">
                  <c:v>0.95848904190504036</c:v>
                </c:pt>
                <c:pt idx="98">
                  <c:v>0.96324789952635448</c:v>
                </c:pt>
                <c:pt idx="99">
                  <c:v>0.96795868559193166</c:v>
                </c:pt>
                <c:pt idx="100">
                  <c:v>0.97199828105040498</c:v>
                </c:pt>
                <c:pt idx="101">
                  <c:v>0.97631521240736097</c:v>
                </c:pt>
                <c:pt idx="102">
                  <c:v>0.98014984343038403</c:v>
                </c:pt>
                <c:pt idx="103">
                  <c:v>0.98336701531833592</c:v>
                </c:pt>
                <c:pt idx="104">
                  <c:v>0.9861899551699137</c:v>
                </c:pt>
                <c:pt idx="105">
                  <c:v>0.98896135205042668</c:v>
                </c:pt>
                <c:pt idx="106">
                  <c:v>0.99142998114190173</c:v>
                </c:pt>
                <c:pt idx="107">
                  <c:v>0.99297347804847869</c:v>
                </c:pt>
                <c:pt idx="108">
                  <c:v>0.99421232052725272</c:v>
                </c:pt>
                <c:pt idx="109">
                  <c:v>0.99491294269909347</c:v>
                </c:pt>
                <c:pt idx="110">
                  <c:v>0.99597096971861188</c:v>
                </c:pt>
                <c:pt idx="111">
                  <c:v>0.99682856023571631</c:v>
                </c:pt>
                <c:pt idx="112">
                  <c:v>0.99751439115963803</c:v>
                </c:pt>
                <c:pt idx="113">
                  <c:v>0.99758283841403916</c:v>
                </c:pt>
                <c:pt idx="114">
                  <c:v>0.99758283841403916</c:v>
                </c:pt>
                <c:pt idx="115">
                  <c:v>0.99891842772869222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</c:numCache>
            </c:numRef>
          </c:xVal>
          <c:yVal>
            <c:numRef>
              <c:f>Table!$A$18:$A$136</c:f>
              <c:numCache>
                <c:formatCode>????0.00</c:formatCode>
                <c:ptCount val="119"/>
                <c:pt idx="0">
                  <c:v>1.4870243072509766</c:v>
                </c:pt>
                <c:pt idx="1">
                  <c:v>1.5743272304534912</c:v>
                </c:pt>
                <c:pt idx="2">
                  <c:v>1.7827692031860352</c:v>
                </c:pt>
                <c:pt idx="3">
                  <c:v>1.9782832860946655</c:v>
                </c:pt>
                <c:pt idx="4">
                  <c:v>2.1413979530334473</c:v>
                </c:pt>
                <c:pt idx="5">
                  <c:v>2.3331613540649414</c:v>
                </c:pt>
                <c:pt idx="6">
                  <c:v>2.5605959892272949</c:v>
                </c:pt>
                <c:pt idx="7">
                  <c:v>2.8037517070770264</c:v>
                </c:pt>
                <c:pt idx="8">
                  <c:v>3.0767531394958496</c:v>
                </c:pt>
                <c:pt idx="9">
                  <c:v>3.3686678409576416</c:v>
                </c:pt>
                <c:pt idx="10">
                  <c:v>3.6739091873168945</c:v>
                </c:pt>
                <c:pt idx="11">
                  <c:v>4.0173754692077637</c:v>
                </c:pt>
                <c:pt idx="12">
                  <c:v>4.3984284400939941</c:v>
                </c:pt>
                <c:pt idx="13">
                  <c:v>4.8054170608520508</c:v>
                </c:pt>
                <c:pt idx="14">
                  <c:v>5.2477574348449707</c:v>
                </c:pt>
                <c:pt idx="15">
                  <c:v>5.7544183731079102</c:v>
                </c:pt>
                <c:pt idx="16">
                  <c:v>6.2851791381835938</c:v>
                </c:pt>
                <c:pt idx="17">
                  <c:v>6.876349925994873</c:v>
                </c:pt>
                <c:pt idx="18">
                  <c:v>7.5282497406005859</c:v>
                </c:pt>
                <c:pt idx="19">
                  <c:v>8.2390432357788086</c:v>
                </c:pt>
                <c:pt idx="20">
                  <c:v>9.0206203460693359</c:v>
                </c:pt>
                <c:pt idx="21">
                  <c:v>9.8639650344848633</c:v>
                </c:pt>
                <c:pt idx="22">
                  <c:v>10.769554138183594</c:v>
                </c:pt>
                <c:pt idx="23">
                  <c:v>11.870817184448242</c:v>
                </c:pt>
                <c:pt idx="24">
                  <c:v>12.87009334564209</c:v>
                </c:pt>
                <c:pt idx="25">
                  <c:v>14.164556503295898</c:v>
                </c:pt>
                <c:pt idx="26">
                  <c:v>15.458779335021973</c:v>
                </c:pt>
                <c:pt idx="27">
                  <c:v>16.856185913085938</c:v>
                </c:pt>
                <c:pt idx="28">
                  <c:v>18.486534118652344</c:v>
                </c:pt>
                <c:pt idx="29">
                  <c:v>20.286380767822266</c:v>
                </c:pt>
                <c:pt idx="30">
                  <c:v>22.182947158813477</c:v>
                </c:pt>
                <c:pt idx="31">
                  <c:v>24.289314270019531</c:v>
                </c:pt>
                <c:pt idx="32">
                  <c:v>26.567571640014648</c:v>
                </c:pt>
                <c:pt idx="33">
                  <c:v>28.964254379272461</c:v>
                </c:pt>
                <c:pt idx="34">
                  <c:v>31.412557601928711</c:v>
                </c:pt>
                <c:pt idx="35">
                  <c:v>33.583087921142578</c:v>
                </c:pt>
                <c:pt idx="36">
                  <c:v>36.816993713378906</c:v>
                </c:pt>
                <c:pt idx="37">
                  <c:v>40.039257049560547</c:v>
                </c:pt>
                <c:pt idx="38">
                  <c:v>44.206306457519531</c:v>
                </c:pt>
                <c:pt idx="39">
                  <c:v>48.555126190185547</c:v>
                </c:pt>
                <c:pt idx="40">
                  <c:v>52.642124176025391</c:v>
                </c:pt>
                <c:pt idx="41">
                  <c:v>57.886642456054688</c:v>
                </c:pt>
                <c:pt idx="42">
                  <c:v>63.593708038330078</c:v>
                </c:pt>
                <c:pt idx="43">
                  <c:v>69.513153076171875</c:v>
                </c:pt>
                <c:pt idx="44">
                  <c:v>76.339576721191406</c:v>
                </c:pt>
                <c:pt idx="45">
                  <c:v>83.770706176757813</c:v>
                </c:pt>
                <c:pt idx="46">
                  <c:v>91.8643798828125</c:v>
                </c:pt>
                <c:pt idx="47">
                  <c:v>99.982963562011719</c:v>
                </c:pt>
                <c:pt idx="48">
                  <c:v>110.15373229980469</c:v>
                </c:pt>
                <c:pt idx="49">
                  <c:v>119.92069244384766</c:v>
                </c:pt>
                <c:pt idx="50">
                  <c:v>132.232666015625</c:v>
                </c:pt>
                <c:pt idx="51">
                  <c:v>143.73381042480469</c:v>
                </c:pt>
                <c:pt idx="52">
                  <c:v>158.07861328125</c:v>
                </c:pt>
                <c:pt idx="53">
                  <c:v>172.76417541503906</c:v>
                </c:pt>
                <c:pt idx="54">
                  <c:v>188.65345764160156</c:v>
                </c:pt>
                <c:pt idx="55">
                  <c:v>206.83979797363281</c:v>
                </c:pt>
                <c:pt idx="56">
                  <c:v>226.971923828125</c:v>
                </c:pt>
                <c:pt idx="57">
                  <c:v>248.83226013183594</c:v>
                </c:pt>
                <c:pt idx="58">
                  <c:v>271.87994384765625</c:v>
                </c:pt>
                <c:pt idx="59">
                  <c:v>297.96575927734375</c:v>
                </c:pt>
                <c:pt idx="60">
                  <c:v>325.71734619140625</c:v>
                </c:pt>
                <c:pt idx="61">
                  <c:v>356.8931884765625</c:v>
                </c:pt>
                <c:pt idx="62">
                  <c:v>391.62069702148437</c:v>
                </c:pt>
                <c:pt idx="63">
                  <c:v>428.0755615234375</c:v>
                </c:pt>
                <c:pt idx="64">
                  <c:v>467.8653564453125</c:v>
                </c:pt>
                <c:pt idx="65">
                  <c:v>511.60244750976563</c:v>
                </c:pt>
                <c:pt idx="66">
                  <c:v>560.50360107421875</c:v>
                </c:pt>
                <c:pt idx="67">
                  <c:v>612.85626220703125</c:v>
                </c:pt>
                <c:pt idx="68">
                  <c:v>670.787109375</c:v>
                </c:pt>
                <c:pt idx="69">
                  <c:v>733.86871337890625</c:v>
                </c:pt>
                <c:pt idx="70">
                  <c:v>803.683837890625</c:v>
                </c:pt>
                <c:pt idx="71">
                  <c:v>878.5648193359375</c:v>
                </c:pt>
                <c:pt idx="72">
                  <c:v>961.98388671875</c:v>
                </c:pt>
                <c:pt idx="73">
                  <c:v>1047.2935791015625</c:v>
                </c:pt>
                <c:pt idx="74">
                  <c:v>1148.138427734375</c:v>
                </c:pt>
                <c:pt idx="75">
                  <c:v>1257.3497314453125</c:v>
                </c:pt>
                <c:pt idx="76">
                  <c:v>1377.5286865234375</c:v>
                </c:pt>
                <c:pt idx="77">
                  <c:v>1507.552978515625</c:v>
                </c:pt>
                <c:pt idx="78">
                  <c:v>1647.216796875</c:v>
                </c:pt>
                <c:pt idx="79">
                  <c:v>1807.3441162109375</c:v>
                </c:pt>
                <c:pt idx="80">
                  <c:v>1978.230712890625</c:v>
                </c:pt>
                <c:pt idx="81">
                  <c:v>2155.401611328125</c:v>
                </c:pt>
                <c:pt idx="82">
                  <c:v>2365.459716796875</c:v>
                </c:pt>
                <c:pt idx="83">
                  <c:v>2588.0927734375</c:v>
                </c:pt>
                <c:pt idx="84">
                  <c:v>2827.990234375</c:v>
                </c:pt>
                <c:pt idx="85">
                  <c:v>3095.387939453125</c:v>
                </c:pt>
                <c:pt idx="86">
                  <c:v>3387.201904296875</c:v>
                </c:pt>
                <c:pt idx="87">
                  <c:v>3705.329345703125</c:v>
                </c:pt>
                <c:pt idx="88">
                  <c:v>4058.8623046875</c:v>
                </c:pt>
                <c:pt idx="89">
                  <c:v>4434.1650390625</c:v>
                </c:pt>
                <c:pt idx="90">
                  <c:v>4844.50341796875</c:v>
                </c:pt>
                <c:pt idx="91">
                  <c:v>5303.28662109375</c:v>
                </c:pt>
                <c:pt idx="92">
                  <c:v>5806.0048828125</c:v>
                </c:pt>
                <c:pt idx="93">
                  <c:v>6353.31787109375</c:v>
                </c:pt>
                <c:pt idx="94">
                  <c:v>6944.16162109375</c:v>
                </c:pt>
                <c:pt idx="95">
                  <c:v>7602.1083984375</c:v>
                </c:pt>
                <c:pt idx="96">
                  <c:v>8312.9404296875</c:v>
                </c:pt>
                <c:pt idx="97">
                  <c:v>9092.2890625</c:v>
                </c:pt>
                <c:pt idx="98">
                  <c:v>9953.4697265625</c:v>
                </c:pt>
                <c:pt idx="99">
                  <c:v>10893.1201171875</c:v>
                </c:pt>
                <c:pt idx="100">
                  <c:v>11893.9716796875</c:v>
                </c:pt>
                <c:pt idx="101">
                  <c:v>12992.8955078125</c:v>
                </c:pt>
                <c:pt idx="102">
                  <c:v>14293.09375</c:v>
                </c:pt>
                <c:pt idx="103">
                  <c:v>15594.1298828125</c:v>
                </c:pt>
                <c:pt idx="104">
                  <c:v>17094.009765625</c:v>
                </c:pt>
                <c:pt idx="105">
                  <c:v>18693.4921875</c:v>
                </c:pt>
                <c:pt idx="106">
                  <c:v>20393.2109375</c:v>
                </c:pt>
                <c:pt idx="107">
                  <c:v>22293.62890625</c:v>
                </c:pt>
                <c:pt idx="108">
                  <c:v>24394.32421875</c:v>
                </c:pt>
                <c:pt idx="109">
                  <c:v>26695.080078125</c:v>
                </c:pt>
                <c:pt idx="110">
                  <c:v>29295.568359375</c:v>
                </c:pt>
                <c:pt idx="111">
                  <c:v>31995.552734375</c:v>
                </c:pt>
                <c:pt idx="112">
                  <c:v>34995.55078125</c:v>
                </c:pt>
                <c:pt idx="113">
                  <c:v>38296.70703125</c:v>
                </c:pt>
                <c:pt idx="114">
                  <c:v>41892.23828125</c:v>
                </c:pt>
                <c:pt idx="115">
                  <c:v>45790.60546875</c:v>
                </c:pt>
                <c:pt idx="116">
                  <c:v>50084.66796875</c:v>
                </c:pt>
                <c:pt idx="117">
                  <c:v>54780.1484375</c:v>
                </c:pt>
                <c:pt idx="118">
                  <c:v>59479.92578125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554048"/>
        <c:axId val="103581184"/>
      </c:scatterChart>
      <c:valAx>
        <c:axId val="103554048"/>
        <c:scaling>
          <c:orientation val="maxMin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 sz="700" b="0"/>
                  <a:t>Mercury Saturation</a:t>
                </a:r>
              </a:p>
            </c:rich>
          </c:tx>
          <c:layout>
            <c:manualLayout>
              <c:xMode val="edge"/>
              <c:yMode val="edge"/>
              <c:x val="0.39370372327620123"/>
              <c:y val="0.936454877102626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/>
            </a:pPr>
            <a:endParaRPr lang="en-US"/>
          </a:p>
        </c:txPr>
        <c:crossAx val="103581184"/>
        <c:crossesAt val="1.0000000000000041E-3"/>
        <c:crossBetween val="midCat"/>
        <c:majorUnit val="0.2"/>
        <c:minorUnit val="0.1"/>
      </c:valAx>
      <c:valAx>
        <c:axId val="103581184"/>
        <c:scaling>
          <c:logBase val="10"/>
          <c:orientation val="minMax"/>
          <c:max val="100000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Injection Pressure, psia</a:t>
                </a:r>
              </a:p>
            </c:rich>
          </c:tx>
          <c:layout>
            <c:manualLayout>
              <c:xMode val="edge"/>
              <c:yMode val="edge"/>
              <c:x val="1.7605633802816906E-2"/>
              <c:y val="0.33779264214047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/>
            </a:pPr>
            <a:endParaRPr lang="en-US"/>
          </a:p>
        </c:txPr>
        <c:crossAx val="103554048"/>
        <c:crosses val="max"/>
        <c:crossBetween val="midCat"/>
        <c:majorUnit val="10"/>
        <c:minorUnit val="10"/>
      </c:valAx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3175">
      <a:solidFill>
        <a:schemeClr val="dk1"/>
      </a:solidFill>
    </a:ln>
  </c:spPr>
  <c:txPr>
    <a:bodyPr/>
    <a:lstStyle/>
    <a:p>
      <a:pPr>
        <a:defRPr sz="575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921" r="0.75000000000000921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4041119369915644"/>
          <c:y val="5.3511705685618735E-2"/>
          <c:w val="0.71747821581027194"/>
          <c:h val="0.8104070436011552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0066"/>
              </a:solidFill>
            </a:ln>
          </c:spPr>
          <c:marker>
            <c:symbol val="circl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xVal>
            <c:numRef>
              <c:f>Table!$C$18:$C$136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0.99445660251456947</c:v>
                </c:pt>
                <c:pt idx="35">
                  <c:v>0.98536179268009838</c:v>
                </c:pt>
                <c:pt idx="36">
                  <c:v>0.95888825113030685</c:v>
                </c:pt>
                <c:pt idx="37">
                  <c:v>0.91455567854750186</c:v>
                </c:pt>
                <c:pt idx="38">
                  <c:v>0.86768139320405524</c:v>
                </c:pt>
                <c:pt idx="39">
                  <c:v>0.81545276101264386</c:v>
                </c:pt>
                <c:pt idx="40">
                  <c:v>0.76815959469735595</c:v>
                </c:pt>
                <c:pt idx="41">
                  <c:v>0.7236826895324171</c:v>
                </c:pt>
                <c:pt idx="42">
                  <c:v>0.68129295396701983</c:v>
                </c:pt>
                <c:pt idx="43">
                  <c:v>0.64572468158575558</c:v>
                </c:pt>
                <c:pt idx="44">
                  <c:v>0.61471973558418114</c:v>
                </c:pt>
                <c:pt idx="45">
                  <c:v>0.58873626732003514</c:v>
                </c:pt>
                <c:pt idx="46">
                  <c:v>0.5658875248298022</c:v>
                </c:pt>
                <c:pt idx="47">
                  <c:v>0.54628270676521151</c:v>
                </c:pt>
                <c:pt idx="48">
                  <c:v>0.52748204960789524</c:v>
                </c:pt>
                <c:pt idx="49">
                  <c:v>0.51269861237329695</c:v>
                </c:pt>
                <c:pt idx="50">
                  <c:v>0.49896595746535877</c:v>
                </c:pt>
                <c:pt idx="51">
                  <c:v>0.48756216944917052</c:v>
                </c:pt>
                <c:pt idx="52">
                  <c:v>0.47665822750743159</c:v>
                </c:pt>
                <c:pt idx="53">
                  <c:v>0.46699520334710853</c:v>
                </c:pt>
                <c:pt idx="54">
                  <c:v>0.45862335702490575</c:v>
                </c:pt>
                <c:pt idx="55">
                  <c:v>0.45056661710926493</c:v>
                </c:pt>
                <c:pt idx="56">
                  <c:v>0.44312484596552537</c:v>
                </c:pt>
                <c:pt idx="57">
                  <c:v>0.43637543351583508</c:v>
                </c:pt>
                <c:pt idx="58">
                  <c:v>0.43022234984704588</c:v>
                </c:pt>
                <c:pt idx="59">
                  <c:v>0.42428249409149832</c:v>
                </c:pt>
                <c:pt idx="60">
                  <c:v>0.41861944597557954</c:v>
                </c:pt>
                <c:pt idx="61">
                  <c:v>0.41312581802077475</c:v>
                </c:pt>
                <c:pt idx="62">
                  <c:v>0.40777444262886509</c:v>
                </c:pt>
                <c:pt idx="63">
                  <c:v>0.40249030704254696</c:v>
                </c:pt>
                <c:pt idx="64">
                  <c:v>0.39736234741321108</c:v>
                </c:pt>
                <c:pt idx="65">
                  <c:v>0.39218197695897838</c:v>
                </c:pt>
                <c:pt idx="66">
                  <c:v>0.38699817282219295</c:v>
                </c:pt>
                <c:pt idx="67">
                  <c:v>0.38182451880196422</c:v>
                </c:pt>
                <c:pt idx="68">
                  <c:v>0.37661984844043583</c:v>
                </c:pt>
                <c:pt idx="69">
                  <c:v>0.37127002009231369</c:v>
                </c:pt>
                <c:pt idx="70">
                  <c:v>0.36565160984957923</c:v>
                </c:pt>
                <c:pt idx="71">
                  <c:v>0.35989302234659115</c:v>
                </c:pt>
                <c:pt idx="72">
                  <c:v>0.35307350240038637</c:v>
                </c:pt>
                <c:pt idx="73">
                  <c:v>0.34562656186643026</c:v>
                </c:pt>
                <c:pt idx="74">
                  <c:v>0.33563613041479601</c:v>
                </c:pt>
                <c:pt idx="75">
                  <c:v>0.32242301809001572</c:v>
                </c:pt>
                <c:pt idx="76">
                  <c:v>0.30530516724569789</c:v>
                </c:pt>
                <c:pt idx="77">
                  <c:v>0.28585746845747217</c:v>
                </c:pt>
                <c:pt idx="78">
                  <c:v>0.26573910732099693</c:v>
                </c:pt>
                <c:pt idx="79">
                  <c:v>0.24478164472731589</c:v>
                </c:pt>
                <c:pt idx="80">
                  <c:v>0.22539703513939813</c:v>
                </c:pt>
                <c:pt idx="81">
                  <c:v>0.20756860067055927</c:v>
                </c:pt>
                <c:pt idx="82">
                  <c:v>0.18959655525891417</c:v>
                </c:pt>
                <c:pt idx="83">
                  <c:v>0.17371233977037859</c:v>
                </c:pt>
                <c:pt idx="84">
                  <c:v>0.15899301052102144</c:v>
                </c:pt>
                <c:pt idx="85">
                  <c:v>0.14463991558876299</c:v>
                </c:pt>
                <c:pt idx="86">
                  <c:v>0.13215164987756856</c:v>
                </c:pt>
                <c:pt idx="87">
                  <c:v>0.12062760750648704</c:v>
                </c:pt>
                <c:pt idx="88">
                  <c:v>0.10922234791206198</c:v>
                </c:pt>
                <c:pt idx="89">
                  <c:v>9.9605697332587173E-2</c:v>
                </c:pt>
                <c:pt idx="90">
                  <c:v>9.0240347036635638E-2</c:v>
                </c:pt>
                <c:pt idx="91">
                  <c:v>8.1503473846143981E-2</c:v>
                </c:pt>
                <c:pt idx="92">
                  <c:v>7.3725239545020638E-2</c:v>
                </c:pt>
                <c:pt idx="93">
                  <c:v>6.6622120059632528E-2</c:v>
                </c:pt>
                <c:pt idx="94">
                  <c:v>5.9754830419893157E-2</c:v>
                </c:pt>
                <c:pt idx="95">
                  <c:v>5.3638121146496798E-2</c:v>
                </c:pt>
                <c:pt idx="96">
                  <c:v>4.7023112842438541E-2</c:v>
                </c:pt>
                <c:pt idx="97">
                  <c:v>4.1510958094959638E-2</c:v>
                </c:pt>
                <c:pt idx="98">
                  <c:v>3.6752100473645521E-2</c:v>
                </c:pt>
                <c:pt idx="99">
                  <c:v>3.2041314408068344E-2</c:v>
                </c:pt>
                <c:pt idx="100">
                  <c:v>2.8001718949595023E-2</c:v>
                </c:pt>
                <c:pt idx="101">
                  <c:v>2.3684787592639034E-2</c:v>
                </c:pt>
                <c:pt idx="102">
                  <c:v>1.9850156569615973E-2</c:v>
                </c:pt>
                <c:pt idx="103">
                  <c:v>1.6632984681664076E-2</c:v>
                </c:pt>
                <c:pt idx="104">
                  <c:v>1.3810044830086299E-2</c:v>
                </c:pt>
                <c:pt idx="105">
                  <c:v>1.1038647949573321E-2</c:v>
                </c:pt>
                <c:pt idx="106">
                  <c:v>8.5700188580982717E-3</c:v>
                </c:pt>
                <c:pt idx="107">
                  <c:v>7.026521951521314E-3</c:v>
                </c:pt>
                <c:pt idx="108">
                  <c:v>5.7876794727472758E-3</c:v>
                </c:pt>
                <c:pt idx="109">
                  <c:v>5.0870573009065279E-3</c:v>
                </c:pt>
                <c:pt idx="110">
                  <c:v>4.029030281388124E-3</c:v>
                </c:pt>
                <c:pt idx="111">
                  <c:v>3.17143976428369E-3</c:v>
                </c:pt>
                <c:pt idx="112">
                  <c:v>2.4856088403619747E-3</c:v>
                </c:pt>
                <c:pt idx="113">
                  <c:v>2.4171615859608364E-3</c:v>
                </c:pt>
                <c:pt idx="114">
                  <c:v>2.4171615859608364E-3</c:v>
                </c:pt>
                <c:pt idx="115">
                  <c:v>1.0815722713077847E-3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Table!$L$18:$L$136</c:f>
              <c:numCache>
                <c:formatCode>????0.00</c:formatCode>
                <c:ptCount val="119"/>
                <c:pt idx="0">
                  <c:v>0.28016920805562784</c:v>
                </c:pt>
                <c:pt idx="1">
                  <c:v>0.29661789065975258</c:v>
                </c:pt>
                <c:pt idx="2">
                  <c:v>0.33589029672686682</c:v>
                </c:pt>
                <c:pt idx="3">
                  <c:v>0.37272696812835737</c:v>
                </c:pt>
                <c:pt idx="4">
                  <c:v>0.40345928826304289</c:v>
                </c:pt>
                <c:pt idx="5">
                  <c:v>0.43958929631944765</c:v>
                </c:pt>
                <c:pt idx="6">
                  <c:v>0.48244009661043624</c:v>
                </c:pt>
                <c:pt idx="7">
                  <c:v>0.52825289507779782</c:v>
                </c:pt>
                <c:pt idx="8">
                  <c:v>0.57968890371993798</c:v>
                </c:pt>
                <c:pt idx="9">
                  <c:v>0.63468834813355357</c:v>
                </c:pt>
                <c:pt idx="10">
                  <c:v>0.69219865637686839</c:v>
                </c:pt>
                <c:pt idx="11">
                  <c:v>0.75691089794679356</c:v>
                </c:pt>
                <c:pt idx="12">
                  <c:v>0.82870482126053058</c:v>
                </c:pt>
                <c:pt idx="13">
                  <c:v>0.90538526219846871</c:v>
                </c:pt>
                <c:pt idx="14">
                  <c:v>0.98872630219917534</c:v>
                </c:pt>
                <c:pt idx="15">
                  <c:v>1.0841859346568785</c:v>
                </c:pt>
                <c:pt idx="16">
                  <c:v>1.1841861986022317</c:v>
                </c:pt>
                <c:pt idx="17">
                  <c:v>1.2955682726134492</c:v>
                </c:pt>
                <c:pt idx="18">
                  <c:v>1.4183922600217918</c:v>
                </c:pt>
                <c:pt idx="19">
                  <c:v>1.5523123645312626</c:v>
                </c:pt>
                <c:pt idx="20">
                  <c:v>1.6995687603795016</c:v>
                </c:pt>
                <c:pt idx="21">
                  <c:v>1.8584627423535431</c:v>
                </c:pt>
                <c:pt idx="22">
                  <c:v>2.0290841510083362</c:v>
                </c:pt>
                <c:pt idx="23">
                  <c:v>2.236572350110666</c:v>
                </c:pt>
                <c:pt idx="24">
                  <c:v>2.4248452716395108</c:v>
                </c:pt>
                <c:pt idx="25">
                  <c:v>2.6687341683903054</c:v>
                </c:pt>
                <c:pt idx="26">
                  <c:v>2.9125777855014054</c:v>
                </c:pt>
                <c:pt idx="27">
                  <c:v>3.1758621799789113</c:v>
                </c:pt>
                <c:pt idx="28">
                  <c:v>3.4830349433165053</c:v>
                </c:pt>
                <c:pt idx="29">
                  <c:v>3.822142789678296</c:v>
                </c:pt>
                <c:pt idx="30">
                  <c:v>4.1794735348436109</c:v>
                </c:pt>
                <c:pt idx="31">
                  <c:v>4.5763326867373664</c:v>
                </c:pt>
                <c:pt idx="32">
                  <c:v>5.0055775618789387</c:v>
                </c:pt>
                <c:pt idx="33">
                  <c:v>5.4571348778852897</c:v>
                </c:pt>
                <c:pt idx="34">
                  <c:v>5.9184179730081405</c:v>
                </c:pt>
                <c:pt idx="35">
                  <c:v>6.327366069975759</c:v>
                </c:pt>
                <c:pt idx="36">
                  <c:v>6.936663994911723</c:v>
                </c:pt>
                <c:pt idx="37">
                  <c:v>7.5437683728580653</c:v>
                </c:pt>
                <c:pt idx="38">
                  <c:v>8.3288792327570746</c:v>
                </c:pt>
                <c:pt idx="39">
                  <c:v>9.1482373122024327</c:v>
                </c:pt>
                <c:pt idx="40">
                  <c:v>9.9182657397366949</c:v>
                </c:pt>
                <c:pt idx="41">
                  <c:v>10.906381755046105</c:v>
                </c:pt>
                <c:pt idx="42">
                  <c:v>11.981645983553273</c:v>
                </c:pt>
                <c:pt idx="43">
                  <c:v>13.096924476510042</c:v>
                </c:pt>
                <c:pt idx="44">
                  <c:v>14.383086173498723</c:v>
                </c:pt>
                <c:pt idx="45">
                  <c:v>15.783180068650834</c:v>
                </c:pt>
                <c:pt idx="46">
                  <c:v>17.308103461919401</c:v>
                </c:pt>
                <c:pt idx="47">
                  <c:v>18.837720125778475</c:v>
                </c:pt>
                <c:pt idx="48">
                  <c:v>20.753987538953623</c:v>
                </c:pt>
                <c:pt idx="49">
                  <c:v>22.594173657851783</c:v>
                </c:pt>
                <c:pt idx="50">
                  <c:v>24.913863973865219</c:v>
                </c:pt>
                <c:pt idx="51">
                  <c:v>27.080786535346547</c:v>
                </c:pt>
                <c:pt idx="52">
                  <c:v>29.783480792869586</c:v>
                </c:pt>
                <c:pt idx="53">
                  <c:v>32.550377267132106</c:v>
                </c:pt>
                <c:pt idx="54">
                  <c:v>35.544065800857624</c:v>
                </c:pt>
                <c:pt idx="55">
                  <c:v>38.970541443125221</c:v>
                </c:pt>
                <c:pt idx="56">
                  <c:v>42.763621172639915</c:v>
                </c:pt>
                <c:pt idx="57">
                  <c:v>46.882311822265379</c:v>
                </c:pt>
                <c:pt idx="58">
                  <c:v>51.224709766059135</c:v>
                </c:pt>
                <c:pt idx="59">
                  <c:v>56.139519977824769</c:v>
                </c:pt>
                <c:pt idx="60">
                  <c:v>61.368177028074015</c:v>
                </c:pt>
                <c:pt idx="61">
                  <c:v>67.241995634070207</c:v>
                </c:pt>
                <c:pt idx="62">
                  <c:v>73.784981192095572</c:v>
                </c:pt>
                <c:pt idx="63">
                  <c:v>80.653416675957232</c:v>
                </c:pt>
                <c:pt idx="64">
                  <c:v>88.150184064088464</c:v>
                </c:pt>
                <c:pt idx="65">
                  <c:v>96.390658753327386</c:v>
                </c:pt>
                <c:pt idx="66">
                  <c:v>105.60409084072037</c:v>
                </c:pt>
                <c:pt idx="67">
                  <c:v>115.46781905125673</c:v>
                </c:pt>
                <c:pt idx="68">
                  <c:v>126.38252938510877</c:v>
                </c:pt>
                <c:pt idx="69">
                  <c:v>138.26769020626961</c:v>
                </c:pt>
                <c:pt idx="70">
                  <c:v>151.42150890941738</c:v>
                </c:pt>
                <c:pt idx="71">
                  <c:v>165.52978216874652</c:v>
                </c:pt>
                <c:pt idx="72">
                  <c:v>181.24671021855616</c:v>
                </c:pt>
                <c:pt idx="73">
                  <c:v>197.31984960021646</c:v>
                </c:pt>
                <c:pt idx="74">
                  <c:v>216.3199568884265</c:v>
                </c:pt>
                <c:pt idx="75">
                  <c:v>236.89638211713111</c:v>
                </c:pt>
                <c:pt idx="76">
                  <c:v>259.53921485699186</c:v>
                </c:pt>
                <c:pt idx="77">
                  <c:v>284.0370006280865</c:v>
                </c:pt>
                <c:pt idx="78">
                  <c:v>310.35096280945049</c:v>
                </c:pt>
                <c:pt idx="79">
                  <c:v>340.52043887494727</c:v>
                </c:pt>
                <c:pt idx="80">
                  <c:v>372.71706284781209</c:v>
                </c:pt>
                <c:pt idx="81">
                  <c:v>406.09770771265806</c:v>
                </c:pt>
                <c:pt idx="82">
                  <c:v>445.67460821648575</c:v>
                </c:pt>
                <c:pt idx="83">
                  <c:v>487.62074646174324</c:v>
                </c:pt>
                <c:pt idx="84">
                  <c:v>532.81965902670868</c:v>
                </c:pt>
                <c:pt idx="85">
                  <c:v>583.19987332604796</c:v>
                </c:pt>
                <c:pt idx="86">
                  <c:v>638.1803380240251</c:v>
                </c:pt>
                <c:pt idx="87">
                  <c:v>698.11850640832245</c:v>
                </c:pt>
                <c:pt idx="88">
                  <c:v>764.72740355763972</c:v>
                </c:pt>
                <c:pt idx="89">
                  <c:v>835.43792883838671</c:v>
                </c:pt>
                <c:pt idx="90">
                  <c:v>912.74949536249119</c:v>
                </c:pt>
                <c:pt idx="91">
                  <c:v>999.18851728162736</c:v>
                </c:pt>
                <c:pt idx="92">
                  <c:v>1093.9053128135192</c:v>
                </c:pt>
                <c:pt idx="93">
                  <c:v>1197.024169538056</c:v>
                </c:pt>
                <c:pt idx="94">
                  <c:v>1308.3446265843434</c:v>
                </c:pt>
                <c:pt idx="95">
                  <c:v>1432.3079180062091</c:v>
                </c:pt>
                <c:pt idx="96">
                  <c:v>1566.2352830699688</c:v>
                </c:pt>
                <c:pt idx="97">
                  <c:v>1713.0718130376404</c:v>
                </c:pt>
                <c:pt idx="98">
                  <c:v>1875.3262586890714</c:v>
                </c:pt>
                <c:pt idx="99">
                  <c:v>2052.3651305534136</c:v>
                </c:pt>
                <c:pt idx="100">
                  <c:v>2240.9348723387679</c:v>
                </c:pt>
                <c:pt idx="101">
                  <c:v>2447.9823409900496</c:v>
                </c:pt>
                <c:pt idx="102">
                  <c:v>2692.9517810003599</c:v>
                </c:pt>
                <c:pt idx="103">
                  <c:v>2938.0790873963765</c:v>
                </c:pt>
                <c:pt idx="104">
                  <c:v>3220.670405438108</c:v>
                </c:pt>
                <c:pt idx="105">
                  <c:v>3522.0277680921554</c:v>
                </c:pt>
                <c:pt idx="106">
                  <c:v>3842.2705871118101</c:v>
                </c:pt>
                <c:pt idx="107">
                  <c:v>4200.3270053445949</c:v>
                </c:pt>
                <c:pt idx="108">
                  <c:v>4596.117537617286</c:v>
                </c:pt>
                <c:pt idx="109">
                  <c:v>5029.6013373825344</c:v>
                </c:pt>
                <c:pt idx="110">
                  <c:v>5519.5575127880693</c:v>
                </c:pt>
                <c:pt idx="111">
                  <c:v>6028.2596775191578</c:v>
                </c:pt>
                <c:pt idx="112">
                  <c:v>6593.487208006015</c:v>
                </c:pt>
                <c:pt idx="113">
                  <c:v>7215.4557445796991</c:v>
                </c:pt>
                <c:pt idx="114">
                  <c:v>7892.8872686911218</c:v>
                </c:pt>
                <c:pt idx="115">
                  <c:v>8627.3758996476972</c:v>
                </c:pt>
                <c:pt idx="116">
                  <c:v>9436.4172072443725</c:v>
                </c:pt>
                <c:pt idx="117">
                  <c:v>10321.089393136437</c:v>
                </c:pt>
                <c:pt idx="118">
                  <c:v>11206.571150237254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951360"/>
        <c:axId val="103965824"/>
      </c:scatterChart>
      <c:scatterChart>
        <c:scatterStyle val="lineMarker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xVal>
            <c:numRef>
              <c:f>Table!$C$18:$C$136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0.99445660251456947</c:v>
                </c:pt>
                <c:pt idx="35">
                  <c:v>0.98536179268009838</c:v>
                </c:pt>
                <c:pt idx="36">
                  <c:v>0.95888825113030685</c:v>
                </c:pt>
                <c:pt idx="37">
                  <c:v>0.91455567854750186</c:v>
                </c:pt>
                <c:pt idx="38">
                  <c:v>0.86768139320405524</c:v>
                </c:pt>
                <c:pt idx="39">
                  <c:v>0.81545276101264386</c:v>
                </c:pt>
                <c:pt idx="40">
                  <c:v>0.76815959469735595</c:v>
                </c:pt>
                <c:pt idx="41">
                  <c:v>0.7236826895324171</c:v>
                </c:pt>
                <c:pt idx="42">
                  <c:v>0.68129295396701983</c:v>
                </c:pt>
                <c:pt idx="43">
                  <c:v>0.64572468158575558</c:v>
                </c:pt>
                <c:pt idx="44">
                  <c:v>0.61471973558418114</c:v>
                </c:pt>
                <c:pt idx="45">
                  <c:v>0.58873626732003514</c:v>
                </c:pt>
                <c:pt idx="46">
                  <c:v>0.5658875248298022</c:v>
                </c:pt>
                <c:pt idx="47">
                  <c:v>0.54628270676521151</c:v>
                </c:pt>
                <c:pt idx="48">
                  <c:v>0.52748204960789524</c:v>
                </c:pt>
                <c:pt idx="49">
                  <c:v>0.51269861237329695</c:v>
                </c:pt>
                <c:pt idx="50">
                  <c:v>0.49896595746535877</c:v>
                </c:pt>
                <c:pt idx="51">
                  <c:v>0.48756216944917052</c:v>
                </c:pt>
                <c:pt idx="52">
                  <c:v>0.47665822750743159</c:v>
                </c:pt>
                <c:pt idx="53">
                  <c:v>0.46699520334710853</c:v>
                </c:pt>
                <c:pt idx="54">
                  <c:v>0.45862335702490575</c:v>
                </c:pt>
                <c:pt idx="55">
                  <c:v>0.45056661710926493</c:v>
                </c:pt>
                <c:pt idx="56">
                  <c:v>0.44312484596552537</c:v>
                </c:pt>
                <c:pt idx="57">
                  <c:v>0.43637543351583508</c:v>
                </c:pt>
                <c:pt idx="58">
                  <c:v>0.43022234984704588</c:v>
                </c:pt>
                <c:pt idx="59">
                  <c:v>0.42428249409149832</c:v>
                </c:pt>
                <c:pt idx="60">
                  <c:v>0.41861944597557954</c:v>
                </c:pt>
                <c:pt idx="61">
                  <c:v>0.41312581802077475</c:v>
                </c:pt>
                <c:pt idx="62">
                  <c:v>0.40777444262886509</c:v>
                </c:pt>
                <c:pt idx="63">
                  <c:v>0.40249030704254696</c:v>
                </c:pt>
                <c:pt idx="64">
                  <c:v>0.39736234741321108</c:v>
                </c:pt>
                <c:pt idx="65">
                  <c:v>0.39218197695897838</c:v>
                </c:pt>
                <c:pt idx="66">
                  <c:v>0.38699817282219295</c:v>
                </c:pt>
                <c:pt idx="67">
                  <c:v>0.38182451880196422</c:v>
                </c:pt>
                <c:pt idx="68">
                  <c:v>0.37661984844043583</c:v>
                </c:pt>
                <c:pt idx="69">
                  <c:v>0.37127002009231369</c:v>
                </c:pt>
                <c:pt idx="70">
                  <c:v>0.36565160984957923</c:v>
                </c:pt>
                <c:pt idx="71">
                  <c:v>0.35989302234659115</c:v>
                </c:pt>
                <c:pt idx="72">
                  <c:v>0.35307350240038637</c:v>
                </c:pt>
                <c:pt idx="73">
                  <c:v>0.34562656186643026</c:v>
                </c:pt>
                <c:pt idx="74">
                  <c:v>0.33563613041479601</c:v>
                </c:pt>
                <c:pt idx="75">
                  <c:v>0.32242301809001572</c:v>
                </c:pt>
                <c:pt idx="76">
                  <c:v>0.30530516724569789</c:v>
                </c:pt>
                <c:pt idx="77">
                  <c:v>0.28585746845747217</c:v>
                </c:pt>
                <c:pt idx="78">
                  <c:v>0.26573910732099693</c:v>
                </c:pt>
                <c:pt idx="79">
                  <c:v>0.24478164472731589</c:v>
                </c:pt>
                <c:pt idx="80">
                  <c:v>0.22539703513939813</c:v>
                </c:pt>
                <c:pt idx="81">
                  <c:v>0.20756860067055927</c:v>
                </c:pt>
                <c:pt idx="82">
                  <c:v>0.18959655525891417</c:v>
                </c:pt>
                <c:pt idx="83">
                  <c:v>0.17371233977037859</c:v>
                </c:pt>
                <c:pt idx="84">
                  <c:v>0.15899301052102144</c:v>
                </c:pt>
                <c:pt idx="85">
                  <c:v>0.14463991558876299</c:v>
                </c:pt>
                <c:pt idx="86">
                  <c:v>0.13215164987756856</c:v>
                </c:pt>
                <c:pt idx="87">
                  <c:v>0.12062760750648704</c:v>
                </c:pt>
                <c:pt idx="88">
                  <c:v>0.10922234791206198</c:v>
                </c:pt>
                <c:pt idx="89">
                  <c:v>9.9605697332587173E-2</c:v>
                </c:pt>
                <c:pt idx="90">
                  <c:v>9.0240347036635638E-2</c:v>
                </c:pt>
                <c:pt idx="91">
                  <c:v>8.1503473846143981E-2</c:v>
                </c:pt>
                <c:pt idx="92">
                  <c:v>7.3725239545020638E-2</c:v>
                </c:pt>
                <c:pt idx="93">
                  <c:v>6.6622120059632528E-2</c:v>
                </c:pt>
                <c:pt idx="94">
                  <c:v>5.9754830419893157E-2</c:v>
                </c:pt>
                <c:pt idx="95">
                  <c:v>5.3638121146496798E-2</c:v>
                </c:pt>
                <c:pt idx="96">
                  <c:v>4.7023112842438541E-2</c:v>
                </c:pt>
                <c:pt idx="97">
                  <c:v>4.1510958094959638E-2</c:v>
                </c:pt>
                <c:pt idx="98">
                  <c:v>3.6752100473645521E-2</c:v>
                </c:pt>
                <c:pt idx="99">
                  <c:v>3.2041314408068344E-2</c:v>
                </c:pt>
                <c:pt idx="100">
                  <c:v>2.8001718949595023E-2</c:v>
                </c:pt>
                <c:pt idx="101">
                  <c:v>2.3684787592639034E-2</c:v>
                </c:pt>
                <c:pt idx="102">
                  <c:v>1.9850156569615973E-2</c:v>
                </c:pt>
                <c:pt idx="103">
                  <c:v>1.6632984681664076E-2</c:v>
                </c:pt>
                <c:pt idx="104">
                  <c:v>1.3810044830086299E-2</c:v>
                </c:pt>
                <c:pt idx="105">
                  <c:v>1.1038647949573321E-2</c:v>
                </c:pt>
                <c:pt idx="106">
                  <c:v>8.5700188580982717E-3</c:v>
                </c:pt>
                <c:pt idx="107">
                  <c:v>7.026521951521314E-3</c:v>
                </c:pt>
                <c:pt idx="108">
                  <c:v>5.7876794727472758E-3</c:v>
                </c:pt>
                <c:pt idx="109">
                  <c:v>5.0870573009065279E-3</c:v>
                </c:pt>
                <c:pt idx="110">
                  <c:v>4.029030281388124E-3</c:v>
                </c:pt>
                <c:pt idx="111">
                  <c:v>3.17143976428369E-3</c:v>
                </c:pt>
                <c:pt idx="112">
                  <c:v>2.4856088403619747E-3</c:v>
                </c:pt>
                <c:pt idx="113">
                  <c:v>2.4171615859608364E-3</c:v>
                </c:pt>
                <c:pt idx="114">
                  <c:v>2.4171615859608364E-3</c:v>
                </c:pt>
                <c:pt idx="115">
                  <c:v>1.0815722713077847E-3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Table!$O$18:$O$136</c:f>
              <c:numCache>
                <c:formatCode>????0.00</c:formatCode>
                <c:ptCount val="119"/>
                <c:pt idx="0">
                  <c:v>0.60096355224287401</c:v>
                </c:pt>
                <c:pt idx="1">
                  <c:v>0.63624601171118111</c:v>
                </c:pt>
                <c:pt idx="2">
                  <c:v>0.72048540696453645</c:v>
                </c:pt>
                <c:pt idx="3">
                  <c:v>0.79950014613547293</c:v>
                </c:pt>
                <c:pt idx="4">
                  <c:v>0.86542103874526588</c:v>
                </c:pt>
                <c:pt idx="5">
                  <c:v>0.9429199835251989</c:v>
                </c:pt>
                <c:pt idx="6">
                  <c:v>1.0348350420644281</c:v>
                </c:pt>
                <c:pt idx="7">
                  <c:v>1.1331035930454696</c:v>
                </c:pt>
                <c:pt idx="8">
                  <c:v>1.243433941913209</c:v>
                </c:pt>
                <c:pt idx="9">
                  <c:v>1.3614078681543407</c:v>
                </c:pt>
                <c:pt idx="10">
                  <c:v>1.4847676026959857</c:v>
                </c:pt>
                <c:pt idx="11">
                  <c:v>1.623575499671372</c:v>
                </c:pt>
                <c:pt idx="12">
                  <c:v>1.7775736191774576</c:v>
                </c:pt>
                <c:pt idx="13">
                  <c:v>1.9420533294690452</c:v>
                </c:pt>
                <c:pt idx="14">
                  <c:v>2.1208200390372705</c:v>
                </c:pt>
                <c:pt idx="15">
                  <c:v>2.32558115542016</c:v>
                </c:pt>
                <c:pt idx="16">
                  <c:v>2.5400819360837232</c:v>
                </c:pt>
                <c:pt idx="17">
                  <c:v>2.7789967237525728</c:v>
                </c:pt>
                <c:pt idx="18">
                  <c:v>3.0424544402011842</c:v>
                </c:pt>
                <c:pt idx="19">
                  <c:v>3.3297133516329107</c:v>
                </c:pt>
                <c:pt idx="20">
                  <c:v>3.6455786365926683</c:v>
                </c:pt>
                <c:pt idx="21">
                  <c:v>3.9864065687549188</c:v>
                </c:pt>
                <c:pt idx="22">
                  <c:v>4.3523898563027377</c:v>
                </c:pt>
                <c:pt idx="23">
                  <c:v>4.7974524884398679</c:v>
                </c:pt>
                <c:pt idx="24">
                  <c:v>5.2012983089650602</c:v>
                </c:pt>
                <c:pt idx="25">
                  <c:v>5.7244405156377214</c:v>
                </c:pt>
                <c:pt idx="26">
                  <c:v>6.2474855973861132</c:v>
                </c:pt>
                <c:pt idx="27">
                  <c:v>6.8122311882859536</c:v>
                </c:pt>
                <c:pt idx="28">
                  <c:v>7.4711174245313297</c:v>
                </c:pt>
                <c:pt idx="29">
                  <c:v>8.1985044823644291</c:v>
                </c:pt>
                <c:pt idx="30">
                  <c:v>8.9649796972192437</c:v>
                </c:pt>
                <c:pt idx="31">
                  <c:v>9.8162434292950813</c:v>
                </c:pt>
                <c:pt idx="32">
                  <c:v>10.736974607204933</c:v>
                </c:pt>
                <c:pt idx="33">
                  <c:v>11.705566018629968</c:v>
                </c:pt>
                <c:pt idx="34">
                  <c:v>12.695019247121712</c:v>
                </c:pt>
                <c:pt idx="35">
                  <c:v>13.572213792311796</c:v>
                </c:pt>
                <c:pt idx="36">
                  <c:v>14.879159148244796</c:v>
                </c:pt>
                <c:pt idx="37">
                  <c:v>16.181399341179894</c:v>
                </c:pt>
                <c:pt idx="38">
                  <c:v>17.865463819727747</c:v>
                </c:pt>
                <c:pt idx="39">
                  <c:v>19.622988657662876</c:v>
                </c:pt>
                <c:pt idx="40">
                  <c:v>21.2747012864365</c:v>
                </c:pt>
                <c:pt idx="41">
                  <c:v>23.394212258786158</c:v>
                </c:pt>
                <c:pt idx="42">
                  <c:v>25.70065633537811</c:v>
                </c:pt>
                <c:pt idx="43">
                  <c:v>28.092931095045138</c:v>
                </c:pt>
                <c:pt idx="44">
                  <c:v>30.851750693905458</c:v>
                </c:pt>
                <c:pt idx="45">
                  <c:v>33.85495510221115</c:v>
                </c:pt>
                <c:pt idx="46">
                  <c:v>37.125919051736176</c:v>
                </c:pt>
                <c:pt idx="47">
                  <c:v>40.406950076744906</c:v>
                </c:pt>
                <c:pt idx="48">
                  <c:v>44.517347788403313</c:v>
                </c:pt>
                <c:pt idx="49">
                  <c:v>48.464550960643038</c:v>
                </c:pt>
                <c:pt idx="50">
                  <c:v>53.440291664232561</c:v>
                </c:pt>
                <c:pt idx="51">
                  <c:v>58.088345206663554</c:v>
                </c:pt>
                <c:pt idx="52">
                  <c:v>63.885630186335455</c:v>
                </c:pt>
                <c:pt idx="53">
                  <c:v>69.820629058627432</c:v>
                </c:pt>
                <c:pt idx="54">
                  <c:v>76.242097384936997</c:v>
                </c:pt>
                <c:pt idx="55">
                  <c:v>83.591894987398589</c:v>
                </c:pt>
                <c:pt idx="56">
                  <c:v>91.72805914337178</c:v>
                </c:pt>
                <c:pt idx="57">
                  <c:v>100.56265942141867</c:v>
                </c:pt>
                <c:pt idx="58">
                  <c:v>109.87711232530918</c:v>
                </c:pt>
                <c:pt idx="59">
                  <c:v>120.41939077182492</c:v>
                </c:pt>
                <c:pt idx="60">
                  <c:v>131.63487136009013</c:v>
                </c:pt>
                <c:pt idx="61">
                  <c:v>144.23422486930548</c:v>
                </c:pt>
                <c:pt idx="62">
                  <c:v>158.26894292598794</c:v>
                </c:pt>
                <c:pt idx="63">
                  <c:v>173.00175177168006</c:v>
                </c:pt>
                <c:pt idx="64">
                  <c:v>189.08233389980367</c:v>
                </c:pt>
                <c:pt idx="65">
                  <c:v>206.75816978405703</c:v>
                </c:pt>
                <c:pt idx="66">
                  <c:v>226.52100137434661</c:v>
                </c:pt>
                <c:pt idx="67">
                  <c:v>247.67871954366527</c:v>
                </c:pt>
                <c:pt idx="68">
                  <c:v>271.09079662185496</c:v>
                </c:pt>
                <c:pt idx="69">
                  <c:v>296.58449207694042</c:v>
                </c:pt>
                <c:pt idx="70">
                  <c:v>324.79946141016177</c:v>
                </c:pt>
                <c:pt idx="71">
                  <c:v>355.06173781369915</c:v>
                </c:pt>
                <c:pt idx="72">
                  <c:v>388.77458219338524</c:v>
                </c:pt>
                <c:pt idx="73">
                  <c:v>423.25150064396502</c:v>
                </c:pt>
                <c:pt idx="74">
                  <c:v>464.00677153244641</c:v>
                </c:pt>
                <c:pt idx="75">
                  <c:v>508.14324778449412</c:v>
                </c:pt>
                <c:pt idx="76">
                  <c:v>556.7121725804202</c:v>
                </c:pt>
                <c:pt idx="77">
                  <c:v>609.25997560722124</c:v>
                </c:pt>
                <c:pt idx="78">
                  <c:v>665.70348092975235</c:v>
                </c:pt>
                <c:pt idx="79">
                  <c:v>730.41707180383389</c:v>
                </c:pt>
                <c:pt idx="80">
                  <c:v>799.47889928745633</c:v>
                </c:pt>
                <c:pt idx="81">
                  <c:v>871.0804541241057</c:v>
                </c:pt>
                <c:pt idx="82">
                  <c:v>955.97299059735258</c:v>
                </c:pt>
                <c:pt idx="83">
                  <c:v>1045.9475471079866</c:v>
                </c:pt>
                <c:pt idx="84">
                  <c:v>1142.8993115116018</c:v>
                </c:pt>
                <c:pt idx="85">
                  <c:v>1250.9649792493524</c:v>
                </c:pt>
                <c:pt idx="86">
                  <c:v>1368.8981939597281</c:v>
                </c:pt>
                <c:pt idx="87">
                  <c:v>1497.4656937115456</c:v>
                </c:pt>
                <c:pt idx="88">
                  <c:v>1640.3419209730584</c:v>
                </c:pt>
                <c:pt idx="89">
                  <c:v>1792.016149374489</c:v>
                </c:pt>
                <c:pt idx="90">
                  <c:v>1957.8496254021691</c:v>
                </c:pt>
                <c:pt idx="91">
                  <c:v>2143.2615128306038</c:v>
                </c:pt>
                <c:pt idx="92">
                  <c:v>2346.4292424142418</c:v>
                </c:pt>
                <c:pt idx="93">
                  <c:v>2567.6194112785415</c:v>
                </c:pt>
                <c:pt idx="94">
                  <c:v>2806.4020304254473</c:v>
                </c:pt>
                <c:pt idx="95">
                  <c:v>3072.3035564268753</c:v>
                </c:pt>
                <c:pt idx="96">
                  <c:v>3359.5780417631249</c:v>
                </c:pt>
                <c:pt idx="97">
                  <c:v>3674.5427135084528</c:v>
                </c:pt>
                <c:pt idx="98">
                  <c:v>4022.5788474669062</c:v>
                </c:pt>
                <c:pt idx="99">
                  <c:v>4402.3276073646803</c:v>
                </c:pt>
                <c:pt idx="100">
                  <c:v>4806.8101079767657</c:v>
                </c:pt>
                <c:pt idx="101">
                  <c:v>5250.9273723510296</c:v>
                </c:pt>
                <c:pt idx="102">
                  <c:v>5776.3873466331197</c:v>
                </c:pt>
                <c:pt idx="103">
                  <c:v>6302.1859446511726</c:v>
                </c:pt>
                <c:pt idx="104">
                  <c:v>6908.3449280096702</c:v>
                </c:pt>
                <c:pt idx="105">
                  <c:v>7554.7571173147917</c:v>
                </c:pt>
                <c:pt idx="106">
                  <c:v>8241.6786510334841</c:v>
                </c:pt>
                <c:pt idx="107">
                  <c:v>9009.7104361745933</c:v>
                </c:pt>
                <c:pt idx="108">
                  <c:v>9858.6819768710575</c:v>
                </c:pt>
                <c:pt idx="109">
                  <c:v>10788.505657191195</c:v>
                </c:pt>
                <c:pt idx="110">
                  <c:v>11839.462704393114</c:v>
                </c:pt>
                <c:pt idx="111">
                  <c:v>12930.629938908532</c:v>
                </c:pt>
                <c:pt idx="112">
                  <c:v>14143.044204217107</c:v>
                </c:pt>
                <c:pt idx="113">
                  <c:v>15477.168049291507</c:v>
                </c:pt>
                <c:pt idx="114">
                  <c:v>16930.26012160258</c:v>
                </c:pt>
                <c:pt idx="115">
                  <c:v>18505.739810484123</c:v>
                </c:pt>
                <c:pt idx="116">
                  <c:v>20241.13515067433</c:v>
                </c:pt>
                <c:pt idx="117">
                  <c:v>22138.758887036547</c:v>
                </c:pt>
                <c:pt idx="118">
                  <c:v>24038.11915537807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978112"/>
        <c:axId val="103967744"/>
      </c:scatterChart>
      <c:valAx>
        <c:axId val="103951360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Wetting Phase Saturation (1- Hg), fraction pore space</a:t>
                </a:r>
              </a:p>
            </c:rich>
          </c:tx>
          <c:layout>
            <c:manualLayout>
              <c:xMode val="edge"/>
              <c:yMode val="edge"/>
              <c:x val="0.14857000438896698"/>
              <c:y val="0.9176490198987425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50"/>
            </a:pPr>
            <a:endParaRPr lang="en-US"/>
          </a:p>
        </c:txPr>
        <c:crossAx val="103965824"/>
        <c:crossesAt val="0"/>
        <c:crossBetween val="midCat"/>
        <c:majorUnit val="0.2"/>
        <c:minorUnit val="0.1"/>
      </c:valAx>
      <c:valAx>
        <c:axId val="10396582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Equivalent Gas-Water Capillary Pressure, psia</a:t>
                </a:r>
              </a:p>
            </c:rich>
          </c:tx>
          <c:layout>
            <c:manualLayout>
              <c:xMode val="edge"/>
              <c:yMode val="edge"/>
              <c:x val="3.1998164015806128E-3"/>
              <c:y val="0.14119338136716139"/>
            </c:manualLayout>
          </c:layout>
          <c:overlay val="0"/>
          <c:spPr>
            <a:noFill/>
            <a:ln w="25400">
              <a:noFill/>
            </a:ln>
          </c:spPr>
        </c:title>
        <c:numFmt formatCode="????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50"/>
            </a:pPr>
            <a:endParaRPr lang="en-US"/>
          </a:p>
        </c:txPr>
        <c:crossAx val="103951360"/>
        <c:crossesAt val="0"/>
        <c:crossBetween val="midCat"/>
        <c:majorUnit val="400"/>
        <c:minorUnit val="200"/>
      </c:valAx>
      <c:valAx>
        <c:axId val="103967744"/>
        <c:scaling>
          <c:orientation val="minMax"/>
          <c:max val="429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Estimated Height Above Free Water, ft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03978112"/>
        <c:crosses val="max"/>
        <c:crossBetween val="midCat"/>
        <c:majorUnit val="858"/>
        <c:minorUnit val="429"/>
      </c:valAx>
      <c:valAx>
        <c:axId val="10397811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1039677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3175">
      <a:solidFill>
        <a:sysClr val="windowText" lastClr="000000"/>
      </a:solidFill>
    </a:ln>
  </c:spPr>
  <c:txPr>
    <a:bodyPr/>
    <a:lstStyle/>
    <a:p>
      <a:pPr>
        <a:defRPr sz="575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1199" r="0.75000000000001199" t="1" header="0.5" footer="0.5"/>
    <c:pageSetup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9031174022717789"/>
          <c:y val="7.0234113712374549E-2"/>
          <c:w val="0.73356525323931165"/>
          <c:h val="0.7915273132664436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Table!$C$18:$C$136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0.99445660251456947</c:v>
                </c:pt>
                <c:pt idx="35">
                  <c:v>0.98536179268009838</c:v>
                </c:pt>
                <c:pt idx="36">
                  <c:v>0.95888825113030685</c:v>
                </c:pt>
                <c:pt idx="37">
                  <c:v>0.91455567854750186</c:v>
                </c:pt>
                <c:pt idx="38">
                  <c:v>0.86768139320405524</c:v>
                </c:pt>
                <c:pt idx="39">
                  <c:v>0.81545276101264386</c:v>
                </c:pt>
                <c:pt idx="40">
                  <c:v>0.76815959469735595</c:v>
                </c:pt>
                <c:pt idx="41">
                  <c:v>0.7236826895324171</c:v>
                </c:pt>
                <c:pt idx="42">
                  <c:v>0.68129295396701983</c:v>
                </c:pt>
                <c:pt idx="43">
                  <c:v>0.64572468158575558</c:v>
                </c:pt>
                <c:pt idx="44">
                  <c:v>0.61471973558418114</c:v>
                </c:pt>
                <c:pt idx="45">
                  <c:v>0.58873626732003514</c:v>
                </c:pt>
                <c:pt idx="46">
                  <c:v>0.5658875248298022</c:v>
                </c:pt>
                <c:pt idx="47">
                  <c:v>0.54628270676521151</c:v>
                </c:pt>
                <c:pt idx="48">
                  <c:v>0.52748204960789524</c:v>
                </c:pt>
                <c:pt idx="49">
                  <c:v>0.51269861237329695</c:v>
                </c:pt>
                <c:pt idx="50">
                  <c:v>0.49896595746535877</c:v>
                </c:pt>
                <c:pt idx="51">
                  <c:v>0.48756216944917052</c:v>
                </c:pt>
                <c:pt idx="52">
                  <c:v>0.47665822750743159</c:v>
                </c:pt>
                <c:pt idx="53">
                  <c:v>0.46699520334710853</c:v>
                </c:pt>
                <c:pt idx="54">
                  <c:v>0.45862335702490575</c:v>
                </c:pt>
                <c:pt idx="55">
                  <c:v>0.45056661710926493</c:v>
                </c:pt>
                <c:pt idx="56">
                  <c:v>0.44312484596552537</c:v>
                </c:pt>
                <c:pt idx="57">
                  <c:v>0.43637543351583508</c:v>
                </c:pt>
                <c:pt idx="58">
                  <c:v>0.43022234984704588</c:v>
                </c:pt>
                <c:pt idx="59">
                  <c:v>0.42428249409149832</c:v>
                </c:pt>
                <c:pt idx="60">
                  <c:v>0.41861944597557954</c:v>
                </c:pt>
                <c:pt idx="61">
                  <c:v>0.41312581802077475</c:v>
                </c:pt>
                <c:pt idx="62">
                  <c:v>0.40777444262886509</c:v>
                </c:pt>
                <c:pt idx="63">
                  <c:v>0.40249030704254696</c:v>
                </c:pt>
                <c:pt idx="64">
                  <c:v>0.39736234741321108</c:v>
                </c:pt>
                <c:pt idx="65">
                  <c:v>0.39218197695897838</c:v>
                </c:pt>
                <c:pt idx="66">
                  <c:v>0.38699817282219295</c:v>
                </c:pt>
                <c:pt idx="67">
                  <c:v>0.38182451880196422</c:v>
                </c:pt>
                <c:pt idx="68">
                  <c:v>0.37661984844043583</c:v>
                </c:pt>
                <c:pt idx="69">
                  <c:v>0.37127002009231369</c:v>
                </c:pt>
                <c:pt idx="70">
                  <c:v>0.36565160984957923</c:v>
                </c:pt>
                <c:pt idx="71">
                  <c:v>0.35989302234659115</c:v>
                </c:pt>
                <c:pt idx="72">
                  <c:v>0.35307350240038637</c:v>
                </c:pt>
                <c:pt idx="73">
                  <c:v>0.34562656186643026</c:v>
                </c:pt>
                <c:pt idx="74">
                  <c:v>0.33563613041479601</c:v>
                </c:pt>
                <c:pt idx="75">
                  <c:v>0.32242301809001572</c:v>
                </c:pt>
                <c:pt idx="76">
                  <c:v>0.30530516724569789</c:v>
                </c:pt>
                <c:pt idx="77">
                  <c:v>0.28585746845747217</c:v>
                </c:pt>
                <c:pt idx="78">
                  <c:v>0.26573910732099693</c:v>
                </c:pt>
                <c:pt idx="79">
                  <c:v>0.24478164472731589</c:v>
                </c:pt>
                <c:pt idx="80">
                  <c:v>0.22539703513939813</c:v>
                </c:pt>
                <c:pt idx="81">
                  <c:v>0.20756860067055927</c:v>
                </c:pt>
                <c:pt idx="82">
                  <c:v>0.18959655525891417</c:v>
                </c:pt>
                <c:pt idx="83">
                  <c:v>0.17371233977037859</c:v>
                </c:pt>
                <c:pt idx="84">
                  <c:v>0.15899301052102144</c:v>
                </c:pt>
                <c:pt idx="85">
                  <c:v>0.14463991558876299</c:v>
                </c:pt>
                <c:pt idx="86">
                  <c:v>0.13215164987756856</c:v>
                </c:pt>
                <c:pt idx="87">
                  <c:v>0.12062760750648704</c:v>
                </c:pt>
                <c:pt idx="88">
                  <c:v>0.10922234791206198</c:v>
                </c:pt>
                <c:pt idx="89">
                  <c:v>9.9605697332587173E-2</c:v>
                </c:pt>
                <c:pt idx="90">
                  <c:v>9.0240347036635638E-2</c:v>
                </c:pt>
                <c:pt idx="91">
                  <c:v>8.1503473846143981E-2</c:v>
                </c:pt>
                <c:pt idx="92">
                  <c:v>7.3725239545020638E-2</c:v>
                </c:pt>
                <c:pt idx="93">
                  <c:v>6.6622120059632528E-2</c:v>
                </c:pt>
                <c:pt idx="94">
                  <c:v>5.9754830419893157E-2</c:v>
                </c:pt>
                <c:pt idx="95">
                  <c:v>5.3638121146496798E-2</c:v>
                </c:pt>
                <c:pt idx="96">
                  <c:v>4.7023112842438541E-2</c:v>
                </c:pt>
                <c:pt idx="97">
                  <c:v>4.1510958094959638E-2</c:v>
                </c:pt>
                <c:pt idx="98">
                  <c:v>3.6752100473645521E-2</c:v>
                </c:pt>
                <c:pt idx="99">
                  <c:v>3.2041314408068344E-2</c:v>
                </c:pt>
                <c:pt idx="100">
                  <c:v>2.8001718949595023E-2</c:v>
                </c:pt>
                <c:pt idx="101">
                  <c:v>2.3684787592639034E-2</c:v>
                </c:pt>
                <c:pt idx="102">
                  <c:v>1.9850156569615973E-2</c:v>
                </c:pt>
                <c:pt idx="103">
                  <c:v>1.6632984681664076E-2</c:v>
                </c:pt>
                <c:pt idx="104">
                  <c:v>1.3810044830086299E-2</c:v>
                </c:pt>
                <c:pt idx="105">
                  <c:v>1.1038647949573321E-2</c:v>
                </c:pt>
                <c:pt idx="106">
                  <c:v>8.5700188580982717E-3</c:v>
                </c:pt>
                <c:pt idx="107">
                  <c:v>7.026521951521314E-3</c:v>
                </c:pt>
                <c:pt idx="108">
                  <c:v>5.7876794727472758E-3</c:v>
                </c:pt>
                <c:pt idx="109">
                  <c:v>5.0870573009065279E-3</c:v>
                </c:pt>
                <c:pt idx="110">
                  <c:v>4.029030281388124E-3</c:v>
                </c:pt>
                <c:pt idx="111">
                  <c:v>3.17143976428369E-3</c:v>
                </c:pt>
                <c:pt idx="112">
                  <c:v>2.4856088403619747E-3</c:v>
                </c:pt>
                <c:pt idx="113">
                  <c:v>2.4171615859608364E-3</c:v>
                </c:pt>
                <c:pt idx="114">
                  <c:v>2.4171615859608364E-3</c:v>
                </c:pt>
                <c:pt idx="115">
                  <c:v>1.0815722713077847E-3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Table!$K$18:$K$136</c:f>
              <c:numCache>
                <c:formatCode>??0.000</c:formatCode>
                <c:ptCount val="119"/>
                <c:pt idx="0">
                  <c:v>5.6911749723619039E-3</c:v>
                </c:pt>
                <c:pt idx="1">
                  <c:v>6.0253028068037702E-3</c:v>
                </c:pt>
                <c:pt idx="2">
                  <c:v>6.8230569071373688E-3</c:v>
                </c:pt>
                <c:pt idx="3">
                  <c:v>7.5713330785275434E-3</c:v>
                </c:pt>
                <c:pt idx="4">
                  <c:v>8.1956094306897317E-3</c:v>
                </c:pt>
                <c:pt idx="5">
                  <c:v>8.929530902748924E-3</c:v>
                </c:pt>
                <c:pt idx="6">
                  <c:v>9.7999741747066722E-3</c:v>
                </c:pt>
                <c:pt idx="7">
                  <c:v>1.0730585550099292E-2</c:v>
                </c:pt>
                <c:pt idx="8">
                  <c:v>1.1775423157678979E-2</c:v>
                </c:pt>
                <c:pt idx="9">
                  <c:v>1.2892646080615001E-2</c:v>
                </c:pt>
                <c:pt idx="10">
                  <c:v>1.4060873057443184E-2</c:v>
                </c:pt>
                <c:pt idx="11">
                  <c:v>1.5375395421210841E-2</c:v>
                </c:pt>
                <c:pt idx="12">
                  <c:v>1.6833770459518699E-2</c:v>
                </c:pt>
                <c:pt idx="13">
                  <c:v>1.8391407036943801E-2</c:v>
                </c:pt>
                <c:pt idx="14">
                  <c:v>2.0084342689345898E-2</c:v>
                </c:pt>
                <c:pt idx="15">
                  <c:v>2.2023447542746773E-2</c:v>
                </c:pt>
                <c:pt idx="16">
                  <c:v>2.4054787829372343E-2</c:v>
                </c:pt>
                <c:pt idx="17">
                  <c:v>2.6317330798964287E-2</c:v>
                </c:pt>
                <c:pt idx="18">
                  <c:v>2.8812297351481584E-2</c:v>
                </c:pt>
                <c:pt idx="19">
                  <c:v>3.153266320599428E-2</c:v>
                </c:pt>
                <c:pt idx="20">
                  <c:v>3.4523933804172631E-2</c:v>
                </c:pt>
                <c:pt idx="21">
                  <c:v>3.7751602753752708E-2</c:v>
                </c:pt>
                <c:pt idx="22">
                  <c:v>4.1217495017303991E-2</c:v>
                </c:pt>
                <c:pt idx="23">
                  <c:v>4.5432275270946877E-2</c:v>
                </c:pt>
                <c:pt idx="24">
                  <c:v>4.9256728880301658E-2</c:v>
                </c:pt>
                <c:pt idx="25">
                  <c:v>5.4210929218225609E-2</c:v>
                </c:pt>
                <c:pt idx="26">
                  <c:v>5.9164209775014534E-2</c:v>
                </c:pt>
                <c:pt idx="27">
                  <c:v>6.4512397632140978E-2</c:v>
                </c:pt>
                <c:pt idx="28">
                  <c:v>7.075210525394024E-2</c:v>
                </c:pt>
                <c:pt idx="29">
                  <c:v>7.7640521370541379E-2</c:v>
                </c:pt>
                <c:pt idx="30">
                  <c:v>8.489910559488803E-2</c:v>
                </c:pt>
                <c:pt idx="31">
                  <c:v>9.2960644150410013E-2</c:v>
                </c:pt>
                <c:pt idx="32">
                  <c:v>0.1016800452129825</c:v>
                </c:pt>
                <c:pt idx="33">
                  <c:v>0.11085268667946373</c:v>
                </c:pt>
                <c:pt idx="34">
                  <c:v>0.12022289129386789</c:v>
                </c:pt>
                <c:pt idx="35">
                  <c:v>0.12852999681274074</c:v>
                </c:pt>
                <c:pt idx="36">
                  <c:v>0.14090687835933488</c:v>
                </c:pt>
                <c:pt idx="37">
                  <c:v>0.15323920161983234</c:v>
                </c:pt>
                <c:pt idx="38">
                  <c:v>0.16918743271701844</c:v>
                </c:pt>
                <c:pt idx="39">
                  <c:v>0.18583133954569492</c:v>
                </c:pt>
                <c:pt idx="40">
                  <c:v>0.2014731959267147</c:v>
                </c:pt>
                <c:pt idx="41">
                  <c:v>0.22154514164532607</c:v>
                </c:pt>
                <c:pt idx="42">
                  <c:v>0.24338735945514686</c:v>
                </c:pt>
                <c:pt idx="43">
                  <c:v>0.26604240099371884</c:v>
                </c:pt>
                <c:pt idx="44">
                  <c:v>0.29216865273676962</c:v>
                </c:pt>
                <c:pt idx="45">
                  <c:v>0.32060924901194732</c:v>
                </c:pt>
                <c:pt idx="46">
                  <c:v>0.35158555047908113</c:v>
                </c:pt>
                <c:pt idx="47">
                  <c:v>0.38265718799084519</c:v>
                </c:pt>
                <c:pt idx="48">
                  <c:v>0.421582997211285</c:v>
                </c:pt>
                <c:pt idx="49">
                  <c:v>0.45896334052967575</c:v>
                </c:pt>
                <c:pt idx="50">
                  <c:v>0.50608402007096465</c:v>
                </c:pt>
                <c:pt idx="51">
                  <c:v>0.55010147486028704</c:v>
                </c:pt>
                <c:pt idx="52">
                  <c:v>0.60500224722963092</c:v>
                </c:pt>
                <c:pt idx="53">
                  <c:v>0.66120718165023551</c:v>
                </c:pt>
                <c:pt idx="54">
                  <c:v>0.72201902238186444</c:v>
                </c:pt>
                <c:pt idx="55">
                  <c:v>0.79162221880025585</c:v>
                </c:pt>
                <c:pt idx="56">
                  <c:v>0.86867237207941683</c:v>
                </c:pt>
                <c:pt idx="57">
                  <c:v>0.95233677369843917</c:v>
                </c:pt>
                <c:pt idx="58">
                  <c:v>1.0405454197136996</c:v>
                </c:pt>
                <c:pt idx="59">
                  <c:v>1.1403816760433234</c:v>
                </c:pt>
                <c:pt idx="60">
                  <c:v>1.2465932128141086</c:v>
                </c:pt>
                <c:pt idx="61">
                  <c:v>1.3659101415895287</c:v>
                </c:pt>
                <c:pt idx="62">
                  <c:v>1.4988200923681521</c:v>
                </c:pt>
                <c:pt idx="63">
                  <c:v>1.6383410211537119</c:v>
                </c:pt>
                <c:pt idx="64">
                  <c:v>1.7906254753556885</c:v>
                </c:pt>
                <c:pt idx="65">
                  <c:v>1.9580171157049258</c:v>
                </c:pt>
                <c:pt idx="66">
                  <c:v>2.1451727794883491</c:v>
                </c:pt>
                <c:pt idx="67">
                  <c:v>2.3455381355371792</c:v>
                </c:pt>
                <c:pt idx="68">
                  <c:v>2.5672524585125469</c:v>
                </c:pt>
                <c:pt idx="69">
                  <c:v>2.8086798811665621</c:v>
                </c:pt>
                <c:pt idx="70">
                  <c:v>3.0758779944562891</c:v>
                </c:pt>
                <c:pt idx="71">
                  <c:v>3.36246427648909</c:v>
                </c:pt>
                <c:pt idx="72">
                  <c:v>3.6817277251037916</c:v>
                </c:pt>
                <c:pt idx="73">
                  <c:v>4.0082270189092233</c:v>
                </c:pt>
                <c:pt idx="74">
                  <c:v>4.3941828340442761</c:v>
                </c:pt>
                <c:pt idx="75">
                  <c:v>4.8121589460338159</c:v>
                </c:pt>
                <c:pt idx="76">
                  <c:v>5.2721107154905287</c:v>
                </c:pt>
                <c:pt idx="77">
                  <c:v>5.769742793713255</c:v>
                </c:pt>
                <c:pt idx="78">
                  <c:v>6.3042674976576016</c:v>
                </c:pt>
                <c:pt idx="79">
                  <c:v>6.9171106016690018</c:v>
                </c:pt>
                <c:pt idx="80">
                  <c:v>7.5711318691044074</c:v>
                </c:pt>
                <c:pt idx="81">
                  <c:v>8.249204566438058</c:v>
                </c:pt>
                <c:pt idx="82">
                  <c:v>9.0531439686093353</c:v>
                </c:pt>
                <c:pt idx="83">
                  <c:v>9.9052105244788251</c:v>
                </c:pt>
                <c:pt idx="84">
                  <c:v>10.823351821136349</c:v>
                </c:pt>
                <c:pt idx="85">
                  <c:v>11.84674270949443</c:v>
                </c:pt>
                <c:pt idx="86">
                  <c:v>12.963580090838018</c:v>
                </c:pt>
                <c:pt idx="87">
                  <c:v>14.18112503864041</c:v>
                </c:pt>
                <c:pt idx="88">
                  <c:v>15.534174829599435</c:v>
                </c:pt>
                <c:pt idx="89">
                  <c:v>16.970542425286286</c:v>
                </c:pt>
                <c:pt idx="90">
                  <c:v>18.540999277163863</c:v>
                </c:pt>
                <c:pt idx="91">
                  <c:v>20.296865318245565</c:v>
                </c:pt>
                <c:pt idx="92">
                  <c:v>22.220880665736548</c:v>
                </c:pt>
                <c:pt idx="93">
                  <c:v>24.315570016654558</c:v>
                </c:pt>
                <c:pt idx="94">
                  <c:v>26.576861339318139</c:v>
                </c:pt>
                <c:pt idx="95">
                  <c:v>29.094970972164198</c:v>
                </c:pt>
                <c:pt idx="96">
                  <c:v>31.815484312851908</c:v>
                </c:pt>
                <c:pt idx="97">
                  <c:v>34.798226028760098</c:v>
                </c:pt>
                <c:pt idx="98">
                  <c:v>38.094157250661297</c:v>
                </c:pt>
                <c:pt idx="99">
                  <c:v>41.690409685687911</c:v>
                </c:pt>
                <c:pt idx="100">
                  <c:v>45.520892708577691</c:v>
                </c:pt>
                <c:pt idx="101">
                  <c:v>49.726720250643275</c:v>
                </c:pt>
                <c:pt idx="102">
                  <c:v>54.702870041177626</c:v>
                </c:pt>
                <c:pt idx="103">
                  <c:v>59.682226626739691</c:v>
                </c:pt>
                <c:pt idx="104">
                  <c:v>65.422602765171504</c:v>
                </c:pt>
                <c:pt idx="105">
                  <c:v>71.544180121856527</c:v>
                </c:pt>
                <c:pt idx="106">
                  <c:v>78.049384349443926</c:v>
                </c:pt>
                <c:pt idx="107">
                  <c:v>85.322709424251457</c:v>
                </c:pt>
                <c:pt idx="108">
                  <c:v>93.362540736195285</c:v>
                </c:pt>
                <c:pt idx="109">
                  <c:v>102.16804855509339</c:v>
                </c:pt>
                <c:pt idx="110">
                  <c:v>112.12069946335626</c:v>
                </c:pt>
                <c:pt idx="111">
                  <c:v>122.45414419982804</c:v>
                </c:pt>
                <c:pt idx="112">
                  <c:v>133.9358084323872</c:v>
                </c:pt>
                <c:pt idx="113">
                  <c:v>146.57007253839092</c:v>
                </c:pt>
                <c:pt idx="114">
                  <c:v>160.33097568070349</c:v>
                </c:pt>
                <c:pt idx="115">
                  <c:v>175.25089976156269</c:v>
                </c:pt>
                <c:pt idx="116">
                  <c:v>191.68523840054311</c:v>
                </c:pt>
                <c:pt idx="117">
                  <c:v>209.65589348443069</c:v>
                </c:pt>
                <c:pt idx="118">
                  <c:v>227.64299367102441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01536"/>
        <c:axId val="104003840"/>
      </c:scatterChart>
      <c:valAx>
        <c:axId val="104001536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Wetting Phase Saturation (1- Hg), fraction pore space</a:t>
                </a:r>
              </a:p>
            </c:rich>
          </c:tx>
          <c:layout>
            <c:manualLayout>
              <c:xMode val="edge"/>
              <c:yMode val="edge"/>
              <c:x val="0.2027230117574878"/>
              <c:y val="0.9165793151642208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04003840"/>
        <c:crossesAt val="0"/>
        <c:crossBetween val="midCat"/>
        <c:majorUnit val="0.2"/>
        <c:minorUnit val="0.1"/>
      </c:valAx>
      <c:valAx>
        <c:axId val="104003840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Leverett J Function.</a:t>
                </a:r>
              </a:p>
            </c:rich>
          </c:tx>
          <c:layout>
            <c:manualLayout>
              <c:xMode val="edge"/>
              <c:yMode val="edge"/>
              <c:x val="5.5363321799309036E-2"/>
              <c:y val="0.3311036789297744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04001536"/>
        <c:crosses val="autoZero"/>
        <c:crossBetween val="midCat"/>
        <c:majorUnit val="0.4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3175">
      <a:solidFill>
        <a:sysClr val="windowText" lastClr="000000"/>
      </a:solidFill>
    </a:ln>
  </c:spPr>
  <c:txPr>
    <a:bodyPr/>
    <a:lstStyle/>
    <a:p>
      <a:pPr>
        <a:defRPr sz="600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921" r="0.75000000000000921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619718309859155"/>
          <c:y val="5.369136314257017E-2"/>
          <c:w val="0.79577464788732399"/>
          <c:h val="0.81320051436523455"/>
        </c:manualLayout>
      </c:layout>
      <c:scatterChart>
        <c:scatterStyle val="lineMarker"/>
        <c:varyColors val="0"/>
        <c:ser>
          <c:idx val="2"/>
          <c:order val="0"/>
          <c:tx>
            <c:v>Uncorrected</c:v>
          </c:tx>
          <c:spPr>
            <a:ln w="12700">
              <a:solidFill>
                <a:srgbClr val="99CCFF"/>
              </a:solidFill>
            </a:ln>
          </c:spPr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'Raw Data'!$D$18:$D$136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1.5226867834387272E-4</c:v>
                </c:pt>
                <c:pt idx="6">
                  <c:v>1.5226867834387272E-4</c:v>
                </c:pt>
                <c:pt idx="7">
                  <c:v>2.2975702600626613E-4</c:v>
                </c:pt>
                <c:pt idx="8">
                  <c:v>2.2975702600626613E-4</c:v>
                </c:pt>
                <c:pt idx="9">
                  <c:v>2.2975702600626613E-4</c:v>
                </c:pt>
                <c:pt idx="10">
                  <c:v>2.2975702600626613E-4</c:v>
                </c:pt>
                <c:pt idx="11">
                  <c:v>2.2975702600626613E-4</c:v>
                </c:pt>
                <c:pt idx="12">
                  <c:v>2.2975702600626613E-4</c:v>
                </c:pt>
                <c:pt idx="13">
                  <c:v>2.2975702600626613E-4</c:v>
                </c:pt>
                <c:pt idx="14">
                  <c:v>2.2975702600626613E-4</c:v>
                </c:pt>
                <c:pt idx="15">
                  <c:v>3.484168776279054E-4</c:v>
                </c:pt>
                <c:pt idx="16">
                  <c:v>3.484168776279054E-4</c:v>
                </c:pt>
                <c:pt idx="17">
                  <c:v>6.3195514664647959E-4</c:v>
                </c:pt>
                <c:pt idx="18">
                  <c:v>6.3195514664647959E-4</c:v>
                </c:pt>
                <c:pt idx="19">
                  <c:v>7.1304169064647976E-4</c:v>
                </c:pt>
                <c:pt idx="20">
                  <c:v>7.1304169064647976E-4</c:v>
                </c:pt>
                <c:pt idx="21">
                  <c:v>7.1304169064647976E-4</c:v>
                </c:pt>
                <c:pt idx="22">
                  <c:v>7.1304169064647976E-4</c:v>
                </c:pt>
                <c:pt idx="23">
                  <c:v>7.1304169064647976E-4</c:v>
                </c:pt>
                <c:pt idx="24">
                  <c:v>7.1304169064647976E-4</c:v>
                </c:pt>
                <c:pt idx="25">
                  <c:v>7.5169444980615707E-4</c:v>
                </c:pt>
                <c:pt idx="26">
                  <c:v>7.5169444980615707E-4</c:v>
                </c:pt>
                <c:pt idx="27">
                  <c:v>7.5169444980615707E-4</c:v>
                </c:pt>
                <c:pt idx="28">
                  <c:v>7.5169444980615707E-4</c:v>
                </c:pt>
                <c:pt idx="29">
                  <c:v>8.3360508804993102E-4</c:v>
                </c:pt>
                <c:pt idx="30">
                  <c:v>8.7370074846059053E-4</c:v>
                </c:pt>
                <c:pt idx="31">
                  <c:v>8.7370074846059053E-4</c:v>
                </c:pt>
                <c:pt idx="32">
                  <c:v>8.7370074846059053E-4</c:v>
                </c:pt>
                <c:pt idx="33">
                  <c:v>8.7370074846059053E-4</c:v>
                </c:pt>
                <c:pt idx="34">
                  <c:v>6.4122549633591026E-3</c:v>
                </c:pt>
                <c:pt idx="35">
                  <c:v>1.5499118655670663E-2</c:v>
                </c:pt>
                <c:pt idx="36">
                  <c:v>4.1949530252395811E-2</c:v>
                </c:pt>
                <c:pt idx="37">
                  <c:v>8.6243369433353936E-2</c:v>
                </c:pt>
                <c:pt idx="38">
                  <c:v>0.13307670067861246</c:v>
                </c:pt>
                <c:pt idx="39">
                  <c:v>0.18525970067498715</c:v>
                </c:pt>
                <c:pt idx="40">
                  <c:v>0.23251154691546824</c:v>
                </c:pt>
                <c:pt idx="41">
                  <c:v>0.27694959257507523</c:v>
                </c:pt>
                <c:pt idx="42">
                  <c:v>0.31930229219678197</c:v>
                </c:pt>
                <c:pt idx="43">
                  <c:v>0.35483948855184538</c:v>
                </c:pt>
                <c:pt idx="44">
                  <c:v>0.3858173455088923</c:v>
                </c:pt>
                <c:pt idx="45">
                  <c:v>0.41177811199736825</c:v>
                </c:pt>
                <c:pt idx="46">
                  <c:v>0.43460689152418613</c:v>
                </c:pt>
                <c:pt idx="47">
                  <c:v>0.45419458084456032</c:v>
                </c:pt>
                <c:pt idx="48">
                  <c:v>0.47297881185364676</c:v>
                </c:pt>
                <c:pt idx="49">
                  <c:v>0.48774933278806831</c:v>
                </c:pt>
                <c:pt idx="50">
                  <c:v>0.5014699894651351</c:v>
                </c:pt>
                <c:pt idx="51">
                  <c:v>0.51286381398319825</c:v>
                </c:pt>
                <c:pt idx="52">
                  <c:v>0.52375822914270154</c:v>
                </c:pt>
                <c:pt idx="53">
                  <c:v>0.53341281071158342</c:v>
                </c:pt>
                <c:pt idx="54">
                  <c:v>0.54177734254538845</c:v>
                </c:pt>
                <c:pt idx="55">
                  <c:v>0.5498270432813348</c:v>
                </c:pt>
                <c:pt idx="56">
                  <c:v>0.55726231254405623</c:v>
                </c:pt>
                <c:pt idx="57">
                  <c:v>0.56400582802703758</c:v>
                </c:pt>
                <c:pt idx="58">
                  <c:v>0.57015353574201999</c:v>
                </c:pt>
                <c:pt idx="59">
                  <c:v>0.57608820184114817</c:v>
                </c:pt>
                <c:pt idx="60">
                  <c:v>0.58174630214768952</c:v>
                </c:pt>
                <c:pt idx="61">
                  <c:v>0.58723513031563845</c:v>
                </c:pt>
                <c:pt idx="62">
                  <c:v>0.59258183020686284</c:v>
                </c:pt>
                <c:pt idx="63">
                  <c:v>0.59786134903996435</c:v>
                </c:pt>
                <c:pt idx="64">
                  <c:v>0.60298482836713385</c:v>
                </c:pt>
                <c:pt idx="65">
                  <c:v>0.60816067272782348</c:v>
                </c:pt>
                <c:pt idx="66">
                  <c:v>0.61333994777105472</c:v>
                </c:pt>
                <c:pt idx="67">
                  <c:v>0.61850908156589368</c:v>
                </c:pt>
                <c:pt idx="68">
                  <c:v>0.6237092046030317</c:v>
                </c:pt>
                <c:pt idx="69">
                  <c:v>0.6290543588021219</c:v>
                </c:pt>
                <c:pt idx="70">
                  <c:v>0.63466786023562216</c:v>
                </c:pt>
                <c:pt idx="71">
                  <c:v>0.64042141645639883</c:v>
                </c:pt>
                <c:pt idx="72">
                  <c:v>0.64723497818292242</c:v>
                </c:pt>
                <c:pt idx="73">
                  <c:v>0.65467541231936033</c:v>
                </c:pt>
                <c:pt idx="74">
                  <c:v>0.66465711512355774</c:v>
                </c:pt>
                <c:pt idx="75">
                  <c:v>0.67785868314221054</c:v>
                </c:pt>
                <c:pt idx="76">
                  <c:v>0.69496157810743364</c:v>
                </c:pt>
                <c:pt idx="77">
                  <c:v>0.71439228542667221</c:v>
                </c:pt>
                <c:pt idx="78">
                  <c:v>0.73449306913596468</c:v>
                </c:pt>
                <c:pt idx="79">
                  <c:v>0.75543222117889186</c:v>
                </c:pt>
                <c:pt idx="80">
                  <c:v>0.77479989441890396</c:v>
                </c:pt>
                <c:pt idx="81">
                  <c:v>0.79261275217120353</c:v>
                </c:pt>
                <c:pt idx="82">
                  <c:v>0.81056909539332112</c:v>
                </c:pt>
                <c:pt idx="83">
                  <c:v>0.82643943283089571</c:v>
                </c:pt>
                <c:pt idx="84">
                  <c:v>0.8411459017912708</c:v>
                </c:pt>
                <c:pt idx="85">
                  <c:v>0.85548645641374421</c:v>
                </c:pt>
                <c:pt idx="86">
                  <c:v>0.86796381111783982</c:v>
                </c:pt>
                <c:pt idx="87">
                  <c:v>0.87947778492447637</c:v>
                </c:pt>
                <c:pt idx="88">
                  <c:v>0.89087307973505736</c:v>
                </c:pt>
                <c:pt idx="89">
                  <c:v>0.90048132823972327</c:v>
                </c:pt>
                <c:pt idx="90">
                  <c:v>0.90983849602211153</c:v>
                </c:pt>
                <c:pt idx="91">
                  <c:v>0.91856773579995743</c:v>
                </c:pt>
                <c:pt idx="92">
                  <c:v>0.92633917425195034</c:v>
                </c:pt>
                <c:pt idx="93">
                  <c:v>0.93343608773652764</c:v>
                </c:pt>
                <c:pt idx="94">
                  <c:v>0.94029737742016883</c:v>
                </c:pt>
                <c:pt idx="95">
                  <c:v>0.94640874252009499</c:v>
                </c:pt>
                <c:pt idx="96">
                  <c:v>0.95301797128644683</c:v>
                </c:pt>
                <c:pt idx="97">
                  <c:v>0.95852531006019726</c:v>
                </c:pt>
                <c:pt idx="98">
                  <c:v>0.96328000986404583</c:v>
                </c:pt>
                <c:pt idx="99">
                  <c:v>0.9679866801123117</c:v>
                </c:pt>
                <c:pt idx="100">
                  <c:v>0.97202274617320938</c:v>
                </c:pt>
                <c:pt idx="101">
                  <c:v>0.97633590582400787</c:v>
                </c:pt>
                <c:pt idx="102">
                  <c:v>0.98016718652703605</c:v>
                </c:pt>
                <c:pt idx="103">
                  <c:v>0.98338154756950136</c:v>
                </c:pt>
                <c:pt idx="104">
                  <c:v>0.98620202101641796</c:v>
                </c:pt>
                <c:pt idx="105">
                  <c:v>0.98897099652540221</c:v>
                </c:pt>
                <c:pt idx="106">
                  <c:v>0.99143746877379235</c:v>
                </c:pt>
                <c:pt idx="107">
                  <c:v>0.99297961712596683</c:v>
                </c:pt>
                <c:pt idx="108">
                  <c:v>0.99421737722713988</c:v>
                </c:pt>
                <c:pt idx="109">
                  <c:v>0.99491738726486478</c:v>
                </c:pt>
                <c:pt idx="110">
                  <c:v>0.99597448988538428</c:v>
                </c:pt>
                <c:pt idx="111">
                  <c:v>0.9968313311250121</c:v>
                </c:pt>
                <c:pt idx="112">
                  <c:v>0.99751656283794232</c:v>
                </c:pt>
                <c:pt idx="113">
                  <c:v>0.997584950289926</c:v>
                </c:pt>
                <c:pt idx="114">
                  <c:v>0.997584950289926</c:v>
                </c:pt>
                <c:pt idx="115">
                  <c:v>0.99891937269919517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</c:numCache>
            </c:numRef>
          </c:xVal>
          <c:yVal>
            <c:numRef>
              <c:f>Table!$E$18:$E$136</c:f>
              <c:numCache>
                <c:formatCode>???0.000</c:formatCode>
                <c:ptCount val="119"/>
                <c:pt idx="0">
                  <c:v>73.455609711092237</c:v>
                </c:pt>
                <c:pt idx="1">
                  <c:v>69.382193886636159</c:v>
                </c:pt>
                <c:pt idx="2">
                  <c:v>61.270004523932016</c:v>
                </c:pt>
                <c:pt idx="3">
                  <c:v>55.214679268694042</c:v>
                </c:pt>
                <c:pt idx="4">
                  <c:v>51.008864087874159</c:v>
                </c:pt>
                <c:pt idx="5">
                  <c:v>46.816426542480237</c:v>
                </c:pt>
                <c:pt idx="6">
                  <c:v>42.658145839436862</c:v>
                </c:pt>
                <c:pt idx="7">
                  <c:v>38.958612800350302</c:v>
                </c:pt>
                <c:pt idx="8">
                  <c:v>35.501800824434454</c:v>
                </c:pt>
                <c:pt idx="9">
                  <c:v>32.425362873794995</c:v>
                </c:pt>
                <c:pt idx="10">
                  <c:v>29.731349245490577</c:v>
                </c:pt>
                <c:pt idx="11">
                  <c:v>27.189461871701909</c:v>
                </c:pt>
                <c:pt idx="12">
                  <c:v>24.83393299039345</c:v>
                </c:pt>
                <c:pt idx="13">
                  <c:v>22.730654959003157</c:v>
                </c:pt>
                <c:pt idx="14">
                  <c:v>20.814658165990846</c:v>
                </c:pt>
                <c:pt idx="15">
                  <c:v>18.981983940340569</c:v>
                </c:pt>
                <c:pt idx="16">
                  <c:v>17.379023690946447</c:v>
                </c:pt>
                <c:pt idx="17">
                  <c:v>15.884921261992288</c:v>
                </c:pt>
                <c:pt idx="18">
                  <c:v>14.509385435932803</c:v>
                </c:pt>
                <c:pt idx="19">
                  <c:v>13.257640968552325</c:v>
                </c:pt>
                <c:pt idx="20">
                  <c:v>12.108954035731177</c:v>
                </c:pt>
                <c:pt idx="21">
                  <c:v>11.073668323281876</c:v>
                </c:pt>
                <c:pt idx="22">
                  <c:v>10.142506898875013</c:v>
                </c:pt>
                <c:pt idx="23">
                  <c:v>9.2015802658839529</c:v>
                </c:pt>
                <c:pt idx="24">
                  <c:v>8.4871394644018832</c:v>
                </c:pt>
                <c:pt idx="25">
                  <c:v>7.7115211562690762</c:v>
                </c:pt>
                <c:pt idx="26">
                  <c:v>7.0659057081481906</c:v>
                </c:pt>
                <c:pt idx="27">
                  <c:v>6.4801300666443451</c:v>
                </c:pt>
                <c:pt idx="28">
                  <c:v>5.908640118437618</c:v>
                </c:pt>
                <c:pt idx="29">
                  <c:v>5.3844142232405154</c:v>
                </c:pt>
                <c:pt idx="30">
                  <c:v>4.9240651551990426</c:v>
                </c:pt>
                <c:pt idx="31">
                  <c:v>4.4970506754552035</c:v>
                </c:pt>
                <c:pt idx="32">
                  <c:v>4.1114136671722861</c:v>
                </c:pt>
                <c:pt idx="33">
                  <c:v>3.7712097026223792</c:v>
                </c:pt>
                <c:pt idx="34">
                  <c:v>3.4772805999607104</c:v>
                </c:pt>
                <c:pt idx="35">
                  <c:v>3.2525382240257903</c:v>
                </c:pt>
                <c:pt idx="36">
                  <c:v>2.966844006729477</c:v>
                </c:pt>
                <c:pt idx="37">
                  <c:v>2.7280795197855428</c:v>
                </c:pt>
                <c:pt idx="38">
                  <c:v>2.4709206875109757</c:v>
                </c:pt>
                <c:pt idx="39">
                  <c:v>2.2496137012699964</c:v>
                </c:pt>
                <c:pt idx="40">
                  <c:v>2.0749595282114659</c:v>
                </c:pt>
                <c:pt idx="41">
                  <c:v>1.8869686081250692</c:v>
                </c:pt>
                <c:pt idx="42">
                  <c:v>1.7176271130234813</c:v>
                </c:pt>
                <c:pt idx="43">
                  <c:v>1.5713612792767653</c:v>
                </c:pt>
                <c:pt idx="44">
                  <c:v>1.4308472988168059</c:v>
                </c:pt>
                <c:pt idx="45">
                  <c:v>1.3039197367377691</c:v>
                </c:pt>
                <c:pt idx="46">
                  <c:v>1.1890384203722433</c:v>
                </c:pt>
                <c:pt idx="47">
                  <c:v>1.0924888926360732</c:v>
                </c:pt>
                <c:pt idx="48">
                  <c:v>0.99161666939295101</c:v>
                </c:pt>
                <c:pt idx="49">
                  <c:v>0.91085428976722804</c:v>
                </c:pt>
                <c:pt idx="50">
                  <c:v>0.82604609311460209</c:v>
                </c:pt>
                <c:pt idx="51">
                  <c:v>0.75994838529296216</c:v>
                </c:pt>
                <c:pt idx="52">
                  <c:v>0.69098706572023716</c:v>
                </c:pt>
                <c:pt idx="53">
                  <c:v>0.63225073648472718</c:v>
                </c:pt>
                <c:pt idx="54">
                  <c:v>0.57899960334598055</c:v>
                </c:pt>
                <c:pt idx="55">
                  <c:v>0.52809120011932775</c:v>
                </c:pt>
                <c:pt idx="56">
                  <c:v>0.48125017095528483</c:v>
                </c:pt>
                <c:pt idx="57">
                  <c:v>0.43897152678861989</c:v>
                </c:pt>
                <c:pt idx="58">
                  <c:v>0.40175923092561971</c:v>
                </c:pt>
                <c:pt idx="59">
                  <c:v>0.36658667562759961</c:v>
                </c:pt>
                <c:pt idx="60">
                  <c:v>0.3353529629955489</c:v>
                </c:pt>
                <c:pt idx="61">
                  <c:v>0.3060587331761539</c:v>
                </c:pt>
                <c:pt idx="62">
                  <c:v>0.27891855046247122</c:v>
                </c:pt>
                <c:pt idx="63">
                  <c:v>0.25516587949007363</c:v>
                </c:pt>
                <c:pt idx="64">
                  <c:v>0.23346519600047086</c:v>
                </c:pt>
                <c:pt idx="65">
                  <c:v>0.21350616611788203</c:v>
                </c:pt>
                <c:pt idx="66">
                  <c:v>0.19487881422169737</c:v>
                </c:pt>
                <c:pt idx="67">
                  <c:v>0.17823147755882041</c:v>
                </c:pt>
                <c:pt idx="68">
                  <c:v>0.16283896279120419</c:v>
                </c:pt>
                <c:pt idx="69">
                  <c:v>0.14884171399188398</c:v>
                </c:pt>
                <c:pt idx="70">
                  <c:v>0.13591199921479624</c:v>
                </c:pt>
                <c:pt idx="71">
                  <c:v>0.12432808000085488</c:v>
                </c:pt>
                <c:pt idx="72">
                  <c:v>0.11354688852108612</c:v>
                </c:pt>
                <c:pt idx="73">
                  <c:v>0.10429766717183542</c:v>
                </c:pt>
                <c:pt idx="74">
                  <c:v>9.5136853279860586E-2</c:v>
                </c:pt>
                <c:pt idx="75">
                  <c:v>8.6873424642780819E-2</c:v>
                </c:pt>
                <c:pt idx="76">
                  <c:v>7.9294375654714602E-2</c:v>
                </c:pt>
                <c:pt idx="77">
                  <c:v>7.2455348966830979E-2</c:v>
                </c:pt>
                <c:pt idx="78">
                  <c:v>6.6312022407469445E-2</c:v>
                </c:pt>
                <c:pt idx="79">
                  <c:v>6.0436900845055583E-2</c:v>
                </c:pt>
                <c:pt idx="80">
                  <c:v>5.5216146646882187E-2</c:v>
                </c:pt>
                <c:pt idx="81">
                  <c:v>5.0677459165964459E-2</c:v>
                </c:pt>
                <c:pt idx="82">
                  <c:v>4.6177187617570739E-2</c:v>
                </c:pt>
                <c:pt idx="83">
                  <c:v>4.2204931084930002E-2</c:v>
                </c:pt>
                <c:pt idx="84">
                  <c:v>3.8624700968415998E-2</c:v>
                </c:pt>
                <c:pt idx="85">
                  <c:v>3.5288073508367164E-2</c:v>
                </c:pt>
                <c:pt idx="86">
                  <c:v>3.2247938041653108E-2</c:v>
                </c:pt>
                <c:pt idx="87">
                  <c:v>2.9479235704379055E-2</c:v>
                </c:pt>
                <c:pt idx="88">
                  <c:v>2.6911550317483584E-2</c:v>
                </c:pt>
                <c:pt idx="89">
                  <c:v>2.4633787011100791E-2</c:v>
                </c:pt>
                <c:pt idx="90">
                  <c:v>2.2547259795336085E-2</c:v>
                </c:pt>
                <c:pt idx="91">
                  <c:v>2.0596713877366748E-2</c:v>
                </c:pt>
                <c:pt idx="92">
                  <c:v>1.881332850195995E-2</c:v>
                </c:pt>
                <c:pt idx="93">
                  <c:v>1.7192635306555282E-2</c:v>
                </c:pt>
                <c:pt idx="94">
                  <c:v>1.5729800529488625E-2</c:v>
                </c:pt>
                <c:pt idx="95">
                  <c:v>1.4368418788501583E-2</c:v>
                </c:pt>
                <c:pt idx="96">
                  <c:v>1.3139788269653369E-2</c:v>
                </c:pt>
                <c:pt idx="97">
                  <c:v>1.2013506873075732E-2</c:v>
                </c:pt>
                <c:pt idx="98">
                  <c:v>1.0974090457404594E-2</c:v>
                </c:pt>
                <c:pt idx="99">
                  <c:v>1.002745549202089E-2</c:v>
                </c:pt>
                <c:pt idx="100">
                  <c:v>9.1836671623220928E-3</c:v>
                </c:pt>
                <c:pt idx="101">
                  <c:v>8.4069233896829198E-3</c:v>
                </c:pt>
                <c:pt idx="102">
                  <c:v>7.6421717407636151E-3</c:v>
                </c:pt>
                <c:pt idx="103">
                  <c:v>7.0045765916523636E-3</c:v>
                </c:pt>
                <c:pt idx="104">
                  <c:v>6.3899739523953242E-3</c:v>
                </c:pt>
                <c:pt idx="105">
                  <c:v>5.8432247997715139E-3</c:v>
                </c:pt>
                <c:pt idx="106">
                  <c:v>5.356207881098177E-3</c:v>
                </c:pt>
                <c:pt idx="107">
                  <c:v>4.8996185234657973E-3</c:v>
                </c:pt>
                <c:pt idx="108">
                  <c:v>4.4776922764836547E-3</c:v>
                </c:pt>
                <c:pt idx="109">
                  <c:v>4.0917755940295024E-3</c:v>
                </c:pt>
                <c:pt idx="110">
                  <c:v>3.7285597536249812E-3</c:v>
                </c:pt>
                <c:pt idx="111">
                  <c:v>3.4139206173794748E-3</c:v>
                </c:pt>
                <c:pt idx="112">
                  <c:v>3.1212618377436342E-3</c:v>
                </c:pt>
                <c:pt idx="113">
                  <c:v>2.8522106889034469E-3</c:v>
                </c:pt>
                <c:pt idx="114">
                  <c:v>2.6074108623893701E-3</c:v>
                </c:pt>
                <c:pt idx="115">
                  <c:v>2.3854298502097712E-3</c:v>
                </c:pt>
                <c:pt idx="116">
                  <c:v>2.1809124743022868E-3</c:v>
                </c:pt>
                <c:pt idx="117">
                  <c:v>1.9939755597588151E-3</c:v>
                </c:pt>
                <c:pt idx="118">
                  <c:v>1.8364225528130697E-3</c:v>
                </c:pt>
              </c:numCache>
            </c:numRef>
          </c:yVal>
          <c:smooth val="0"/>
        </c:ser>
        <c:ser>
          <c:idx val="0"/>
          <c:order val="1"/>
          <c:tx>
            <c:v>Conformance Corrected</c:v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Table!$B$18:$B$136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5.5433974854305476E-3</c:v>
                </c:pt>
                <c:pt idx="35">
                  <c:v>1.4638207319901592E-2</c:v>
                </c:pt>
                <c:pt idx="36">
                  <c:v>4.1111748869693203E-2</c:v>
                </c:pt>
                <c:pt idx="37">
                  <c:v>8.5444321452498098E-2</c:v>
                </c:pt>
                <c:pt idx="38">
                  <c:v>0.13231860679594476</c:v>
                </c:pt>
                <c:pt idx="39">
                  <c:v>0.18454723898735614</c:v>
                </c:pt>
                <c:pt idx="40">
                  <c:v>0.23184040530264402</c:v>
                </c:pt>
                <c:pt idx="41">
                  <c:v>0.27631731046758284</c:v>
                </c:pt>
                <c:pt idx="42">
                  <c:v>0.31870704603298011</c:v>
                </c:pt>
                <c:pt idx="43">
                  <c:v>0.35427531841424448</c:v>
                </c:pt>
                <c:pt idx="44">
                  <c:v>0.38528026441581892</c:v>
                </c:pt>
                <c:pt idx="45">
                  <c:v>0.41126373267996486</c:v>
                </c:pt>
                <c:pt idx="46">
                  <c:v>0.4341124751701978</c:v>
                </c:pt>
                <c:pt idx="47">
                  <c:v>0.45371729323478849</c:v>
                </c:pt>
                <c:pt idx="48">
                  <c:v>0.47251795039210476</c:v>
                </c:pt>
                <c:pt idx="49">
                  <c:v>0.48730138762670305</c:v>
                </c:pt>
                <c:pt idx="50">
                  <c:v>0.50103404253464123</c:v>
                </c:pt>
                <c:pt idx="51">
                  <c:v>0.51243783055082948</c:v>
                </c:pt>
                <c:pt idx="52">
                  <c:v>0.52334177249256841</c:v>
                </c:pt>
                <c:pt idx="53">
                  <c:v>0.53300479665289147</c:v>
                </c:pt>
                <c:pt idx="54">
                  <c:v>0.54137664297509425</c:v>
                </c:pt>
                <c:pt idx="55">
                  <c:v>0.54943338289073507</c:v>
                </c:pt>
                <c:pt idx="56">
                  <c:v>0.55687515403447463</c:v>
                </c:pt>
                <c:pt idx="57">
                  <c:v>0.56362456648416492</c:v>
                </c:pt>
                <c:pt idx="58">
                  <c:v>0.56977765015295412</c:v>
                </c:pt>
                <c:pt idx="59">
                  <c:v>0.57571750590850168</c:v>
                </c:pt>
                <c:pt idx="60">
                  <c:v>0.58138055402442046</c:v>
                </c:pt>
                <c:pt idx="61">
                  <c:v>0.58687418197922525</c:v>
                </c:pt>
                <c:pt idx="62">
                  <c:v>0.59222555737113491</c:v>
                </c:pt>
                <c:pt idx="63">
                  <c:v>0.59750969295745304</c:v>
                </c:pt>
                <c:pt idx="64">
                  <c:v>0.60263765258678892</c:v>
                </c:pt>
                <c:pt idx="65">
                  <c:v>0.60781802304102162</c:v>
                </c:pt>
                <c:pt idx="66">
                  <c:v>0.61300182717780705</c:v>
                </c:pt>
                <c:pt idx="67">
                  <c:v>0.61817548119803578</c:v>
                </c:pt>
                <c:pt idx="68">
                  <c:v>0.62338015155956417</c:v>
                </c:pt>
                <c:pt idx="69">
                  <c:v>0.62872997990768631</c:v>
                </c:pt>
                <c:pt idx="70">
                  <c:v>0.63434839015042077</c:v>
                </c:pt>
                <c:pt idx="71">
                  <c:v>0.64010697765340885</c:v>
                </c:pt>
                <c:pt idx="72">
                  <c:v>0.64692649759961363</c:v>
                </c:pt>
                <c:pt idx="73">
                  <c:v>0.65437343813356974</c:v>
                </c:pt>
                <c:pt idx="74">
                  <c:v>0.66436386958520399</c:v>
                </c:pt>
                <c:pt idx="75">
                  <c:v>0.67757698190998428</c:v>
                </c:pt>
                <c:pt idx="76">
                  <c:v>0.69469483275430211</c:v>
                </c:pt>
                <c:pt idx="77">
                  <c:v>0.71414253154252783</c:v>
                </c:pt>
                <c:pt idx="78">
                  <c:v>0.73426089267900307</c:v>
                </c:pt>
                <c:pt idx="79">
                  <c:v>0.75521835527268411</c:v>
                </c:pt>
                <c:pt idx="80">
                  <c:v>0.77460296486060187</c:v>
                </c:pt>
                <c:pt idx="81">
                  <c:v>0.79243139932944073</c:v>
                </c:pt>
                <c:pt idx="82">
                  <c:v>0.81040344474108583</c:v>
                </c:pt>
                <c:pt idx="83">
                  <c:v>0.82628766022962141</c:v>
                </c:pt>
                <c:pt idx="84">
                  <c:v>0.84100698947897856</c:v>
                </c:pt>
                <c:pt idx="85">
                  <c:v>0.85536008441123701</c:v>
                </c:pt>
                <c:pt idx="86">
                  <c:v>0.86784835012243144</c:v>
                </c:pt>
                <c:pt idx="87">
                  <c:v>0.87937239249351296</c:v>
                </c:pt>
                <c:pt idx="88">
                  <c:v>0.89077765208793802</c:v>
                </c:pt>
                <c:pt idx="89">
                  <c:v>0.90039430266741283</c:v>
                </c:pt>
                <c:pt idx="90">
                  <c:v>0.90975965296336436</c:v>
                </c:pt>
                <c:pt idx="91">
                  <c:v>0.91849652615385602</c:v>
                </c:pt>
                <c:pt idx="92">
                  <c:v>0.92627476045497936</c:v>
                </c:pt>
                <c:pt idx="93">
                  <c:v>0.93337787994036747</c:v>
                </c:pt>
                <c:pt idx="94">
                  <c:v>0.94024516958010684</c:v>
                </c:pt>
                <c:pt idx="95">
                  <c:v>0.9463618788535032</c:v>
                </c:pt>
                <c:pt idx="96">
                  <c:v>0.95297688715756146</c:v>
                </c:pt>
                <c:pt idx="97">
                  <c:v>0.95848904190504036</c:v>
                </c:pt>
                <c:pt idx="98">
                  <c:v>0.96324789952635448</c:v>
                </c:pt>
                <c:pt idx="99">
                  <c:v>0.96795868559193166</c:v>
                </c:pt>
                <c:pt idx="100">
                  <c:v>0.97199828105040498</c:v>
                </c:pt>
                <c:pt idx="101">
                  <c:v>0.97631521240736097</c:v>
                </c:pt>
                <c:pt idx="102">
                  <c:v>0.98014984343038403</c:v>
                </c:pt>
                <c:pt idx="103">
                  <c:v>0.98336701531833592</c:v>
                </c:pt>
                <c:pt idx="104">
                  <c:v>0.9861899551699137</c:v>
                </c:pt>
                <c:pt idx="105">
                  <c:v>0.98896135205042668</c:v>
                </c:pt>
                <c:pt idx="106">
                  <c:v>0.99142998114190173</c:v>
                </c:pt>
                <c:pt idx="107">
                  <c:v>0.99297347804847869</c:v>
                </c:pt>
                <c:pt idx="108">
                  <c:v>0.99421232052725272</c:v>
                </c:pt>
                <c:pt idx="109">
                  <c:v>0.99491294269909347</c:v>
                </c:pt>
                <c:pt idx="110">
                  <c:v>0.99597096971861188</c:v>
                </c:pt>
                <c:pt idx="111">
                  <c:v>0.99682856023571631</c:v>
                </c:pt>
                <c:pt idx="112">
                  <c:v>0.99751439115963803</c:v>
                </c:pt>
                <c:pt idx="113">
                  <c:v>0.99758283841403916</c:v>
                </c:pt>
                <c:pt idx="114">
                  <c:v>0.99758283841403916</c:v>
                </c:pt>
                <c:pt idx="115">
                  <c:v>0.99891842772869222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</c:numCache>
            </c:numRef>
          </c:xVal>
          <c:yVal>
            <c:numRef>
              <c:f>Table!$E$18:$E$136</c:f>
              <c:numCache>
                <c:formatCode>???0.000</c:formatCode>
                <c:ptCount val="119"/>
                <c:pt idx="0">
                  <c:v>73.455609711092237</c:v>
                </c:pt>
                <c:pt idx="1">
                  <c:v>69.382193886636159</c:v>
                </c:pt>
                <c:pt idx="2">
                  <c:v>61.270004523932016</c:v>
                </c:pt>
                <c:pt idx="3">
                  <c:v>55.214679268694042</c:v>
                </c:pt>
                <c:pt idx="4">
                  <c:v>51.008864087874159</c:v>
                </c:pt>
                <c:pt idx="5">
                  <c:v>46.816426542480237</c:v>
                </c:pt>
                <c:pt idx="6">
                  <c:v>42.658145839436862</c:v>
                </c:pt>
                <c:pt idx="7">
                  <c:v>38.958612800350302</c:v>
                </c:pt>
                <c:pt idx="8">
                  <c:v>35.501800824434454</c:v>
                </c:pt>
                <c:pt idx="9">
                  <c:v>32.425362873794995</c:v>
                </c:pt>
                <c:pt idx="10">
                  <c:v>29.731349245490577</c:v>
                </c:pt>
                <c:pt idx="11">
                  <c:v>27.189461871701909</c:v>
                </c:pt>
                <c:pt idx="12">
                  <c:v>24.83393299039345</c:v>
                </c:pt>
                <c:pt idx="13">
                  <c:v>22.730654959003157</c:v>
                </c:pt>
                <c:pt idx="14">
                  <c:v>20.814658165990846</c:v>
                </c:pt>
                <c:pt idx="15">
                  <c:v>18.981983940340569</c:v>
                </c:pt>
                <c:pt idx="16">
                  <c:v>17.379023690946447</c:v>
                </c:pt>
                <c:pt idx="17">
                  <c:v>15.884921261992288</c:v>
                </c:pt>
                <c:pt idx="18">
                  <c:v>14.509385435932803</c:v>
                </c:pt>
                <c:pt idx="19">
                  <c:v>13.257640968552325</c:v>
                </c:pt>
                <c:pt idx="20">
                  <c:v>12.108954035731177</c:v>
                </c:pt>
                <c:pt idx="21">
                  <c:v>11.073668323281876</c:v>
                </c:pt>
                <c:pt idx="22">
                  <c:v>10.142506898875013</c:v>
                </c:pt>
                <c:pt idx="23">
                  <c:v>9.2015802658839529</c:v>
                </c:pt>
                <c:pt idx="24">
                  <c:v>8.4871394644018832</c:v>
                </c:pt>
                <c:pt idx="25">
                  <c:v>7.7115211562690762</c:v>
                </c:pt>
                <c:pt idx="26">
                  <c:v>7.0659057081481906</c:v>
                </c:pt>
                <c:pt idx="27">
                  <c:v>6.4801300666443451</c:v>
                </c:pt>
                <c:pt idx="28">
                  <c:v>5.908640118437618</c:v>
                </c:pt>
                <c:pt idx="29">
                  <c:v>5.3844142232405154</c:v>
                </c:pt>
                <c:pt idx="30">
                  <c:v>4.9240651551990426</c:v>
                </c:pt>
                <c:pt idx="31">
                  <c:v>4.4970506754552035</c:v>
                </c:pt>
                <c:pt idx="32">
                  <c:v>4.1114136671722861</c:v>
                </c:pt>
                <c:pt idx="33">
                  <c:v>3.7712097026223792</c:v>
                </c:pt>
                <c:pt idx="34">
                  <c:v>3.4772805999607104</c:v>
                </c:pt>
                <c:pt idx="35">
                  <c:v>3.2525382240257903</c:v>
                </c:pt>
                <c:pt idx="36">
                  <c:v>2.966844006729477</c:v>
                </c:pt>
                <c:pt idx="37">
                  <c:v>2.7280795197855428</c:v>
                </c:pt>
                <c:pt idx="38">
                  <c:v>2.4709206875109757</c:v>
                </c:pt>
                <c:pt idx="39">
                  <c:v>2.2496137012699964</c:v>
                </c:pt>
                <c:pt idx="40">
                  <c:v>2.0749595282114659</c:v>
                </c:pt>
                <c:pt idx="41">
                  <c:v>1.8869686081250692</c:v>
                </c:pt>
                <c:pt idx="42">
                  <c:v>1.7176271130234813</c:v>
                </c:pt>
                <c:pt idx="43">
                  <c:v>1.5713612792767653</c:v>
                </c:pt>
                <c:pt idx="44">
                  <c:v>1.4308472988168059</c:v>
                </c:pt>
                <c:pt idx="45">
                  <c:v>1.3039197367377691</c:v>
                </c:pt>
                <c:pt idx="46">
                  <c:v>1.1890384203722433</c:v>
                </c:pt>
                <c:pt idx="47">
                  <c:v>1.0924888926360732</c:v>
                </c:pt>
                <c:pt idx="48">
                  <c:v>0.99161666939295101</c:v>
                </c:pt>
                <c:pt idx="49">
                  <c:v>0.91085428976722804</c:v>
                </c:pt>
                <c:pt idx="50">
                  <c:v>0.82604609311460209</c:v>
                </c:pt>
                <c:pt idx="51">
                  <c:v>0.75994838529296216</c:v>
                </c:pt>
                <c:pt idx="52">
                  <c:v>0.69098706572023716</c:v>
                </c:pt>
                <c:pt idx="53">
                  <c:v>0.63225073648472718</c:v>
                </c:pt>
                <c:pt idx="54">
                  <c:v>0.57899960334598055</c:v>
                </c:pt>
                <c:pt idx="55">
                  <c:v>0.52809120011932775</c:v>
                </c:pt>
                <c:pt idx="56">
                  <c:v>0.48125017095528483</c:v>
                </c:pt>
                <c:pt idx="57">
                  <c:v>0.43897152678861989</c:v>
                </c:pt>
                <c:pt idx="58">
                  <c:v>0.40175923092561971</c:v>
                </c:pt>
                <c:pt idx="59">
                  <c:v>0.36658667562759961</c:v>
                </c:pt>
                <c:pt idx="60">
                  <c:v>0.3353529629955489</c:v>
                </c:pt>
                <c:pt idx="61">
                  <c:v>0.3060587331761539</c:v>
                </c:pt>
                <c:pt idx="62">
                  <c:v>0.27891855046247122</c:v>
                </c:pt>
                <c:pt idx="63">
                  <c:v>0.25516587949007363</c:v>
                </c:pt>
                <c:pt idx="64">
                  <c:v>0.23346519600047086</c:v>
                </c:pt>
                <c:pt idx="65">
                  <c:v>0.21350616611788203</c:v>
                </c:pt>
                <c:pt idx="66">
                  <c:v>0.19487881422169737</c:v>
                </c:pt>
                <c:pt idx="67">
                  <c:v>0.17823147755882041</c:v>
                </c:pt>
                <c:pt idx="68">
                  <c:v>0.16283896279120419</c:v>
                </c:pt>
                <c:pt idx="69">
                  <c:v>0.14884171399188398</c:v>
                </c:pt>
                <c:pt idx="70">
                  <c:v>0.13591199921479624</c:v>
                </c:pt>
                <c:pt idx="71">
                  <c:v>0.12432808000085488</c:v>
                </c:pt>
                <c:pt idx="72">
                  <c:v>0.11354688852108612</c:v>
                </c:pt>
                <c:pt idx="73">
                  <c:v>0.10429766717183542</c:v>
                </c:pt>
                <c:pt idx="74">
                  <c:v>9.5136853279860586E-2</c:v>
                </c:pt>
                <c:pt idx="75">
                  <c:v>8.6873424642780819E-2</c:v>
                </c:pt>
                <c:pt idx="76">
                  <c:v>7.9294375654714602E-2</c:v>
                </c:pt>
                <c:pt idx="77">
                  <c:v>7.2455348966830979E-2</c:v>
                </c:pt>
                <c:pt idx="78">
                  <c:v>6.6312022407469445E-2</c:v>
                </c:pt>
                <c:pt idx="79">
                  <c:v>6.0436900845055583E-2</c:v>
                </c:pt>
                <c:pt idx="80">
                  <c:v>5.5216146646882187E-2</c:v>
                </c:pt>
                <c:pt idx="81">
                  <c:v>5.0677459165964459E-2</c:v>
                </c:pt>
                <c:pt idx="82">
                  <c:v>4.6177187617570739E-2</c:v>
                </c:pt>
                <c:pt idx="83">
                  <c:v>4.2204931084930002E-2</c:v>
                </c:pt>
                <c:pt idx="84">
                  <c:v>3.8624700968415998E-2</c:v>
                </c:pt>
                <c:pt idx="85">
                  <c:v>3.5288073508367164E-2</c:v>
                </c:pt>
                <c:pt idx="86">
                  <c:v>3.2247938041653108E-2</c:v>
                </c:pt>
                <c:pt idx="87">
                  <c:v>2.9479235704379055E-2</c:v>
                </c:pt>
                <c:pt idx="88">
                  <c:v>2.6911550317483584E-2</c:v>
                </c:pt>
                <c:pt idx="89">
                  <c:v>2.4633787011100791E-2</c:v>
                </c:pt>
                <c:pt idx="90">
                  <c:v>2.2547259795336085E-2</c:v>
                </c:pt>
                <c:pt idx="91">
                  <c:v>2.0596713877366748E-2</c:v>
                </c:pt>
                <c:pt idx="92">
                  <c:v>1.881332850195995E-2</c:v>
                </c:pt>
                <c:pt idx="93">
                  <c:v>1.7192635306555282E-2</c:v>
                </c:pt>
                <c:pt idx="94">
                  <c:v>1.5729800529488625E-2</c:v>
                </c:pt>
                <c:pt idx="95">
                  <c:v>1.4368418788501583E-2</c:v>
                </c:pt>
                <c:pt idx="96">
                  <c:v>1.3139788269653369E-2</c:v>
                </c:pt>
                <c:pt idx="97">
                  <c:v>1.2013506873075732E-2</c:v>
                </c:pt>
                <c:pt idx="98">
                  <c:v>1.0974090457404594E-2</c:v>
                </c:pt>
                <c:pt idx="99">
                  <c:v>1.002745549202089E-2</c:v>
                </c:pt>
                <c:pt idx="100">
                  <c:v>9.1836671623220928E-3</c:v>
                </c:pt>
                <c:pt idx="101">
                  <c:v>8.4069233896829198E-3</c:v>
                </c:pt>
                <c:pt idx="102">
                  <c:v>7.6421717407636151E-3</c:v>
                </c:pt>
                <c:pt idx="103">
                  <c:v>7.0045765916523636E-3</c:v>
                </c:pt>
                <c:pt idx="104">
                  <c:v>6.3899739523953242E-3</c:v>
                </c:pt>
                <c:pt idx="105">
                  <c:v>5.8432247997715139E-3</c:v>
                </c:pt>
                <c:pt idx="106">
                  <c:v>5.356207881098177E-3</c:v>
                </c:pt>
                <c:pt idx="107">
                  <c:v>4.8996185234657973E-3</c:v>
                </c:pt>
                <c:pt idx="108">
                  <c:v>4.4776922764836547E-3</c:v>
                </c:pt>
                <c:pt idx="109">
                  <c:v>4.0917755940295024E-3</c:v>
                </c:pt>
                <c:pt idx="110">
                  <c:v>3.7285597536249812E-3</c:v>
                </c:pt>
                <c:pt idx="111">
                  <c:v>3.4139206173794748E-3</c:v>
                </c:pt>
                <c:pt idx="112">
                  <c:v>3.1212618377436342E-3</c:v>
                </c:pt>
                <c:pt idx="113">
                  <c:v>2.8522106889034469E-3</c:v>
                </c:pt>
                <c:pt idx="114">
                  <c:v>2.6074108623893701E-3</c:v>
                </c:pt>
                <c:pt idx="115">
                  <c:v>2.3854298502097712E-3</c:v>
                </c:pt>
                <c:pt idx="116">
                  <c:v>2.1809124743022868E-3</c:v>
                </c:pt>
                <c:pt idx="117">
                  <c:v>1.9939755597588151E-3</c:v>
                </c:pt>
                <c:pt idx="118">
                  <c:v>1.8364225528130697E-3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281792"/>
        <c:axId val="105304832"/>
      </c:scatterChart>
      <c:valAx>
        <c:axId val="105281792"/>
        <c:scaling>
          <c:orientation val="maxMin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Mercury Saturation, fraction pore space</a:t>
                </a:r>
              </a:p>
            </c:rich>
          </c:tx>
          <c:layout>
            <c:manualLayout>
              <c:xMode val="edge"/>
              <c:yMode val="edge"/>
              <c:x val="0.26547320428824939"/>
              <c:y val="0.9407171720703485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05304832"/>
        <c:crossesAt val="1.0000000000000041E-3"/>
        <c:crossBetween val="midCat"/>
        <c:majorUnit val="0.2"/>
        <c:minorUnit val="0.1"/>
      </c:valAx>
      <c:valAx>
        <c:axId val="105304832"/>
        <c:scaling>
          <c:logBase val="10"/>
          <c:orientation val="minMax"/>
          <c:max val="1000"/>
          <c:min val="1.0000000000000041E-3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Pore Throat Radius, microns.</a:t>
                </a:r>
              </a:p>
            </c:rich>
          </c:tx>
          <c:layout>
            <c:manualLayout>
              <c:xMode val="edge"/>
              <c:yMode val="edge"/>
              <c:x val="1.7605633802816906E-2"/>
              <c:y val="0.288590956331800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05281792"/>
        <c:crosses val="max"/>
        <c:crossBetween val="midCat"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901411284906759"/>
          <c:y val="6.0402679443359433E-2"/>
          <c:w val="0.4260563032526869"/>
          <c:h val="9.39597296336340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505"/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3175">
      <a:solidFill>
        <a:sysClr val="windowText" lastClr="000000"/>
      </a:solidFill>
    </a:ln>
  </c:spPr>
  <c:txPr>
    <a:bodyPr/>
    <a:lstStyle/>
    <a:p>
      <a:pPr>
        <a:defRPr sz="600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921" r="0.75000000000000921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Normalized Data V.S. Pore Size Distrubition</a:t>
            </a:r>
          </a:p>
        </c:rich>
      </c:tx>
      <c:layout>
        <c:manualLayout>
          <c:xMode val="edge"/>
          <c:yMode val="edge"/>
          <c:x val="0.30823972597678045"/>
          <c:y val="5.73523378841218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384661626489"/>
          <c:y val="0.16126507112319541"/>
          <c:w val="0.81528794194843257"/>
          <c:h val="0.67664041994752278"/>
        </c:manualLayout>
      </c:layout>
      <c:scatterChart>
        <c:scatterStyle val="lineMarker"/>
        <c:varyColors val="0"/>
        <c:ser>
          <c:idx val="0"/>
          <c:order val="0"/>
          <c:tx>
            <c:v>Normalized Pore Size Distribution</c:v>
          </c:tx>
          <c:spPr>
            <a:ln w="15875">
              <a:solidFill>
                <a:schemeClr val="dk2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dk2">
                  <a:lumMod val="75000"/>
                </a:schemeClr>
              </a:solidFill>
              <a:ln>
                <a:solidFill>
                  <a:schemeClr val="dk2">
                    <a:lumMod val="75000"/>
                  </a:schemeClr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73.455609711092237</c:v>
                </c:pt>
                <c:pt idx="1">
                  <c:v>69.382193886636159</c:v>
                </c:pt>
                <c:pt idx="2">
                  <c:v>61.270004523932016</c:v>
                </c:pt>
                <c:pt idx="3">
                  <c:v>55.214679268694042</c:v>
                </c:pt>
                <c:pt idx="4">
                  <c:v>51.008864087874159</c:v>
                </c:pt>
                <c:pt idx="5">
                  <c:v>46.816426542480237</c:v>
                </c:pt>
                <c:pt idx="6">
                  <c:v>42.658145839436862</c:v>
                </c:pt>
                <c:pt idx="7">
                  <c:v>38.958612800350302</c:v>
                </c:pt>
                <c:pt idx="8">
                  <c:v>35.501800824434454</c:v>
                </c:pt>
                <c:pt idx="9">
                  <c:v>32.425362873794995</c:v>
                </c:pt>
                <c:pt idx="10">
                  <c:v>29.731349245490577</c:v>
                </c:pt>
                <c:pt idx="11">
                  <c:v>27.189461871701909</c:v>
                </c:pt>
                <c:pt idx="12">
                  <c:v>24.83393299039345</c:v>
                </c:pt>
                <c:pt idx="13">
                  <c:v>22.730654959003157</c:v>
                </c:pt>
                <c:pt idx="14">
                  <c:v>20.814658165990846</c:v>
                </c:pt>
                <c:pt idx="15">
                  <c:v>18.981983940340569</c:v>
                </c:pt>
                <c:pt idx="16">
                  <c:v>17.379023690946447</c:v>
                </c:pt>
                <c:pt idx="17">
                  <c:v>15.884921261992288</c:v>
                </c:pt>
                <c:pt idx="18">
                  <c:v>14.509385435932803</c:v>
                </c:pt>
                <c:pt idx="19">
                  <c:v>13.257640968552325</c:v>
                </c:pt>
                <c:pt idx="20">
                  <c:v>12.108954035731177</c:v>
                </c:pt>
                <c:pt idx="21">
                  <c:v>11.073668323281876</c:v>
                </c:pt>
                <c:pt idx="22">
                  <c:v>10.142506898875013</c:v>
                </c:pt>
                <c:pt idx="23">
                  <c:v>9.2015802658839529</c:v>
                </c:pt>
                <c:pt idx="24">
                  <c:v>8.4871394644018832</c:v>
                </c:pt>
                <c:pt idx="25">
                  <c:v>7.7115211562690762</c:v>
                </c:pt>
                <c:pt idx="26">
                  <c:v>7.0659057081481906</c:v>
                </c:pt>
                <c:pt idx="27">
                  <c:v>6.4801300666443451</c:v>
                </c:pt>
                <c:pt idx="28">
                  <c:v>5.908640118437618</c:v>
                </c:pt>
                <c:pt idx="29">
                  <c:v>5.3844142232405154</c:v>
                </c:pt>
                <c:pt idx="30">
                  <c:v>4.9240651551990426</c:v>
                </c:pt>
                <c:pt idx="31">
                  <c:v>4.4970506754552035</c:v>
                </c:pt>
                <c:pt idx="32">
                  <c:v>4.1114136671722861</c:v>
                </c:pt>
                <c:pt idx="33">
                  <c:v>3.7712097026223792</c:v>
                </c:pt>
                <c:pt idx="34">
                  <c:v>3.4772805999607104</c:v>
                </c:pt>
                <c:pt idx="35">
                  <c:v>3.2525382240257903</c:v>
                </c:pt>
                <c:pt idx="36">
                  <c:v>2.966844006729477</c:v>
                </c:pt>
                <c:pt idx="37">
                  <c:v>2.7280795197855428</c:v>
                </c:pt>
                <c:pt idx="38">
                  <c:v>2.4709206875109757</c:v>
                </c:pt>
                <c:pt idx="39">
                  <c:v>2.2496137012699964</c:v>
                </c:pt>
                <c:pt idx="40">
                  <c:v>2.0749595282114659</c:v>
                </c:pt>
                <c:pt idx="41">
                  <c:v>1.8869686081250692</c:v>
                </c:pt>
                <c:pt idx="42">
                  <c:v>1.7176271130234813</c:v>
                </c:pt>
                <c:pt idx="43">
                  <c:v>1.5713612792767653</c:v>
                </c:pt>
                <c:pt idx="44">
                  <c:v>1.4308472988168059</c:v>
                </c:pt>
                <c:pt idx="45">
                  <c:v>1.3039197367377691</c:v>
                </c:pt>
                <c:pt idx="46">
                  <c:v>1.1890384203722433</c:v>
                </c:pt>
                <c:pt idx="47">
                  <c:v>1.0924888926360732</c:v>
                </c:pt>
                <c:pt idx="48">
                  <c:v>0.99161666939295101</c:v>
                </c:pt>
                <c:pt idx="49">
                  <c:v>0.91085428976722804</c:v>
                </c:pt>
                <c:pt idx="50">
                  <c:v>0.82604609311460209</c:v>
                </c:pt>
                <c:pt idx="51">
                  <c:v>0.75994838529296216</c:v>
                </c:pt>
                <c:pt idx="52">
                  <c:v>0.69098706572023716</c:v>
                </c:pt>
                <c:pt idx="53">
                  <c:v>0.63225073648472718</c:v>
                </c:pt>
                <c:pt idx="54">
                  <c:v>0.57899960334598055</c:v>
                </c:pt>
                <c:pt idx="55">
                  <c:v>0.52809120011932775</c:v>
                </c:pt>
                <c:pt idx="56">
                  <c:v>0.48125017095528483</c:v>
                </c:pt>
                <c:pt idx="57">
                  <c:v>0.43897152678861989</c:v>
                </c:pt>
                <c:pt idx="58">
                  <c:v>0.40175923092561971</c:v>
                </c:pt>
                <c:pt idx="59">
                  <c:v>0.36658667562759961</c:v>
                </c:pt>
                <c:pt idx="60">
                  <c:v>0.3353529629955489</c:v>
                </c:pt>
                <c:pt idx="61">
                  <c:v>0.3060587331761539</c:v>
                </c:pt>
                <c:pt idx="62">
                  <c:v>0.27891855046247122</c:v>
                </c:pt>
                <c:pt idx="63">
                  <c:v>0.25516587949007363</c:v>
                </c:pt>
                <c:pt idx="64">
                  <c:v>0.23346519600047086</c:v>
                </c:pt>
                <c:pt idx="65">
                  <c:v>0.21350616611788203</c:v>
                </c:pt>
                <c:pt idx="66">
                  <c:v>0.19487881422169737</c:v>
                </c:pt>
                <c:pt idx="67">
                  <c:v>0.17823147755882041</c:v>
                </c:pt>
                <c:pt idx="68">
                  <c:v>0.16283896279120419</c:v>
                </c:pt>
                <c:pt idx="69">
                  <c:v>0.14884171399188398</c:v>
                </c:pt>
                <c:pt idx="70">
                  <c:v>0.13591199921479624</c:v>
                </c:pt>
                <c:pt idx="71">
                  <c:v>0.12432808000085488</c:v>
                </c:pt>
                <c:pt idx="72">
                  <c:v>0.11354688852108612</c:v>
                </c:pt>
                <c:pt idx="73">
                  <c:v>0.10429766717183542</c:v>
                </c:pt>
                <c:pt idx="74">
                  <c:v>9.5136853279860586E-2</c:v>
                </c:pt>
                <c:pt idx="75">
                  <c:v>8.6873424642780819E-2</c:v>
                </c:pt>
                <c:pt idx="76">
                  <c:v>7.9294375654714602E-2</c:v>
                </c:pt>
                <c:pt idx="77">
                  <c:v>7.2455348966830979E-2</c:v>
                </c:pt>
                <c:pt idx="78">
                  <c:v>6.6312022407469445E-2</c:v>
                </c:pt>
                <c:pt idx="79">
                  <c:v>6.0436900845055583E-2</c:v>
                </c:pt>
                <c:pt idx="80">
                  <c:v>5.5216146646882187E-2</c:v>
                </c:pt>
                <c:pt idx="81">
                  <c:v>5.0677459165964459E-2</c:v>
                </c:pt>
                <c:pt idx="82">
                  <c:v>4.6177187617570739E-2</c:v>
                </c:pt>
                <c:pt idx="83">
                  <c:v>4.2204931084930002E-2</c:v>
                </c:pt>
                <c:pt idx="84">
                  <c:v>3.8624700968415998E-2</c:v>
                </c:pt>
                <c:pt idx="85">
                  <c:v>3.5288073508367164E-2</c:v>
                </c:pt>
                <c:pt idx="86">
                  <c:v>3.2247938041653108E-2</c:v>
                </c:pt>
                <c:pt idx="87">
                  <c:v>2.9479235704379055E-2</c:v>
                </c:pt>
                <c:pt idx="88">
                  <c:v>2.6911550317483584E-2</c:v>
                </c:pt>
                <c:pt idx="89">
                  <c:v>2.4633787011100791E-2</c:v>
                </c:pt>
                <c:pt idx="90">
                  <c:v>2.2547259795336085E-2</c:v>
                </c:pt>
                <c:pt idx="91">
                  <c:v>2.0596713877366748E-2</c:v>
                </c:pt>
                <c:pt idx="92">
                  <c:v>1.881332850195995E-2</c:v>
                </c:pt>
                <c:pt idx="93">
                  <c:v>1.7192635306555282E-2</c:v>
                </c:pt>
                <c:pt idx="94">
                  <c:v>1.5729800529488625E-2</c:v>
                </c:pt>
                <c:pt idx="95">
                  <c:v>1.4368418788501583E-2</c:v>
                </c:pt>
                <c:pt idx="96">
                  <c:v>1.3139788269653369E-2</c:v>
                </c:pt>
                <c:pt idx="97">
                  <c:v>1.2013506873075732E-2</c:v>
                </c:pt>
                <c:pt idx="98">
                  <c:v>1.0974090457404594E-2</c:v>
                </c:pt>
                <c:pt idx="99">
                  <c:v>1.002745549202089E-2</c:v>
                </c:pt>
                <c:pt idx="100">
                  <c:v>9.1836671623220928E-3</c:v>
                </c:pt>
                <c:pt idx="101">
                  <c:v>8.4069233896829198E-3</c:v>
                </c:pt>
                <c:pt idx="102">
                  <c:v>7.6421717407636151E-3</c:v>
                </c:pt>
                <c:pt idx="103">
                  <c:v>7.0045765916523636E-3</c:v>
                </c:pt>
                <c:pt idx="104">
                  <c:v>6.3899739523953242E-3</c:v>
                </c:pt>
                <c:pt idx="105">
                  <c:v>5.8432247997715139E-3</c:v>
                </c:pt>
                <c:pt idx="106">
                  <c:v>5.356207881098177E-3</c:v>
                </c:pt>
                <c:pt idx="107">
                  <c:v>4.8996185234657973E-3</c:v>
                </c:pt>
                <c:pt idx="108">
                  <c:v>4.4776922764836547E-3</c:v>
                </c:pt>
                <c:pt idx="109">
                  <c:v>4.0917755940295024E-3</c:v>
                </c:pt>
                <c:pt idx="110">
                  <c:v>3.7285597536249812E-3</c:v>
                </c:pt>
                <c:pt idx="111">
                  <c:v>3.4139206173794748E-3</c:v>
                </c:pt>
                <c:pt idx="112">
                  <c:v>3.1212618377436342E-3</c:v>
                </c:pt>
                <c:pt idx="113">
                  <c:v>2.8522106889034469E-3</c:v>
                </c:pt>
                <c:pt idx="114">
                  <c:v>2.6074108623893701E-3</c:v>
                </c:pt>
                <c:pt idx="115">
                  <c:v>2.3854298502097712E-3</c:v>
                </c:pt>
                <c:pt idx="116">
                  <c:v>2.1809124743022868E-3</c:v>
                </c:pt>
                <c:pt idx="117">
                  <c:v>1.9939755597588151E-3</c:v>
                </c:pt>
                <c:pt idx="118">
                  <c:v>1.8364225528130697E-3</c:v>
                </c:pt>
              </c:numCache>
            </c:numRef>
          </c:xVal>
          <c:yVal>
            <c:numRef>
              <c:f>Table!$S$18:$S$136</c:f>
              <c:numCache>
                <c:formatCode>????0.000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0.10613713690825162</c:v>
                </c:pt>
                <c:pt idx="35">
                  <c:v>0.17413455901237671</c:v>
                </c:pt>
                <c:pt idx="36">
                  <c:v>0.50687794106438411</c:v>
                </c:pt>
                <c:pt idx="37">
                  <c:v>0.8488174153275081</c:v>
                </c:pt>
                <c:pt idx="38">
                  <c:v>0.89748253738788886</c:v>
                </c:pt>
                <c:pt idx="39">
                  <c:v>1</c:v>
                </c:pt>
                <c:pt idx="40">
                  <c:v>0.90550267795573036</c:v>
                </c:pt>
                <c:pt idx="41">
                  <c:v>0.85158089152969862</c:v>
                </c:pt>
                <c:pt idx="42">
                  <c:v>0.81161871921217865</c:v>
                </c:pt>
                <c:pt idx="43">
                  <c:v>0.68101098743905664</c:v>
                </c:pt>
                <c:pt idx="44">
                  <c:v>0.59363886628210372</c:v>
                </c:pt>
                <c:pt idx="45">
                  <c:v>0.4974947107349047</c:v>
                </c:pt>
                <c:pt idx="46">
                  <c:v>0.43747541399313633</c:v>
                </c:pt>
                <c:pt idx="47">
                  <c:v>0.3753653358705909</c:v>
                </c:pt>
                <c:pt idx="48">
                  <c:v>0.35996839986952406</c:v>
                </c:pt>
                <c:pt idx="49">
                  <c:v>0.28305235297793846</c:v>
                </c:pt>
                <c:pt idx="50">
                  <c:v>0.26293345875131713</c:v>
                </c:pt>
                <c:pt idx="51">
                  <c:v>0.21834360843291456</c:v>
                </c:pt>
                <c:pt idx="52">
                  <c:v>0.20877326256175652</c:v>
                </c:pt>
                <c:pt idx="53">
                  <c:v>0.18501392349141524</c:v>
                </c:pt>
                <c:pt idx="54">
                  <c:v>0.16029227592101233</c:v>
                </c:pt>
                <c:pt idx="55">
                  <c:v>0.15425906399604492</c:v>
                </c:pt>
                <c:pt idx="56">
                  <c:v>0.14248451149297581</c:v>
                </c:pt>
                <c:pt idx="57">
                  <c:v>0.12922820618687744</c:v>
                </c:pt>
                <c:pt idx="58">
                  <c:v>0.11781054587527613</c:v>
                </c:pt>
                <c:pt idx="59">
                  <c:v>0.11372795928828343</c:v>
                </c:pt>
                <c:pt idx="60">
                  <c:v>0.10842803799962476</c:v>
                </c:pt>
                <c:pt idx="61">
                  <c:v>0.10518422030795933</c:v>
                </c:pt>
                <c:pt idx="62">
                  <c:v>0.10246056937308914</c:v>
                </c:pt>
                <c:pt idx="63">
                  <c:v>0.10117315665002358</c:v>
                </c:pt>
                <c:pt idx="64">
                  <c:v>9.8182920252296635E-2</c:v>
                </c:pt>
                <c:pt idx="65">
                  <c:v>9.9186408620606584E-2</c:v>
                </c:pt>
                <c:pt idx="66">
                  <c:v>9.9252151919036261E-2</c:v>
                </c:pt>
                <c:pt idx="67">
                  <c:v>9.905781183906831E-2</c:v>
                </c:pt>
                <c:pt idx="68">
                  <c:v>9.9651668886405476E-2</c:v>
                </c:pt>
                <c:pt idx="69">
                  <c:v>0.10243094876610388</c:v>
                </c:pt>
                <c:pt idx="70">
                  <c:v>0.10757337512006236</c:v>
                </c:pt>
                <c:pt idx="71">
                  <c:v>0.11025729109434795</c:v>
                </c:pt>
                <c:pt idx="72">
                  <c:v>0.13057052540093511</c:v>
                </c:pt>
                <c:pt idx="73">
                  <c:v>0.14258348766753093</c:v>
                </c:pt>
                <c:pt idx="74">
                  <c:v>0.19128265536460104</c:v>
                </c:pt>
                <c:pt idx="75">
                  <c:v>0.25298599198148414</c:v>
                </c:pt>
                <c:pt idx="76">
                  <c:v>0.32774840400918509</c:v>
                </c:pt>
                <c:pt idx="77">
                  <c:v>0.37235703812713961</c:v>
                </c:pt>
                <c:pt idx="78">
                  <c:v>0.38519793248163153</c:v>
                </c:pt>
                <c:pt idx="79">
                  <c:v>0.40126386072824116</c:v>
                </c:pt>
                <c:pt idx="80">
                  <c:v>0.37114909532525386</c:v>
                </c:pt>
                <c:pt idx="81">
                  <c:v>0.34135365451463262</c:v>
                </c:pt>
                <c:pt idx="82">
                  <c:v>0.34410331378734577</c:v>
                </c:pt>
                <c:pt idx="83">
                  <c:v>0.30412849852781754</c:v>
                </c:pt>
                <c:pt idx="84">
                  <c:v>0.28182490392267318</c:v>
                </c:pt>
                <c:pt idx="85">
                  <c:v>0.27481276705957292</c:v>
                </c:pt>
                <c:pt idx="86">
                  <c:v>0.23910765392872071</c:v>
                </c:pt>
                <c:pt idx="87">
                  <c:v>0.22064606878555312</c:v>
                </c:pt>
                <c:pt idx="88">
                  <c:v>0.21837178413224034</c:v>
                </c:pt>
                <c:pt idx="89">
                  <c:v>0.18412602773572526</c:v>
                </c:pt>
                <c:pt idx="90">
                  <c:v>0.17931448523539162</c:v>
                </c:pt>
                <c:pt idx="91">
                  <c:v>0.1672812942615865</c:v>
                </c:pt>
                <c:pt idx="92">
                  <c:v>0.14892663228508629</c:v>
                </c:pt>
                <c:pt idx="93">
                  <c:v>0.13600048837878939</c:v>
                </c:pt>
                <c:pt idx="94">
                  <c:v>0.13148515194829566</c:v>
                </c:pt>
                <c:pt idx="95">
                  <c:v>0.11711410038423727</c:v>
                </c:pt>
                <c:pt idx="96">
                  <c:v>0.12665482564841218</c:v>
                </c:pt>
                <c:pt idx="97">
                  <c:v>0.10553894513793791</c:v>
                </c:pt>
                <c:pt idx="98">
                  <c:v>9.1115876898202122E-2</c:v>
                </c:pt>
                <c:pt idx="99">
                  <c:v>9.0195470720212181E-2</c:v>
                </c:pt>
                <c:pt idx="100">
                  <c:v>7.7344462012114562E-2</c:v>
                </c:pt>
                <c:pt idx="101">
                  <c:v>8.265449765437044E-2</c:v>
                </c:pt>
                <c:pt idx="102">
                  <c:v>7.342009281364327E-2</c:v>
                </c:pt>
                <c:pt idx="103">
                  <c:v>6.1597858357870947E-2</c:v>
                </c:pt>
                <c:pt idx="104">
                  <c:v>5.4049660753742443E-2</c:v>
                </c:pt>
                <c:pt idx="105">
                  <c:v>5.3062788823497339E-2</c:v>
                </c:pt>
                <c:pt idx="106">
                  <c:v>4.7265819300567433E-2</c:v>
                </c:pt>
                <c:pt idx="107">
                  <c:v>2.9552696324120362E-2</c:v>
                </c:pt>
                <c:pt idx="108">
                  <c:v>2.3719604109750297E-2</c:v>
                </c:pt>
                <c:pt idx="109">
                  <c:v>1.34145226946219E-2</c:v>
                </c:pt>
                <c:pt idx="110">
                  <c:v>2.0257605361765317E-2</c:v>
                </c:pt>
                <c:pt idx="111">
                  <c:v>1.6419930622756353E-2</c:v>
                </c:pt>
                <c:pt idx="112">
                  <c:v>1.3131320793702408E-2</c:v>
                </c:pt>
                <c:pt idx="113">
                  <c:v>1.3105312455874338E-3</c:v>
                </c:pt>
                <c:pt idx="114">
                  <c:v>0</c:v>
                </c:pt>
                <c:pt idx="115">
                  <c:v>2.5571975726997494E-2</c:v>
                </c:pt>
                <c:pt idx="116">
                  <c:v>2.0708416550982191E-2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Conformance Point</c:v>
          </c:tx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Table!$AE$17</c:f>
              <c:numCache>
                <c:formatCode>General</c:formatCode>
                <c:ptCount val="1"/>
                <c:pt idx="0">
                  <c:v>3.7712097026223792</c:v>
                </c:pt>
              </c:numCache>
            </c:numRef>
          </c:xVal>
          <c:yVal>
            <c:numRef>
              <c:f>Table!$AD$17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14944"/>
        <c:axId val="105350272"/>
      </c:scatterChart>
      <c:valAx>
        <c:axId val="105314944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40741869092575211"/>
              <c:y val="0.925774717568987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05350272"/>
        <c:crosses val="autoZero"/>
        <c:crossBetween val="midCat"/>
      </c:valAx>
      <c:valAx>
        <c:axId val="10535027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Dristubition Function</a:t>
                </a:r>
              </a:p>
            </c:rich>
          </c:tx>
          <c:layout>
            <c:manualLayout>
              <c:xMode val="edge"/>
              <c:yMode val="edge"/>
              <c:x val="3.5392202272293852E-2"/>
              <c:y val="0.308868582062702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05314944"/>
        <c:crossesAt val="1.0000000000000041E-3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dk1"/>
      </a:solidFill>
    </a:ln>
  </c:spPr>
  <c:txPr>
    <a:bodyPr/>
    <a:lstStyle/>
    <a:p>
      <a:pPr>
        <a:defRPr sz="800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844" r="0.75000000000000844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Saturation vs Pore Throat Size</a:t>
            </a:r>
          </a:p>
        </c:rich>
      </c:tx>
      <c:layout>
        <c:manualLayout>
          <c:xMode val="edge"/>
          <c:yMode val="edge"/>
          <c:x val="0.33093532012654897"/>
          <c:y val="3.1042222084444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64490420478818"/>
          <c:y val="0.10419268510258722"/>
          <c:w val="0.79829436705027268"/>
          <c:h val="0.76090414211159918"/>
        </c:manualLayout>
      </c:layout>
      <c:scatterChart>
        <c:scatterStyle val="smoothMarker"/>
        <c:varyColors val="0"/>
        <c:ser>
          <c:idx val="0"/>
          <c:order val="0"/>
          <c:tx>
            <c:v>Sat. (Frac)</c:v>
          </c:tx>
          <c:spPr>
            <a:ln w="12700">
              <a:solidFill>
                <a:srgbClr val="800080"/>
              </a:solidFill>
            </a:ln>
          </c:spPr>
          <c:marker>
            <c:symbol val="diamond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73.455609711092237</c:v>
                </c:pt>
                <c:pt idx="1">
                  <c:v>69.382193886636159</c:v>
                </c:pt>
                <c:pt idx="2">
                  <c:v>61.270004523932016</c:v>
                </c:pt>
                <c:pt idx="3">
                  <c:v>55.214679268694042</c:v>
                </c:pt>
                <c:pt idx="4">
                  <c:v>51.008864087874159</c:v>
                </c:pt>
                <c:pt idx="5">
                  <c:v>46.816426542480237</c:v>
                </c:pt>
                <c:pt idx="6">
                  <c:v>42.658145839436862</c:v>
                </c:pt>
                <c:pt idx="7">
                  <c:v>38.958612800350302</c:v>
                </c:pt>
                <c:pt idx="8">
                  <c:v>35.501800824434454</c:v>
                </c:pt>
                <c:pt idx="9">
                  <c:v>32.425362873794995</c:v>
                </c:pt>
                <c:pt idx="10">
                  <c:v>29.731349245490577</c:v>
                </c:pt>
                <c:pt idx="11">
                  <c:v>27.189461871701909</c:v>
                </c:pt>
                <c:pt idx="12">
                  <c:v>24.83393299039345</c:v>
                </c:pt>
                <c:pt idx="13">
                  <c:v>22.730654959003157</c:v>
                </c:pt>
                <c:pt idx="14">
                  <c:v>20.814658165990846</c:v>
                </c:pt>
                <c:pt idx="15">
                  <c:v>18.981983940340569</c:v>
                </c:pt>
                <c:pt idx="16">
                  <c:v>17.379023690946447</c:v>
                </c:pt>
                <c:pt idx="17">
                  <c:v>15.884921261992288</c:v>
                </c:pt>
                <c:pt idx="18">
                  <c:v>14.509385435932803</c:v>
                </c:pt>
                <c:pt idx="19">
                  <c:v>13.257640968552325</c:v>
                </c:pt>
                <c:pt idx="20">
                  <c:v>12.108954035731177</c:v>
                </c:pt>
                <c:pt idx="21">
                  <c:v>11.073668323281876</c:v>
                </c:pt>
                <c:pt idx="22">
                  <c:v>10.142506898875013</c:v>
                </c:pt>
                <c:pt idx="23">
                  <c:v>9.2015802658839529</c:v>
                </c:pt>
                <c:pt idx="24">
                  <c:v>8.4871394644018832</c:v>
                </c:pt>
                <c:pt idx="25">
                  <c:v>7.7115211562690762</c:v>
                </c:pt>
                <c:pt idx="26">
                  <c:v>7.0659057081481906</c:v>
                </c:pt>
                <c:pt idx="27">
                  <c:v>6.4801300666443451</c:v>
                </c:pt>
                <c:pt idx="28">
                  <c:v>5.908640118437618</c:v>
                </c:pt>
                <c:pt idx="29">
                  <c:v>5.3844142232405154</c:v>
                </c:pt>
                <c:pt idx="30">
                  <c:v>4.9240651551990426</c:v>
                </c:pt>
                <c:pt idx="31">
                  <c:v>4.4970506754552035</c:v>
                </c:pt>
                <c:pt idx="32">
                  <c:v>4.1114136671722861</c:v>
                </c:pt>
                <c:pt idx="33">
                  <c:v>3.7712097026223792</c:v>
                </c:pt>
                <c:pt idx="34">
                  <c:v>3.4772805999607104</c:v>
                </c:pt>
                <c:pt idx="35">
                  <c:v>3.2525382240257903</c:v>
                </c:pt>
                <c:pt idx="36">
                  <c:v>2.966844006729477</c:v>
                </c:pt>
                <c:pt idx="37">
                  <c:v>2.7280795197855428</c:v>
                </c:pt>
                <c:pt idx="38">
                  <c:v>2.4709206875109757</c:v>
                </c:pt>
                <c:pt idx="39">
                  <c:v>2.2496137012699964</c:v>
                </c:pt>
                <c:pt idx="40">
                  <c:v>2.0749595282114659</c:v>
                </c:pt>
                <c:pt idx="41">
                  <c:v>1.8869686081250692</c:v>
                </c:pt>
                <c:pt idx="42">
                  <c:v>1.7176271130234813</c:v>
                </c:pt>
                <c:pt idx="43">
                  <c:v>1.5713612792767653</c:v>
                </c:pt>
                <c:pt idx="44">
                  <c:v>1.4308472988168059</c:v>
                </c:pt>
                <c:pt idx="45">
                  <c:v>1.3039197367377691</c:v>
                </c:pt>
                <c:pt idx="46">
                  <c:v>1.1890384203722433</c:v>
                </c:pt>
                <c:pt idx="47">
                  <c:v>1.0924888926360732</c:v>
                </c:pt>
                <c:pt idx="48">
                  <c:v>0.99161666939295101</c:v>
                </c:pt>
                <c:pt idx="49">
                  <c:v>0.91085428976722804</c:v>
                </c:pt>
                <c:pt idx="50">
                  <c:v>0.82604609311460209</c:v>
                </c:pt>
                <c:pt idx="51">
                  <c:v>0.75994838529296216</c:v>
                </c:pt>
                <c:pt idx="52">
                  <c:v>0.69098706572023716</c:v>
                </c:pt>
                <c:pt idx="53">
                  <c:v>0.63225073648472718</c:v>
                </c:pt>
                <c:pt idx="54">
                  <c:v>0.57899960334598055</c:v>
                </c:pt>
                <c:pt idx="55">
                  <c:v>0.52809120011932775</c:v>
                </c:pt>
                <c:pt idx="56">
                  <c:v>0.48125017095528483</c:v>
                </c:pt>
                <c:pt idx="57">
                  <c:v>0.43897152678861989</c:v>
                </c:pt>
                <c:pt idx="58">
                  <c:v>0.40175923092561971</c:v>
                </c:pt>
                <c:pt idx="59">
                  <c:v>0.36658667562759961</c:v>
                </c:pt>
                <c:pt idx="60">
                  <c:v>0.3353529629955489</c:v>
                </c:pt>
                <c:pt idx="61">
                  <c:v>0.3060587331761539</c:v>
                </c:pt>
                <c:pt idx="62">
                  <c:v>0.27891855046247122</c:v>
                </c:pt>
                <c:pt idx="63">
                  <c:v>0.25516587949007363</c:v>
                </c:pt>
                <c:pt idx="64">
                  <c:v>0.23346519600047086</c:v>
                </c:pt>
                <c:pt idx="65">
                  <c:v>0.21350616611788203</c:v>
                </c:pt>
                <c:pt idx="66">
                  <c:v>0.19487881422169737</c:v>
                </c:pt>
                <c:pt idx="67">
                  <c:v>0.17823147755882041</c:v>
                </c:pt>
                <c:pt idx="68">
                  <c:v>0.16283896279120419</c:v>
                </c:pt>
                <c:pt idx="69">
                  <c:v>0.14884171399188398</c:v>
                </c:pt>
                <c:pt idx="70">
                  <c:v>0.13591199921479624</c:v>
                </c:pt>
                <c:pt idx="71">
                  <c:v>0.12432808000085488</c:v>
                </c:pt>
                <c:pt idx="72">
                  <c:v>0.11354688852108612</c:v>
                </c:pt>
                <c:pt idx="73">
                  <c:v>0.10429766717183542</c:v>
                </c:pt>
                <c:pt idx="74">
                  <c:v>9.5136853279860586E-2</c:v>
                </c:pt>
                <c:pt idx="75">
                  <c:v>8.6873424642780819E-2</c:v>
                </c:pt>
                <c:pt idx="76">
                  <c:v>7.9294375654714602E-2</c:v>
                </c:pt>
                <c:pt idx="77">
                  <c:v>7.2455348966830979E-2</c:v>
                </c:pt>
                <c:pt idx="78">
                  <c:v>6.6312022407469445E-2</c:v>
                </c:pt>
                <c:pt idx="79">
                  <c:v>6.0436900845055583E-2</c:v>
                </c:pt>
                <c:pt idx="80">
                  <c:v>5.5216146646882187E-2</c:v>
                </c:pt>
                <c:pt idx="81">
                  <c:v>5.0677459165964459E-2</c:v>
                </c:pt>
                <c:pt idx="82">
                  <c:v>4.6177187617570739E-2</c:v>
                </c:pt>
                <c:pt idx="83">
                  <c:v>4.2204931084930002E-2</c:v>
                </c:pt>
                <c:pt idx="84">
                  <c:v>3.8624700968415998E-2</c:v>
                </c:pt>
                <c:pt idx="85">
                  <c:v>3.5288073508367164E-2</c:v>
                </c:pt>
                <c:pt idx="86">
                  <c:v>3.2247938041653108E-2</c:v>
                </c:pt>
                <c:pt idx="87">
                  <c:v>2.9479235704379055E-2</c:v>
                </c:pt>
                <c:pt idx="88">
                  <c:v>2.6911550317483584E-2</c:v>
                </c:pt>
                <c:pt idx="89">
                  <c:v>2.4633787011100791E-2</c:v>
                </c:pt>
                <c:pt idx="90">
                  <c:v>2.2547259795336085E-2</c:v>
                </c:pt>
                <c:pt idx="91">
                  <c:v>2.0596713877366748E-2</c:v>
                </c:pt>
                <c:pt idx="92">
                  <c:v>1.881332850195995E-2</c:v>
                </c:pt>
                <c:pt idx="93">
                  <c:v>1.7192635306555282E-2</c:v>
                </c:pt>
                <c:pt idx="94">
                  <c:v>1.5729800529488625E-2</c:v>
                </c:pt>
                <c:pt idx="95">
                  <c:v>1.4368418788501583E-2</c:v>
                </c:pt>
                <c:pt idx="96">
                  <c:v>1.3139788269653369E-2</c:v>
                </c:pt>
                <c:pt idx="97">
                  <c:v>1.2013506873075732E-2</c:v>
                </c:pt>
                <c:pt idx="98">
                  <c:v>1.0974090457404594E-2</c:v>
                </c:pt>
                <c:pt idx="99">
                  <c:v>1.002745549202089E-2</c:v>
                </c:pt>
                <c:pt idx="100">
                  <c:v>9.1836671623220928E-3</c:v>
                </c:pt>
                <c:pt idx="101">
                  <c:v>8.4069233896829198E-3</c:v>
                </c:pt>
                <c:pt idx="102">
                  <c:v>7.6421717407636151E-3</c:v>
                </c:pt>
                <c:pt idx="103">
                  <c:v>7.0045765916523636E-3</c:v>
                </c:pt>
                <c:pt idx="104">
                  <c:v>6.3899739523953242E-3</c:v>
                </c:pt>
                <c:pt idx="105">
                  <c:v>5.8432247997715139E-3</c:v>
                </c:pt>
                <c:pt idx="106">
                  <c:v>5.356207881098177E-3</c:v>
                </c:pt>
                <c:pt idx="107">
                  <c:v>4.8996185234657973E-3</c:v>
                </c:pt>
                <c:pt idx="108">
                  <c:v>4.4776922764836547E-3</c:v>
                </c:pt>
                <c:pt idx="109">
                  <c:v>4.0917755940295024E-3</c:v>
                </c:pt>
                <c:pt idx="110">
                  <c:v>3.7285597536249812E-3</c:v>
                </c:pt>
                <c:pt idx="111">
                  <c:v>3.4139206173794748E-3</c:v>
                </c:pt>
                <c:pt idx="112">
                  <c:v>3.1212618377436342E-3</c:v>
                </c:pt>
                <c:pt idx="113">
                  <c:v>2.8522106889034469E-3</c:v>
                </c:pt>
                <c:pt idx="114">
                  <c:v>2.6074108623893701E-3</c:v>
                </c:pt>
                <c:pt idx="115">
                  <c:v>2.3854298502097712E-3</c:v>
                </c:pt>
                <c:pt idx="116">
                  <c:v>2.1809124743022868E-3</c:v>
                </c:pt>
                <c:pt idx="117">
                  <c:v>1.9939755597588151E-3</c:v>
                </c:pt>
                <c:pt idx="118">
                  <c:v>1.8364225528130697E-3</c:v>
                </c:pt>
              </c:numCache>
            </c:numRef>
          </c:xVal>
          <c:yVal>
            <c:numRef>
              <c:f>'Raw Data'!$E$18:$E$136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5.5433974854305476E-3</c:v>
                </c:pt>
                <c:pt idx="35">
                  <c:v>1.4638207319901592E-2</c:v>
                </c:pt>
                <c:pt idx="36">
                  <c:v>4.1111748869693203E-2</c:v>
                </c:pt>
                <c:pt idx="37">
                  <c:v>8.5444321452498098E-2</c:v>
                </c:pt>
                <c:pt idx="38">
                  <c:v>0.13231860679594476</c:v>
                </c:pt>
                <c:pt idx="39">
                  <c:v>0.18454723898735614</c:v>
                </c:pt>
                <c:pt idx="40">
                  <c:v>0.23184040530264402</c:v>
                </c:pt>
                <c:pt idx="41">
                  <c:v>0.27631731046758284</c:v>
                </c:pt>
                <c:pt idx="42">
                  <c:v>0.31870704603298011</c:v>
                </c:pt>
                <c:pt idx="43">
                  <c:v>0.35427531841424448</c:v>
                </c:pt>
                <c:pt idx="44">
                  <c:v>0.38528026441581892</c:v>
                </c:pt>
                <c:pt idx="45">
                  <c:v>0.41126373267996486</c:v>
                </c:pt>
                <c:pt idx="46">
                  <c:v>0.4341124751701978</c:v>
                </c:pt>
                <c:pt idx="47">
                  <c:v>0.45371729323478849</c:v>
                </c:pt>
                <c:pt idx="48">
                  <c:v>0.47251795039210476</c:v>
                </c:pt>
                <c:pt idx="49">
                  <c:v>0.48730138762670305</c:v>
                </c:pt>
                <c:pt idx="50">
                  <c:v>0.50103404253464123</c:v>
                </c:pt>
                <c:pt idx="51">
                  <c:v>0.51243783055082948</c:v>
                </c:pt>
                <c:pt idx="52">
                  <c:v>0.52334177249256841</c:v>
                </c:pt>
                <c:pt idx="53">
                  <c:v>0.53300479665289147</c:v>
                </c:pt>
                <c:pt idx="54">
                  <c:v>0.54137664297509425</c:v>
                </c:pt>
                <c:pt idx="55">
                  <c:v>0.54943338289073507</c:v>
                </c:pt>
                <c:pt idx="56">
                  <c:v>0.55687515403447463</c:v>
                </c:pt>
                <c:pt idx="57">
                  <c:v>0.56362456648416492</c:v>
                </c:pt>
                <c:pt idx="58">
                  <c:v>0.56977765015295412</c:v>
                </c:pt>
                <c:pt idx="59">
                  <c:v>0.57571750590850168</c:v>
                </c:pt>
                <c:pt idx="60">
                  <c:v>0.58138055402442046</c:v>
                </c:pt>
                <c:pt idx="61">
                  <c:v>0.58687418197922525</c:v>
                </c:pt>
                <c:pt idx="62">
                  <c:v>0.59222555737113491</c:v>
                </c:pt>
                <c:pt idx="63">
                  <c:v>0.59750969295745304</c:v>
                </c:pt>
                <c:pt idx="64">
                  <c:v>0.60263765258678892</c:v>
                </c:pt>
                <c:pt idx="65">
                  <c:v>0.60781802304102162</c:v>
                </c:pt>
                <c:pt idx="66">
                  <c:v>0.61300182717780705</c:v>
                </c:pt>
                <c:pt idx="67">
                  <c:v>0.61817548119803578</c:v>
                </c:pt>
                <c:pt idx="68">
                  <c:v>0.62338015155956417</c:v>
                </c:pt>
                <c:pt idx="69">
                  <c:v>0.62872997990768631</c:v>
                </c:pt>
                <c:pt idx="70">
                  <c:v>0.63434839015042077</c:v>
                </c:pt>
                <c:pt idx="71">
                  <c:v>0.64010697765340885</c:v>
                </c:pt>
                <c:pt idx="72">
                  <c:v>0.64692649759961363</c:v>
                </c:pt>
                <c:pt idx="73">
                  <c:v>0.65437343813356974</c:v>
                </c:pt>
                <c:pt idx="74">
                  <c:v>0.66436386958520399</c:v>
                </c:pt>
                <c:pt idx="75">
                  <c:v>0.67757698190998428</c:v>
                </c:pt>
                <c:pt idx="76">
                  <c:v>0.69469483275430211</c:v>
                </c:pt>
                <c:pt idx="77">
                  <c:v>0.71414253154252783</c:v>
                </c:pt>
                <c:pt idx="78">
                  <c:v>0.73426089267900307</c:v>
                </c:pt>
                <c:pt idx="79">
                  <c:v>0.75521835527268411</c:v>
                </c:pt>
                <c:pt idx="80">
                  <c:v>0.77460296486060187</c:v>
                </c:pt>
                <c:pt idx="81">
                  <c:v>0.79243139932944073</c:v>
                </c:pt>
                <c:pt idx="82">
                  <c:v>0.81040344474108583</c:v>
                </c:pt>
                <c:pt idx="83">
                  <c:v>0.82628766022962141</c:v>
                </c:pt>
                <c:pt idx="84">
                  <c:v>0.84100698947897856</c:v>
                </c:pt>
                <c:pt idx="85">
                  <c:v>0.85536008441123701</c:v>
                </c:pt>
                <c:pt idx="86">
                  <c:v>0.86784835012243144</c:v>
                </c:pt>
                <c:pt idx="87">
                  <c:v>0.87937239249351296</c:v>
                </c:pt>
                <c:pt idx="88">
                  <c:v>0.89077765208793802</c:v>
                </c:pt>
                <c:pt idx="89">
                  <c:v>0.90039430266741283</c:v>
                </c:pt>
                <c:pt idx="90">
                  <c:v>0.90975965296336436</c:v>
                </c:pt>
                <c:pt idx="91">
                  <c:v>0.91849652615385602</c:v>
                </c:pt>
                <c:pt idx="92">
                  <c:v>0.92627476045497936</c:v>
                </c:pt>
                <c:pt idx="93">
                  <c:v>0.93337787994036747</c:v>
                </c:pt>
                <c:pt idx="94">
                  <c:v>0.94024516958010684</c:v>
                </c:pt>
                <c:pt idx="95">
                  <c:v>0.9463618788535032</c:v>
                </c:pt>
                <c:pt idx="96">
                  <c:v>0.95297688715756146</c:v>
                </c:pt>
                <c:pt idx="97">
                  <c:v>0.95848904190504036</c:v>
                </c:pt>
                <c:pt idx="98">
                  <c:v>0.96324789952635448</c:v>
                </c:pt>
                <c:pt idx="99">
                  <c:v>0.96795868559193166</c:v>
                </c:pt>
                <c:pt idx="100">
                  <c:v>0.97199828105040498</c:v>
                </c:pt>
                <c:pt idx="101">
                  <c:v>0.97631521240736097</c:v>
                </c:pt>
                <c:pt idx="102">
                  <c:v>0.98014984343038403</c:v>
                </c:pt>
                <c:pt idx="103">
                  <c:v>0.98336701531833592</c:v>
                </c:pt>
                <c:pt idx="104">
                  <c:v>0.9861899551699137</c:v>
                </c:pt>
                <c:pt idx="105">
                  <c:v>0.98896135205042668</c:v>
                </c:pt>
                <c:pt idx="106">
                  <c:v>0.99142998114190173</c:v>
                </c:pt>
                <c:pt idx="107">
                  <c:v>0.99297347804847869</c:v>
                </c:pt>
                <c:pt idx="108">
                  <c:v>0.99421232052725272</c:v>
                </c:pt>
                <c:pt idx="109">
                  <c:v>0.99491294269909347</c:v>
                </c:pt>
                <c:pt idx="110">
                  <c:v>0.99597096971861188</c:v>
                </c:pt>
                <c:pt idx="111">
                  <c:v>0.99682856023571631</c:v>
                </c:pt>
                <c:pt idx="112">
                  <c:v>0.99751439115963803</c:v>
                </c:pt>
                <c:pt idx="113">
                  <c:v>0.99758283841403916</c:v>
                </c:pt>
                <c:pt idx="114">
                  <c:v>0.99758283841403916</c:v>
                </c:pt>
                <c:pt idx="115">
                  <c:v>0.99891842772869222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64832"/>
        <c:axId val="109867392"/>
      </c:scatterChart>
      <c:valAx>
        <c:axId val="109864832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39768561318499929"/>
              <c:y val="0.942799210869595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09867392"/>
        <c:crosses val="autoZero"/>
        <c:crossBetween val="midCat"/>
      </c:valAx>
      <c:valAx>
        <c:axId val="10986739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Mercury Saturation, fractional</a:t>
                </a:r>
              </a:p>
            </c:rich>
          </c:tx>
          <c:layout>
            <c:manualLayout>
              <c:xMode val="edge"/>
              <c:yMode val="edge"/>
              <c:x val="1.7213682297809941E-2"/>
              <c:y val="0.331670401146337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09864832"/>
        <c:crossesAt val="1.0000000000000041E-3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solidFill>
        <a:sysClr val="windowText" lastClr="000000"/>
      </a:solidFill>
    </a:ln>
  </c:spPr>
  <c:txPr>
    <a:bodyPr/>
    <a:lstStyle/>
    <a:p>
      <a:pPr>
        <a:defRPr sz="825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966" r="0.75000000000000966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d Sw / d Log Pore Throat Size vs Pore Throat Size</a:t>
            </a:r>
          </a:p>
        </c:rich>
      </c:tx>
      <c:layout>
        <c:manualLayout>
          <c:xMode val="edge"/>
          <c:yMode val="edge"/>
          <c:x val="0.2429618814204548"/>
          <c:y val="3.1012615102564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9448905544897"/>
          <c:y val="0.10031489965429066"/>
          <c:w val="0.81356164375743056"/>
          <c:h val="0.76537560680389582"/>
        </c:manualLayout>
      </c:layout>
      <c:scatterChart>
        <c:scatterStyle val="smoothMarker"/>
        <c:varyColors val="0"/>
        <c:ser>
          <c:idx val="0"/>
          <c:order val="0"/>
          <c:tx>
            <c:v>Sat. (Frac)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73.455609711092237</c:v>
                </c:pt>
                <c:pt idx="1">
                  <c:v>69.382193886636159</c:v>
                </c:pt>
                <c:pt idx="2">
                  <c:v>61.270004523932016</c:v>
                </c:pt>
                <c:pt idx="3">
                  <c:v>55.214679268694042</c:v>
                </c:pt>
                <c:pt idx="4">
                  <c:v>51.008864087874159</c:v>
                </c:pt>
                <c:pt idx="5">
                  <c:v>46.816426542480237</c:v>
                </c:pt>
                <c:pt idx="6">
                  <c:v>42.658145839436862</c:v>
                </c:pt>
                <c:pt idx="7">
                  <c:v>38.958612800350302</c:v>
                </c:pt>
                <c:pt idx="8">
                  <c:v>35.501800824434454</c:v>
                </c:pt>
                <c:pt idx="9">
                  <c:v>32.425362873794995</c:v>
                </c:pt>
                <c:pt idx="10">
                  <c:v>29.731349245490577</c:v>
                </c:pt>
                <c:pt idx="11">
                  <c:v>27.189461871701909</c:v>
                </c:pt>
                <c:pt idx="12">
                  <c:v>24.83393299039345</c:v>
                </c:pt>
                <c:pt idx="13">
                  <c:v>22.730654959003157</c:v>
                </c:pt>
                <c:pt idx="14">
                  <c:v>20.814658165990846</c:v>
                </c:pt>
                <c:pt idx="15">
                  <c:v>18.981983940340569</c:v>
                </c:pt>
                <c:pt idx="16">
                  <c:v>17.379023690946447</c:v>
                </c:pt>
                <c:pt idx="17">
                  <c:v>15.884921261992288</c:v>
                </c:pt>
                <c:pt idx="18">
                  <c:v>14.509385435932803</c:v>
                </c:pt>
                <c:pt idx="19">
                  <c:v>13.257640968552325</c:v>
                </c:pt>
                <c:pt idx="20">
                  <c:v>12.108954035731177</c:v>
                </c:pt>
                <c:pt idx="21">
                  <c:v>11.073668323281876</c:v>
                </c:pt>
                <c:pt idx="22">
                  <c:v>10.142506898875013</c:v>
                </c:pt>
                <c:pt idx="23">
                  <c:v>9.2015802658839529</c:v>
                </c:pt>
                <c:pt idx="24">
                  <c:v>8.4871394644018832</c:v>
                </c:pt>
                <c:pt idx="25">
                  <c:v>7.7115211562690762</c:v>
                </c:pt>
                <c:pt idx="26">
                  <c:v>7.0659057081481906</c:v>
                </c:pt>
                <c:pt idx="27">
                  <c:v>6.4801300666443451</c:v>
                </c:pt>
                <c:pt idx="28">
                  <c:v>5.908640118437618</c:v>
                </c:pt>
                <c:pt idx="29">
                  <c:v>5.3844142232405154</c:v>
                </c:pt>
                <c:pt idx="30">
                  <c:v>4.9240651551990426</c:v>
                </c:pt>
                <c:pt idx="31">
                  <c:v>4.4970506754552035</c:v>
                </c:pt>
                <c:pt idx="32">
                  <c:v>4.1114136671722861</c:v>
                </c:pt>
                <c:pt idx="33">
                  <c:v>3.7712097026223792</c:v>
                </c:pt>
                <c:pt idx="34">
                  <c:v>3.4772805999607104</c:v>
                </c:pt>
                <c:pt idx="35">
                  <c:v>3.2525382240257903</c:v>
                </c:pt>
                <c:pt idx="36">
                  <c:v>2.966844006729477</c:v>
                </c:pt>
                <c:pt idx="37">
                  <c:v>2.7280795197855428</c:v>
                </c:pt>
                <c:pt idx="38">
                  <c:v>2.4709206875109757</c:v>
                </c:pt>
                <c:pt idx="39">
                  <c:v>2.2496137012699964</c:v>
                </c:pt>
                <c:pt idx="40">
                  <c:v>2.0749595282114659</c:v>
                </c:pt>
                <c:pt idx="41">
                  <c:v>1.8869686081250692</c:v>
                </c:pt>
                <c:pt idx="42">
                  <c:v>1.7176271130234813</c:v>
                </c:pt>
                <c:pt idx="43">
                  <c:v>1.5713612792767653</c:v>
                </c:pt>
                <c:pt idx="44">
                  <c:v>1.4308472988168059</c:v>
                </c:pt>
                <c:pt idx="45">
                  <c:v>1.3039197367377691</c:v>
                </c:pt>
                <c:pt idx="46">
                  <c:v>1.1890384203722433</c:v>
                </c:pt>
                <c:pt idx="47">
                  <c:v>1.0924888926360732</c:v>
                </c:pt>
                <c:pt idx="48">
                  <c:v>0.99161666939295101</c:v>
                </c:pt>
                <c:pt idx="49">
                  <c:v>0.91085428976722804</c:v>
                </c:pt>
                <c:pt idx="50">
                  <c:v>0.82604609311460209</c:v>
                </c:pt>
                <c:pt idx="51">
                  <c:v>0.75994838529296216</c:v>
                </c:pt>
                <c:pt idx="52">
                  <c:v>0.69098706572023716</c:v>
                </c:pt>
                <c:pt idx="53">
                  <c:v>0.63225073648472718</c:v>
                </c:pt>
                <c:pt idx="54">
                  <c:v>0.57899960334598055</c:v>
                </c:pt>
                <c:pt idx="55">
                  <c:v>0.52809120011932775</c:v>
                </c:pt>
                <c:pt idx="56">
                  <c:v>0.48125017095528483</c:v>
                </c:pt>
                <c:pt idx="57">
                  <c:v>0.43897152678861989</c:v>
                </c:pt>
                <c:pt idx="58">
                  <c:v>0.40175923092561971</c:v>
                </c:pt>
                <c:pt idx="59">
                  <c:v>0.36658667562759961</c:v>
                </c:pt>
                <c:pt idx="60">
                  <c:v>0.3353529629955489</c:v>
                </c:pt>
                <c:pt idx="61">
                  <c:v>0.3060587331761539</c:v>
                </c:pt>
                <c:pt idx="62">
                  <c:v>0.27891855046247122</c:v>
                </c:pt>
                <c:pt idx="63">
                  <c:v>0.25516587949007363</c:v>
                </c:pt>
                <c:pt idx="64">
                  <c:v>0.23346519600047086</c:v>
                </c:pt>
                <c:pt idx="65">
                  <c:v>0.21350616611788203</c:v>
                </c:pt>
                <c:pt idx="66">
                  <c:v>0.19487881422169737</c:v>
                </c:pt>
                <c:pt idx="67">
                  <c:v>0.17823147755882041</c:v>
                </c:pt>
                <c:pt idx="68">
                  <c:v>0.16283896279120419</c:v>
                </c:pt>
                <c:pt idx="69">
                  <c:v>0.14884171399188398</c:v>
                </c:pt>
                <c:pt idx="70">
                  <c:v>0.13591199921479624</c:v>
                </c:pt>
                <c:pt idx="71">
                  <c:v>0.12432808000085488</c:v>
                </c:pt>
                <c:pt idx="72">
                  <c:v>0.11354688852108612</c:v>
                </c:pt>
                <c:pt idx="73">
                  <c:v>0.10429766717183542</c:v>
                </c:pt>
                <c:pt idx="74">
                  <c:v>9.5136853279860586E-2</c:v>
                </c:pt>
                <c:pt idx="75">
                  <c:v>8.6873424642780819E-2</c:v>
                </c:pt>
                <c:pt idx="76">
                  <c:v>7.9294375654714602E-2</c:v>
                </c:pt>
                <c:pt idx="77">
                  <c:v>7.2455348966830979E-2</c:v>
                </c:pt>
                <c:pt idx="78">
                  <c:v>6.6312022407469445E-2</c:v>
                </c:pt>
                <c:pt idx="79">
                  <c:v>6.0436900845055583E-2</c:v>
                </c:pt>
                <c:pt idx="80">
                  <c:v>5.5216146646882187E-2</c:v>
                </c:pt>
                <c:pt idx="81">
                  <c:v>5.0677459165964459E-2</c:v>
                </c:pt>
                <c:pt idx="82">
                  <c:v>4.6177187617570739E-2</c:v>
                </c:pt>
                <c:pt idx="83">
                  <c:v>4.2204931084930002E-2</c:v>
                </c:pt>
                <c:pt idx="84">
                  <c:v>3.8624700968415998E-2</c:v>
                </c:pt>
                <c:pt idx="85">
                  <c:v>3.5288073508367164E-2</c:v>
                </c:pt>
                <c:pt idx="86">
                  <c:v>3.2247938041653108E-2</c:v>
                </c:pt>
                <c:pt idx="87">
                  <c:v>2.9479235704379055E-2</c:v>
                </c:pt>
                <c:pt idx="88">
                  <c:v>2.6911550317483584E-2</c:v>
                </c:pt>
                <c:pt idx="89">
                  <c:v>2.4633787011100791E-2</c:v>
                </c:pt>
                <c:pt idx="90">
                  <c:v>2.2547259795336085E-2</c:v>
                </c:pt>
                <c:pt idx="91">
                  <c:v>2.0596713877366748E-2</c:v>
                </c:pt>
                <c:pt idx="92">
                  <c:v>1.881332850195995E-2</c:v>
                </c:pt>
                <c:pt idx="93">
                  <c:v>1.7192635306555282E-2</c:v>
                </c:pt>
                <c:pt idx="94">
                  <c:v>1.5729800529488625E-2</c:v>
                </c:pt>
                <c:pt idx="95">
                  <c:v>1.4368418788501583E-2</c:v>
                </c:pt>
                <c:pt idx="96">
                  <c:v>1.3139788269653369E-2</c:v>
                </c:pt>
                <c:pt idx="97">
                  <c:v>1.2013506873075732E-2</c:v>
                </c:pt>
                <c:pt idx="98">
                  <c:v>1.0974090457404594E-2</c:v>
                </c:pt>
                <c:pt idx="99">
                  <c:v>1.002745549202089E-2</c:v>
                </c:pt>
                <c:pt idx="100">
                  <c:v>9.1836671623220928E-3</c:v>
                </c:pt>
                <c:pt idx="101">
                  <c:v>8.4069233896829198E-3</c:v>
                </c:pt>
                <c:pt idx="102">
                  <c:v>7.6421717407636151E-3</c:v>
                </c:pt>
                <c:pt idx="103">
                  <c:v>7.0045765916523636E-3</c:v>
                </c:pt>
                <c:pt idx="104">
                  <c:v>6.3899739523953242E-3</c:v>
                </c:pt>
                <c:pt idx="105">
                  <c:v>5.8432247997715139E-3</c:v>
                </c:pt>
                <c:pt idx="106">
                  <c:v>5.356207881098177E-3</c:v>
                </c:pt>
                <c:pt idx="107">
                  <c:v>4.8996185234657973E-3</c:v>
                </c:pt>
                <c:pt idx="108">
                  <c:v>4.4776922764836547E-3</c:v>
                </c:pt>
                <c:pt idx="109">
                  <c:v>4.0917755940295024E-3</c:v>
                </c:pt>
                <c:pt idx="110">
                  <c:v>3.7285597536249812E-3</c:v>
                </c:pt>
                <c:pt idx="111">
                  <c:v>3.4139206173794748E-3</c:v>
                </c:pt>
                <c:pt idx="112">
                  <c:v>3.1212618377436342E-3</c:v>
                </c:pt>
                <c:pt idx="113">
                  <c:v>2.8522106889034469E-3</c:v>
                </c:pt>
                <c:pt idx="114">
                  <c:v>2.6074108623893701E-3</c:v>
                </c:pt>
                <c:pt idx="115">
                  <c:v>2.3854298502097712E-3</c:v>
                </c:pt>
                <c:pt idx="116">
                  <c:v>2.1809124743022868E-3</c:v>
                </c:pt>
                <c:pt idx="117">
                  <c:v>1.9939755597588151E-3</c:v>
                </c:pt>
                <c:pt idx="118">
                  <c:v>1.8364225528130697E-3</c:v>
                </c:pt>
              </c:numCache>
            </c:numRef>
          </c:xVal>
          <c:yVal>
            <c:numRef>
              <c:f>Table!$J$18:$J$136</c:f>
              <c:numCache>
                <c:formatCode>???0.000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0.15729991046788824</c:v>
                </c:pt>
                <c:pt idx="35">
                  <c:v>0.31342684917347902</c:v>
                </c:pt>
                <c:pt idx="36">
                  <c:v>0.66303702940348119</c:v>
                </c:pt>
                <c:pt idx="37">
                  <c:v>1.2166681338300023</c:v>
                </c:pt>
                <c:pt idx="38">
                  <c:v>1.0901447918671086</c:v>
                </c:pt>
                <c:pt idx="39">
                  <c:v>1.2816572692522192</c:v>
                </c:pt>
                <c:pt idx="40">
                  <c:v>1.3474482204012208</c:v>
                </c:pt>
                <c:pt idx="41">
                  <c:v>1.0783598896866005</c:v>
                </c:pt>
                <c:pt idx="42">
                  <c:v>1.0380535622934839</c:v>
                </c:pt>
                <c:pt idx="43">
                  <c:v>0.92019817241112545</c:v>
                </c:pt>
                <c:pt idx="44">
                  <c:v>0.76211512052114416</c:v>
                </c:pt>
                <c:pt idx="45">
                  <c:v>0.64407297637817218</c:v>
                </c:pt>
                <c:pt idx="46">
                  <c:v>0.57043462489143182</c:v>
                </c:pt>
                <c:pt idx="47">
                  <c:v>0.53304586707907875</c:v>
                </c:pt>
                <c:pt idx="48">
                  <c:v>0.44685576721849019</c:v>
                </c:pt>
                <c:pt idx="49">
                  <c:v>0.40069041853603959</c:v>
                </c:pt>
                <c:pt idx="50">
                  <c:v>0.32354283757401797</c:v>
                </c:pt>
                <c:pt idx="51">
                  <c:v>0.31484621182654576</c:v>
                </c:pt>
                <c:pt idx="52">
                  <c:v>0.26392735721166755</c:v>
                </c:pt>
                <c:pt idx="53">
                  <c:v>0.25046346164943678</c:v>
                </c:pt>
                <c:pt idx="54">
                  <c:v>0.21909474491082326</c:v>
                </c:pt>
                <c:pt idx="55">
                  <c:v>0.2015730260366444</c:v>
                </c:pt>
                <c:pt idx="56">
                  <c:v>0.18448522228066025</c:v>
                </c:pt>
                <c:pt idx="57">
                  <c:v>0.16901187603070578</c:v>
                </c:pt>
                <c:pt idx="58">
                  <c:v>0.15994296149375725</c:v>
                </c:pt>
                <c:pt idx="59">
                  <c:v>0.14928315921464971</c:v>
                </c:pt>
                <c:pt idx="60">
                  <c:v>0.14642837176045073</c:v>
                </c:pt>
                <c:pt idx="61">
                  <c:v>0.13838770016355206</c:v>
                </c:pt>
                <c:pt idx="62">
                  <c:v>0.13269832598568071</c:v>
                </c:pt>
                <c:pt idx="63">
                  <c:v>0.13670063552245484</c:v>
                </c:pt>
                <c:pt idx="64">
                  <c:v>0.13284713398874382</c:v>
                </c:pt>
                <c:pt idx="65">
                  <c:v>0.13347436818516392</c:v>
                </c:pt>
                <c:pt idx="66">
                  <c:v>0.13075294138292051</c:v>
                </c:pt>
                <c:pt idx="67">
                  <c:v>0.13340960658504192</c:v>
                </c:pt>
                <c:pt idx="68">
                  <c:v>0.13268392767233664</c:v>
                </c:pt>
                <c:pt idx="69">
                  <c:v>0.13705677791127202</c:v>
                </c:pt>
                <c:pt idx="70">
                  <c:v>0.14235766420866972</c:v>
                </c:pt>
                <c:pt idx="71">
                  <c:v>0.14884465661465746</c:v>
                </c:pt>
                <c:pt idx="72">
                  <c:v>0.17311067311241232</c:v>
                </c:pt>
                <c:pt idx="73">
                  <c:v>0.20181058852375147</c:v>
                </c:pt>
                <c:pt idx="74">
                  <c:v>0.25022487872756471</c:v>
                </c:pt>
                <c:pt idx="75">
                  <c:v>0.33483264215936293</c:v>
                </c:pt>
                <c:pt idx="76">
                  <c:v>0.4317831145150085</c:v>
                </c:pt>
                <c:pt idx="77">
                  <c:v>0.49647025489077051</c:v>
                </c:pt>
                <c:pt idx="78">
                  <c:v>0.52285117447061835</c:v>
                </c:pt>
                <c:pt idx="79">
                  <c:v>0.52016423744471674</c:v>
                </c:pt>
                <c:pt idx="80">
                  <c:v>0.4940504850240881</c:v>
                </c:pt>
                <c:pt idx="81">
                  <c:v>0.47859946302391682</c:v>
                </c:pt>
                <c:pt idx="82">
                  <c:v>0.44499190787338178</c:v>
                </c:pt>
                <c:pt idx="83">
                  <c:v>0.40661735040932556</c:v>
                </c:pt>
                <c:pt idx="84">
                  <c:v>0.38233945341390385</c:v>
                </c:pt>
                <c:pt idx="85">
                  <c:v>0.36580342104447777</c:v>
                </c:pt>
                <c:pt idx="86">
                  <c:v>0.31918075246049799</c:v>
                </c:pt>
                <c:pt idx="87">
                  <c:v>0.29559641505635642</c:v>
                </c:pt>
                <c:pt idx="88">
                  <c:v>0.28817532520885997</c:v>
                </c:pt>
                <c:pt idx="89">
                  <c:v>0.25038447631271549</c:v>
                </c:pt>
                <c:pt idx="90">
                  <c:v>0.24365194011197716</c:v>
                </c:pt>
                <c:pt idx="91">
                  <c:v>0.22233586958185156</c:v>
                </c:pt>
                <c:pt idx="92">
                  <c:v>0.19775692926054247</c:v>
                </c:pt>
                <c:pt idx="93">
                  <c:v>0.18155778880847784</c:v>
                </c:pt>
                <c:pt idx="94">
                  <c:v>0.17782044450714973</c:v>
                </c:pt>
                <c:pt idx="95">
                  <c:v>0.15558509162472975</c:v>
                </c:pt>
                <c:pt idx="96">
                  <c:v>0.17039938904746338</c:v>
                </c:pt>
                <c:pt idx="97">
                  <c:v>0.14163303821473486</c:v>
                </c:pt>
                <c:pt idx="98">
                  <c:v>0.12108662560315761</c:v>
                </c:pt>
                <c:pt idx="99">
                  <c:v>0.12024123213806781</c:v>
                </c:pt>
                <c:pt idx="100">
                  <c:v>0.10581891268278981</c:v>
                </c:pt>
                <c:pt idx="101">
                  <c:v>0.11248146693172725</c:v>
                </c:pt>
                <c:pt idx="102">
                  <c:v>9.2578550672860485E-2</c:v>
                </c:pt>
                <c:pt idx="103">
                  <c:v>8.5031848338321378E-2</c:v>
                </c:pt>
                <c:pt idx="104">
                  <c:v>7.0780883194453512E-2</c:v>
                </c:pt>
                <c:pt idx="105">
                  <c:v>7.1342266969077875E-2</c:v>
                </c:pt>
                <c:pt idx="106">
                  <c:v>6.5315992861878142E-2</c:v>
                </c:pt>
                <c:pt idx="107">
                  <c:v>3.988863345390483E-2</c:v>
                </c:pt>
                <c:pt idx="108">
                  <c:v>3.1677450170167709E-2</c:v>
                </c:pt>
                <c:pt idx="109">
                  <c:v>1.7899299002100685E-2</c:v>
                </c:pt>
                <c:pt idx="110">
                  <c:v>2.6207794652455835E-2</c:v>
                </c:pt>
                <c:pt idx="111">
                  <c:v>2.2398597003166213E-2</c:v>
                </c:pt>
                <c:pt idx="112">
                  <c:v>1.7620099147860752E-2</c:v>
                </c:pt>
                <c:pt idx="113">
                  <c:v>1.7483959963527688E-3</c:v>
                </c:pt>
                <c:pt idx="114">
                  <c:v>0</c:v>
                </c:pt>
                <c:pt idx="115">
                  <c:v>3.4562417610458793E-2</c:v>
                </c:pt>
                <c:pt idx="116">
                  <c:v>2.7783620986827982E-2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80832"/>
        <c:axId val="109887488"/>
      </c:scatterChart>
      <c:valAx>
        <c:axId val="109880832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37010695397441207"/>
              <c:y val="0.94084587941074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09887488"/>
        <c:crosses val="autoZero"/>
        <c:crossBetween val="midCat"/>
      </c:valAx>
      <c:valAx>
        <c:axId val="1098874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d Sw / d LOG Pore Throat Rad.</a:t>
                </a:r>
              </a:p>
            </c:rich>
          </c:tx>
          <c:layout>
            <c:manualLayout>
              <c:xMode val="edge"/>
              <c:yMode val="edge"/>
              <c:x val="2.6667382486280127E-2"/>
              <c:y val="0.307192675084412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09880832"/>
        <c:crossesAt val="1.0000000000000041E-3"/>
        <c:crossBetween val="midCat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solidFill>
        <a:sysClr val="windowText" lastClr="000000"/>
      </a:solidFill>
    </a:ln>
  </c:spPr>
  <c:txPr>
    <a:bodyPr/>
    <a:lstStyle/>
    <a:p>
      <a:pPr>
        <a:defRPr sz="900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966" r="0.75000000000000966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Normalized Pore Size Distribution VS Normalized Permeability</a:t>
            </a:r>
          </a:p>
        </c:rich>
      </c:tx>
      <c:layout>
        <c:manualLayout>
          <c:xMode val="edge"/>
          <c:yMode val="edge"/>
          <c:x val="0.2255588553160959"/>
          <c:y val="4.42079021058823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384661626489"/>
          <c:y val="0.16126507112319541"/>
          <c:w val="0.81528794194843257"/>
          <c:h val="0.67664041994752322"/>
        </c:manualLayout>
      </c:layout>
      <c:scatterChart>
        <c:scatterStyle val="smoothMarker"/>
        <c:varyColors val="0"/>
        <c:ser>
          <c:idx val="0"/>
          <c:order val="0"/>
          <c:tx>
            <c:v>Normalized Pore Size Distribution</c:v>
          </c:tx>
          <c:spPr>
            <a:ln w="15875">
              <a:solidFill>
                <a:schemeClr val="dk2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dk2">
                  <a:lumMod val="75000"/>
                </a:schemeClr>
              </a:solidFill>
              <a:ln>
                <a:solidFill>
                  <a:schemeClr val="dk2">
                    <a:lumMod val="75000"/>
                  </a:schemeClr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73.455609711092237</c:v>
                </c:pt>
                <c:pt idx="1">
                  <c:v>69.382193886636159</c:v>
                </c:pt>
                <c:pt idx="2">
                  <c:v>61.270004523932016</c:v>
                </c:pt>
                <c:pt idx="3">
                  <c:v>55.214679268694042</c:v>
                </c:pt>
                <c:pt idx="4">
                  <c:v>51.008864087874159</c:v>
                </c:pt>
                <c:pt idx="5">
                  <c:v>46.816426542480237</c:v>
                </c:pt>
                <c:pt idx="6">
                  <c:v>42.658145839436862</c:v>
                </c:pt>
                <c:pt idx="7">
                  <c:v>38.958612800350302</c:v>
                </c:pt>
                <c:pt idx="8">
                  <c:v>35.501800824434454</c:v>
                </c:pt>
                <c:pt idx="9">
                  <c:v>32.425362873794995</c:v>
                </c:pt>
                <c:pt idx="10">
                  <c:v>29.731349245490577</c:v>
                </c:pt>
                <c:pt idx="11">
                  <c:v>27.189461871701909</c:v>
                </c:pt>
                <c:pt idx="12">
                  <c:v>24.83393299039345</c:v>
                </c:pt>
                <c:pt idx="13">
                  <c:v>22.730654959003157</c:v>
                </c:pt>
                <c:pt idx="14">
                  <c:v>20.814658165990846</c:v>
                </c:pt>
                <c:pt idx="15">
                  <c:v>18.981983940340569</c:v>
                </c:pt>
                <c:pt idx="16">
                  <c:v>17.379023690946447</c:v>
                </c:pt>
                <c:pt idx="17">
                  <c:v>15.884921261992288</c:v>
                </c:pt>
                <c:pt idx="18">
                  <c:v>14.509385435932803</c:v>
                </c:pt>
                <c:pt idx="19">
                  <c:v>13.257640968552325</c:v>
                </c:pt>
                <c:pt idx="20">
                  <c:v>12.108954035731177</c:v>
                </c:pt>
                <c:pt idx="21">
                  <c:v>11.073668323281876</c:v>
                </c:pt>
                <c:pt idx="22">
                  <c:v>10.142506898875013</c:v>
                </c:pt>
                <c:pt idx="23">
                  <c:v>9.2015802658839529</c:v>
                </c:pt>
                <c:pt idx="24">
                  <c:v>8.4871394644018832</c:v>
                </c:pt>
                <c:pt idx="25">
                  <c:v>7.7115211562690762</c:v>
                </c:pt>
                <c:pt idx="26">
                  <c:v>7.0659057081481906</c:v>
                </c:pt>
                <c:pt idx="27">
                  <c:v>6.4801300666443451</c:v>
                </c:pt>
                <c:pt idx="28">
                  <c:v>5.908640118437618</c:v>
                </c:pt>
                <c:pt idx="29">
                  <c:v>5.3844142232405154</c:v>
                </c:pt>
                <c:pt idx="30">
                  <c:v>4.9240651551990426</c:v>
                </c:pt>
                <c:pt idx="31">
                  <c:v>4.4970506754552035</c:v>
                </c:pt>
                <c:pt idx="32">
                  <c:v>4.1114136671722861</c:v>
                </c:pt>
                <c:pt idx="33">
                  <c:v>3.7712097026223792</c:v>
                </c:pt>
                <c:pt idx="34">
                  <c:v>3.4772805999607104</c:v>
                </c:pt>
                <c:pt idx="35">
                  <c:v>3.2525382240257903</c:v>
                </c:pt>
                <c:pt idx="36">
                  <c:v>2.966844006729477</c:v>
                </c:pt>
                <c:pt idx="37">
                  <c:v>2.7280795197855428</c:v>
                </c:pt>
                <c:pt idx="38">
                  <c:v>2.4709206875109757</c:v>
                </c:pt>
                <c:pt idx="39">
                  <c:v>2.2496137012699964</c:v>
                </c:pt>
                <c:pt idx="40">
                  <c:v>2.0749595282114659</c:v>
                </c:pt>
                <c:pt idx="41">
                  <c:v>1.8869686081250692</c:v>
                </c:pt>
                <c:pt idx="42">
                  <c:v>1.7176271130234813</c:v>
                </c:pt>
                <c:pt idx="43">
                  <c:v>1.5713612792767653</c:v>
                </c:pt>
                <c:pt idx="44">
                  <c:v>1.4308472988168059</c:v>
                </c:pt>
                <c:pt idx="45">
                  <c:v>1.3039197367377691</c:v>
                </c:pt>
                <c:pt idx="46">
                  <c:v>1.1890384203722433</c:v>
                </c:pt>
                <c:pt idx="47">
                  <c:v>1.0924888926360732</c:v>
                </c:pt>
                <c:pt idx="48">
                  <c:v>0.99161666939295101</c:v>
                </c:pt>
                <c:pt idx="49">
                  <c:v>0.91085428976722804</c:v>
                </c:pt>
                <c:pt idx="50">
                  <c:v>0.82604609311460209</c:v>
                </c:pt>
                <c:pt idx="51">
                  <c:v>0.75994838529296216</c:v>
                </c:pt>
                <c:pt idx="52">
                  <c:v>0.69098706572023716</c:v>
                </c:pt>
                <c:pt idx="53">
                  <c:v>0.63225073648472718</c:v>
                </c:pt>
                <c:pt idx="54">
                  <c:v>0.57899960334598055</c:v>
                </c:pt>
                <c:pt idx="55">
                  <c:v>0.52809120011932775</c:v>
                </c:pt>
                <c:pt idx="56">
                  <c:v>0.48125017095528483</c:v>
                </c:pt>
                <c:pt idx="57">
                  <c:v>0.43897152678861989</c:v>
                </c:pt>
                <c:pt idx="58">
                  <c:v>0.40175923092561971</c:v>
                </c:pt>
                <c:pt idx="59">
                  <c:v>0.36658667562759961</c:v>
                </c:pt>
                <c:pt idx="60">
                  <c:v>0.3353529629955489</c:v>
                </c:pt>
                <c:pt idx="61">
                  <c:v>0.3060587331761539</c:v>
                </c:pt>
                <c:pt idx="62">
                  <c:v>0.27891855046247122</c:v>
                </c:pt>
                <c:pt idx="63">
                  <c:v>0.25516587949007363</c:v>
                </c:pt>
                <c:pt idx="64">
                  <c:v>0.23346519600047086</c:v>
                </c:pt>
                <c:pt idx="65">
                  <c:v>0.21350616611788203</c:v>
                </c:pt>
                <c:pt idx="66">
                  <c:v>0.19487881422169737</c:v>
                </c:pt>
                <c:pt idx="67">
                  <c:v>0.17823147755882041</c:v>
                </c:pt>
                <c:pt idx="68">
                  <c:v>0.16283896279120419</c:v>
                </c:pt>
                <c:pt idx="69">
                  <c:v>0.14884171399188398</c:v>
                </c:pt>
                <c:pt idx="70">
                  <c:v>0.13591199921479624</c:v>
                </c:pt>
                <c:pt idx="71">
                  <c:v>0.12432808000085488</c:v>
                </c:pt>
                <c:pt idx="72">
                  <c:v>0.11354688852108612</c:v>
                </c:pt>
                <c:pt idx="73">
                  <c:v>0.10429766717183542</c:v>
                </c:pt>
                <c:pt idx="74">
                  <c:v>9.5136853279860586E-2</c:v>
                </c:pt>
                <c:pt idx="75">
                  <c:v>8.6873424642780819E-2</c:v>
                </c:pt>
                <c:pt idx="76">
                  <c:v>7.9294375654714602E-2</c:v>
                </c:pt>
                <c:pt idx="77">
                  <c:v>7.2455348966830979E-2</c:v>
                </c:pt>
                <c:pt idx="78">
                  <c:v>6.6312022407469445E-2</c:v>
                </c:pt>
                <c:pt idx="79">
                  <c:v>6.0436900845055583E-2</c:v>
                </c:pt>
                <c:pt idx="80">
                  <c:v>5.5216146646882187E-2</c:v>
                </c:pt>
                <c:pt idx="81">
                  <c:v>5.0677459165964459E-2</c:v>
                </c:pt>
                <c:pt idx="82">
                  <c:v>4.6177187617570739E-2</c:v>
                </c:pt>
                <c:pt idx="83">
                  <c:v>4.2204931084930002E-2</c:v>
                </c:pt>
                <c:pt idx="84">
                  <c:v>3.8624700968415998E-2</c:v>
                </c:pt>
                <c:pt idx="85">
                  <c:v>3.5288073508367164E-2</c:v>
                </c:pt>
                <c:pt idx="86">
                  <c:v>3.2247938041653108E-2</c:v>
                </c:pt>
                <c:pt idx="87">
                  <c:v>2.9479235704379055E-2</c:v>
                </c:pt>
                <c:pt idx="88">
                  <c:v>2.6911550317483584E-2</c:v>
                </c:pt>
                <c:pt idx="89">
                  <c:v>2.4633787011100791E-2</c:v>
                </c:pt>
                <c:pt idx="90">
                  <c:v>2.2547259795336085E-2</c:v>
                </c:pt>
                <c:pt idx="91">
                  <c:v>2.0596713877366748E-2</c:v>
                </c:pt>
                <c:pt idx="92">
                  <c:v>1.881332850195995E-2</c:v>
                </c:pt>
                <c:pt idx="93">
                  <c:v>1.7192635306555282E-2</c:v>
                </c:pt>
                <c:pt idx="94">
                  <c:v>1.5729800529488625E-2</c:v>
                </c:pt>
                <c:pt idx="95">
                  <c:v>1.4368418788501583E-2</c:v>
                </c:pt>
                <c:pt idx="96">
                  <c:v>1.3139788269653369E-2</c:v>
                </c:pt>
                <c:pt idx="97">
                  <c:v>1.2013506873075732E-2</c:v>
                </c:pt>
                <c:pt idx="98">
                  <c:v>1.0974090457404594E-2</c:v>
                </c:pt>
                <c:pt idx="99">
                  <c:v>1.002745549202089E-2</c:v>
                </c:pt>
                <c:pt idx="100">
                  <c:v>9.1836671623220928E-3</c:v>
                </c:pt>
                <c:pt idx="101">
                  <c:v>8.4069233896829198E-3</c:v>
                </c:pt>
                <c:pt idx="102">
                  <c:v>7.6421717407636151E-3</c:v>
                </c:pt>
                <c:pt idx="103">
                  <c:v>7.0045765916523636E-3</c:v>
                </c:pt>
                <c:pt idx="104">
                  <c:v>6.3899739523953242E-3</c:v>
                </c:pt>
                <c:pt idx="105">
                  <c:v>5.8432247997715139E-3</c:v>
                </c:pt>
                <c:pt idx="106">
                  <c:v>5.356207881098177E-3</c:v>
                </c:pt>
                <c:pt idx="107">
                  <c:v>4.8996185234657973E-3</c:v>
                </c:pt>
                <c:pt idx="108">
                  <c:v>4.4776922764836547E-3</c:v>
                </c:pt>
                <c:pt idx="109">
                  <c:v>4.0917755940295024E-3</c:v>
                </c:pt>
                <c:pt idx="110">
                  <c:v>3.7285597536249812E-3</c:v>
                </c:pt>
                <c:pt idx="111">
                  <c:v>3.4139206173794748E-3</c:v>
                </c:pt>
                <c:pt idx="112">
                  <c:v>3.1212618377436342E-3</c:v>
                </c:pt>
                <c:pt idx="113">
                  <c:v>2.8522106889034469E-3</c:v>
                </c:pt>
                <c:pt idx="114">
                  <c:v>2.6074108623893701E-3</c:v>
                </c:pt>
                <c:pt idx="115">
                  <c:v>2.3854298502097712E-3</c:v>
                </c:pt>
                <c:pt idx="116">
                  <c:v>2.1809124743022868E-3</c:v>
                </c:pt>
                <c:pt idx="117">
                  <c:v>1.9939755597588151E-3</c:v>
                </c:pt>
                <c:pt idx="118">
                  <c:v>1.8364225528130697E-3</c:v>
                </c:pt>
              </c:numCache>
            </c:numRef>
          </c:xVal>
          <c:yVal>
            <c:numRef>
              <c:f>Table!$S$18:$S$136</c:f>
              <c:numCache>
                <c:formatCode>????0.000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0.10613713690825162</c:v>
                </c:pt>
                <c:pt idx="35">
                  <c:v>0.17413455901237671</c:v>
                </c:pt>
                <c:pt idx="36">
                  <c:v>0.50687794106438411</c:v>
                </c:pt>
                <c:pt idx="37">
                  <c:v>0.8488174153275081</c:v>
                </c:pt>
                <c:pt idx="38">
                  <c:v>0.89748253738788886</c:v>
                </c:pt>
                <c:pt idx="39">
                  <c:v>1</c:v>
                </c:pt>
                <c:pt idx="40">
                  <c:v>0.90550267795573036</c:v>
                </c:pt>
                <c:pt idx="41">
                  <c:v>0.85158089152969862</c:v>
                </c:pt>
                <c:pt idx="42">
                  <c:v>0.81161871921217865</c:v>
                </c:pt>
                <c:pt idx="43">
                  <c:v>0.68101098743905664</c:v>
                </c:pt>
                <c:pt idx="44">
                  <c:v>0.59363886628210372</c:v>
                </c:pt>
                <c:pt idx="45">
                  <c:v>0.4974947107349047</c:v>
                </c:pt>
                <c:pt idx="46">
                  <c:v>0.43747541399313633</c:v>
                </c:pt>
                <c:pt idx="47">
                  <c:v>0.3753653358705909</c:v>
                </c:pt>
                <c:pt idx="48">
                  <c:v>0.35996839986952406</c:v>
                </c:pt>
                <c:pt idx="49">
                  <c:v>0.28305235297793846</c:v>
                </c:pt>
                <c:pt idx="50">
                  <c:v>0.26293345875131713</c:v>
                </c:pt>
                <c:pt idx="51">
                  <c:v>0.21834360843291456</c:v>
                </c:pt>
                <c:pt idx="52">
                  <c:v>0.20877326256175652</c:v>
                </c:pt>
                <c:pt idx="53">
                  <c:v>0.18501392349141524</c:v>
                </c:pt>
                <c:pt idx="54">
                  <c:v>0.16029227592101233</c:v>
                </c:pt>
                <c:pt idx="55">
                  <c:v>0.15425906399604492</c:v>
                </c:pt>
                <c:pt idx="56">
                  <c:v>0.14248451149297581</c:v>
                </c:pt>
                <c:pt idx="57">
                  <c:v>0.12922820618687744</c:v>
                </c:pt>
                <c:pt idx="58">
                  <c:v>0.11781054587527613</c:v>
                </c:pt>
                <c:pt idx="59">
                  <c:v>0.11372795928828343</c:v>
                </c:pt>
                <c:pt idx="60">
                  <c:v>0.10842803799962476</c:v>
                </c:pt>
                <c:pt idx="61">
                  <c:v>0.10518422030795933</c:v>
                </c:pt>
                <c:pt idx="62">
                  <c:v>0.10246056937308914</c:v>
                </c:pt>
                <c:pt idx="63">
                  <c:v>0.10117315665002358</c:v>
                </c:pt>
                <c:pt idx="64">
                  <c:v>9.8182920252296635E-2</c:v>
                </c:pt>
                <c:pt idx="65">
                  <c:v>9.9186408620606584E-2</c:v>
                </c:pt>
                <c:pt idx="66">
                  <c:v>9.9252151919036261E-2</c:v>
                </c:pt>
                <c:pt idx="67">
                  <c:v>9.905781183906831E-2</c:v>
                </c:pt>
                <c:pt idx="68">
                  <c:v>9.9651668886405476E-2</c:v>
                </c:pt>
                <c:pt idx="69">
                  <c:v>0.10243094876610388</c:v>
                </c:pt>
                <c:pt idx="70">
                  <c:v>0.10757337512006236</c:v>
                </c:pt>
                <c:pt idx="71">
                  <c:v>0.11025729109434795</c:v>
                </c:pt>
                <c:pt idx="72">
                  <c:v>0.13057052540093511</c:v>
                </c:pt>
                <c:pt idx="73">
                  <c:v>0.14258348766753093</c:v>
                </c:pt>
                <c:pt idx="74">
                  <c:v>0.19128265536460104</c:v>
                </c:pt>
                <c:pt idx="75">
                  <c:v>0.25298599198148414</c:v>
                </c:pt>
                <c:pt idx="76">
                  <c:v>0.32774840400918509</c:v>
                </c:pt>
                <c:pt idx="77">
                  <c:v>0.37235703812713961</c:v>
                </c:pt>
                <c:pt idx="78">
                  <c:v>0.38519793248163153</c:v>
                </c:pt>
                <c:pt idx="79">
                  <c:v>0.40126386072824116</c:v>
                </c:pt>
                <c:pt idx="80">
                  <c:v>0.37114909532525386</c:v>
                </c:pt>
                <c:pt idx="81">
                  <c:v>0.34135365451463262</c:v>
                </c:pt>
                <c:pt idx="82">
                  <c:v>0.34410331378734577</c:v>
                </c:pt>
                <c:pt idx="83">
                  <c:v>0.30412849852781754</c:v>
                </c:pt>
                <c:pt idx="84">
                  <c:v>0.28182490392267318</c:v>
                </c:pt>
                <c:pt idx="85">
                  <c:v>0.27481276705957292</c:v>
                </c:pt>
                <c:pt idx="86">
                  <c:v>0.23910765392872071</c:v>
                </c:pt>
                <c:pt idx="87">
                  <c:v>0.22064606878555312</c:v>
                </c:pt>
                <c:pt idx="88">
                  <c:v>0.21837178413224034</c:v>
                </c:pt>
                <c:pt idx="89">
                  <c:v>0.18412602773572526</c:v>
                </c:pt>
                <c:pt idx="90">
                  <c:v>0.17931448523539162</c:v>
                </c:pt>
                <c:pt idx="91">
                  <c:v>0.1672812942615865</c:v>
                </c:pt>
                <c:pt idx="92">
                  <c:v>0.14892663228508629</c:v>
                </c:pt>
                <c:pt idx="93">
                  <c:v>0.13600048837878939</c:v>
                </c:pt>
                <c:pt idx="94">
                  <c:v>0.13148515194829566</c:v>
                </c:pt>
                <c:pt idx="95">
                  <c:v>0.11711410038423727</c:v>
                </c:pt>
                <c:pt idx="96">
                  <c:v>0.12665482564841218</c:v>
                </c:pt>
                <c:pt idx="97">
                  <c:v>0.10553894513793791</c:v>
                </c:pt>
                <c:pt idx="98">
                  <c:v>9.1115876898202122E-2</c:v>
                </c:pt>
                <c:pt idx="99">
                  <c:v>9.0195470720212181E-2</c:v>
                </c:pt>
                <c:pt idx="100">
                  <c:v>7.7344462012114562E-2</c:v>
                </c:pt>
                <c:pt idx="101">
                  <c:v>8.265449765437044E-2</c:v>
                </c:pt>
                <c:pt idx="102">
                  <c:v>7.342009281364327E-2</c:v>
                </c:pt>
                <c:pt idx="103">
                  <c:v>6.1597858357870947E-2</c:v>
                </c:pt>
                <c:pt idx="104">
                  <c:v>5.4049660753742443E-2</c:v>
                </c:pt>
                <c:pt idx="105">
                  <c:v>5.3062788823497339E-2</c:v>
                </c:pt>
                <c:pt idx="106">
                  <c:v>4.7265819300567433E-2</c:v>
                </c:pt>
                <c:pt idx="107">
                  <c:v>2.9552696324120362E-2</c:v>
                </c:pt>
                <c:pt idx="108">
                  <c:v>2.3719604109750297E-2</c:v>
                </c:pt>
                <c:pt idx="109">
                  <c:v>1.34145226946219E-2</c:v>
                </c:pt>
                <c:pt idx="110">
                  <c:v>2.0257605361765317E-2</c:v>
                </c:pt>
                <c:pt idx="111">
                  <c:v>1.6419930622756353E-2</c:v>
                </c:pt>
                <c:pt idx="112">
                  <c:v>1.3131320793702408E-2</c:v>
                </c:pt>
                <c:pt idx="113">
                  <c:v>1.3105312455874338E-3</c:v>
                </c:pt>
                <c:pt idx="114">
                  <c:v>0</c:v>
                </c:pt>
                <c:pt idx="115">
                  <c:v>2.5571975726997494E-2</c:v>
                </c:pt>
                <c:pt idx="116">
                  <c:v>2.0708416550982191E-2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Normalized Permeability</c:v>
          </c:tx>
          <c:marker>
            <c:symbol val="circle"/>
            <c:size val="5"/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73.455609711092237</c:v>
                </c:pt>
                <c:pt idx="1">
                  <c:v>69.382193886636159</c:v>
                </c:pt>
                <c:pt idx="2">
                  <c:v>61.270004523932016</c:v>
                </c:pt>
                <c:pt idx="3">
                  <c:v>55.214679268694042</c:v>
                </c:pt>
                <c:pt idx="4">
                  <c:v>51.008864087874159</c:v>
                </c:pt>
                <c:pt idx="5">
                  <c:v>46.816426542480237</c:v>
                </c:pt>
                <c:pt idx="6">
                  <c:v>42.658145839436862</c:v>
                </c:pt>
                <c:pt idx="7">
                  <c:v>38.958612800350302</c:v>
                </c:pt>
                <c:pt idx="8">
                  <c:v>35.501800824434454</c:v>
                </c:pt>
                <c:pt idx="9">
                  <c:v>32.425362873794995</c:v>
                </c:pt>
                <c:pt idx="10">
                  <c:v>29.731349245490577</c:v>
                </c:pt>
                <c:pt idx="11">
                  <c:v>27.189461871701909</c:v>
                </c:pt>
                <c:pt idx="12">
                  <c:v>24.83393299039345</c:v>
                </c:pt>
                <c:pt idx="13">
                  <c:v>22.730654959003157</c:v>
                </c:pt>
                <c:pt idx="14">
                  <c:v>20.814658165990846</c:v>
                </c:pt>
                <c:pt idx="15">
                  <c:v>18.981983940340569</c:v>
                </c:pt>
                <c:pt idx="16">
                  <c:v>17.379023690946447</c:v>
                </c:pt>
                <c:pt idx="17">
                  <c:v>15.884921261992288</c:v>
                </c:pt>
                <c:pt idx="18">
                  <c:v>14.509385435932803</c:v>
                </c:pt>
                <c:pt idx="19">
                  <c:v>13.257640968552325</c:v>
                </c:pt>
                <c:pt idx="20">
                  <c:v>12.108954035731177</c:v>
                </c:pt>
                <c:pt idx="21">
                  <c:v>11.073668323281876</c:v>
                </c:pt>
                <c:pt idx="22">
                  <c:v>10.142506898875013</c:v>
                </c:pt>
                <c:pt idx="23">
                  <c:v>9.2015802658839529</c:v>
                </c:pt>
                <c:pt idx="24">
                  <c:v>8.4871394644018832</c:v>
                </c:pt>
                <c:pt idx="25">
                  <c:v>7.7115211562690762</c:v>
                </c:pt>
                <c:pt idx="26">
                  <c:v>7.0659057081481906</c:v>
                </c:pt>
                <c:pt idx="27">
                  <c:v>6.4801300666443451</c:v>
                </c:pt>
                <c:pt idx="28">
                  <c:v>5.908640118437618</c:v>
                </c:pt>
                <c:pt idx="29">
                  <c:v>5.3844142232405154</c:v>
                </c:pt>
                <c:pt idx="30">
                  <c:v>4.9240651551990426</c:v>
                </c:pt>
                <c:pt idx="31">
                  <c:v>4.4970506754552035</c:v>
                </c:pt>
                <c:pt idx="32">
                  <c:v>4.1114136671722861</c:v>
                </c:pt>
                <c:pt idx="33">
                  <c:v>3.7712097026223792</c:v>
                </c:pt>
                <c:pt idx="34">
                  <c:v>3.4772805999607104</c:v>
                </c:pt>
                <c:pt idx="35">
                  <c:v>3.2525382240257903</c:v>
                </c:pt>
                <c:pt idx="36">
                  <c:v>2.966844006729477</c:v>
                </c:pt>
                <c:pt idx="37">
                  <c:v>2.7280795197855428</c:v>
                </c:pt>
                <c:pt idx="38">
                  <c:v>2.4709206875109757</c:v>
                </c:pt>
                <c:pt idx="39">
                  <c:v>2.2496137012699964</c:v>
                </c:pt>
                <c:pt idx="40">
                  <c:v>2.0749595282114659</c:v>
                </c:pt>
                <c:pt idx="41">
                  <c:v>1.8869686081250692</c:v>
                </c:pt>
                <c:pt idx="42">
                  <c:v>1.7176271130234813</c:v>
                </c:pt>
                <c:pt idx="43">
                  <c:v>1.5713612792767653</c:v>
                </c:pt>
                <c:pt idx="44">
                  <c:v>1.4308472988168059</c:v>
                </c:pt>
                <c:pt idx="45">
                  <c:v>1.3039197367377691</c:v>
                </c:pt>
                <c:pt idx="46">
                  <c:v>1.1890384203722433</c:v>
                </c:pt>
                <c:pt idx="47">
                  <c:v>1.0924888926360732</c:v>
                </c:pt>
                <c:pt idx="48">
                  <c:v>0.99161666939295101</c:v>
                </c:pt>
                <c:pt idx="49">
                  <c:v>0.91085428976722804</c:v>
                </c:pt>
                <c:pt idx="50">
                  <c:v>0.82604609311460209</c:v>
                </c:pt>
                <c:pt idx="51">
                  <c:v>0.75994838529296216</c:v>
                </c:pt>
                <c:pt idx="52">
                  <c:v>0.69098706572023716</c:v>
                </c:pt>
                <c:pt idx="53">
                  <c:v>0.63225073648472718</c:v>
                </c:pt>
                <c:pt idx="54">
                  <c:v>0.57899960334598055</c:v>
                </c:pt>
                <c:pt idx="55">
                  <c:v>0.52809120011932775</c:v>
                </c:pt>
                <c:pt idx="56">
                  <c:v>0.48125017095528483</c:v>
                </c:pt>
                <c:pt idx="57">
                  <c:v>0.43897152678861989</c:v>
                </c:pt>
                <c:pt idx="58">
                  <c:v>0.40175923092561971</c:v>
                </c:pt>
                <c:pt idx="59">
                  <c:v>0.36658667562759961</c:v>
                </c:pt>
                <c:pt idx="60">
                  <c:v>0.3353529629955489</c:v>
                </c:pt>
                <c:pt idx="61">
                  <c:v>0.3060587331761539</c:v>
                </c:pt>
                <c:pt idx="62">
                  <c:v>0.27891855046247122</c:v>
                </c:pt>
                <c:pt idx="63">
                  <c:v>0.25516587949007363</c:v>
                </c:pt>
                <c:pt idx="64">
                  <c:v>0.23346519600047086</c:v>
                </c:pt>
                <c:pt idx="65">
                  <c:v>0.21350616611788203</c:v>
                </c:pt>
                <c:pt idx="66">
                  <c:v>0.19487881422169737</c:v>
                </c:pt>
                <c:pt idx="67">
                  <c:v>0.17823147755882041</c:v>
                </c:pt>
                <c:pt idx="68">
                  <c:v>0.16283896279120419</c:v>
                </c:pt>
                <c:pt idx="69">
                  <c:v>0.14884171399188398</c:v>
                </c:pt>
                <c:pt idx="70">
                  <c:v>0.13591199921479624</c:v>
                </c:pt>
                <c:pt idx="71">
                  <c:v>0.12432808000085488</c:v>
                </c:pt>
                <c:pt idx="72">
                  <c:v>0.11354688852108612</c:v>
                </c:pt>
                <c:pt idx="73">
                  <c:v>0.10429766717183542</c:v>
                </c:pt>
                <c:pt idx="74">
                  <c:v>9.5136853279860586E-2</c:v>
                </c:pt>
                <c:pt idx="75">
                  <c:v>8.6873424642780819E-2</c:v>
                </c:pt>
                <c:pt idx="76">
                  <c:v>7.9294375654714602E-2</c:v>
                </c:pt>
                <c:pt idx="77">
                  <c:v>7.2455348966830979E-2</c:v>
                </c:pt>
                <c:pt idx="78">
                  <c:v>6.6312022407469445E-2</c:v>
                </c:pt>
                <c:pt idx="79">
                  <c:v>6.0436900845055583E-2</c:v>
                </c:pt>
                <c:pt idx="80">
                  <c:v>5.5216146646882187E-2</c:v>
                </c:pt>
                <c:pt idx="81">
                  <c:v>5.0677459165964459E-2</c:v>
                </c:pt>
                <c:pt idx="82">
                  <c:v>4.6177187617570739E-2</c:v>
                </c:pt>
                <c:pt idx="83">
                  <c:v>4.2204931084930002E-2</c:v>
                </c:pt>
                <c:pt idx="84">
                  <c:v>3.8624700968415998E-2</c:v>
                </c:pt>
                <c:pt idx="85">
                  <c:v>3.5288073508367164E-2</c:v>
                </c:pt>
                <c:pt idx="86">
                  <c:v>3.2247938041653108E-2</c:v>
                </c:pt>
                <c:pt idx="87">
                  <c:v>2.9479235704379055E-2</c:v>
                </c:pt>
                <c:pt idx="88">
                  <c:v>2.6911550317483584E-2</c:v>
                </c:pt>
                <c:pt idx="89">
                  <c:v>2.4633787011100791E-2</c:v>
                </c:pt>
                <c:pt idx="90">
                  <c:v>2.2547259795336085E-2</c:v>
                </c:pt>
                <c:pt idx="91">
                  <c:v>2.0596713877366748E-2</c:v>
                </c:pt>
                <c:pt idx="92">
                  <c:v>1.881332850195995E-2</c:v>
                </c:pt>
                <c:pt idx="93">
                  <c:v>1.7192635306555282E-2</c:v>
                </c:pt>
                <c:pt idx="94">
                  <c:v>1.5729800529488625E-2</c:v>
                </c:pt>
                <c:pt idx="95">
                  <c:v>1.4368418788501583E-2</c:v>
                </c:pt>
                <c:pt idx="96">
                  <c:v>1.3139788269653369E-2</c:v>
                </c:pt>
                <c:pt idx="97">
                  <c:v>1.2013506873075732E-2</c:v>
                </c:pt>
                <c:pt idx="98">
                  <c:v>1.0974090457404594E-2</c:v>
                </c:pt>
                <c:pt idx="99">
                  <c:v>1.002745549202089E-2</c:v>
                </c:pt>
                <c:pt idx="100">
                  <c:v>9.1836671623220928E-3</c:v>
                </c:pt>
                <c:pt idx="101">
                  <c:v>8.4069233896829198E-3</c:v>
                </c:pt>
                <c:pt idx="102">
                  <c:v>7.6421717407636151E-3</c:v>
                </c:pt>
                <c:pt idx="103">
                  <c:v>7.0045765916523636E-3</c:v>
                </c:pt>
                <c:pt idx="104">
                  <c:v>6.3899739523953242E-3</c:v>
                </c:pt>
                <c:pt idx="105">
                  <c:v>5.8432247997715139E-3</c:v>
                </c:pt>
                <c:pt idx="106">
                  <c:v>5.356207881098177E-3</c:v>
                </c:pt>
                <c:pt idx="107">
                  <c:v>4.8996185234657973E-3</c:v>
                </c:pt>
                <c:pt idx="108">
                  <c:v>4.4776922764836547E-3</c:v>
                </c:pt>
                <c:pt idx="109">
                  <c:v>4.0917755940295024E-3</c:v>
                </c:pt>
                <c:pt idx="110">
                  <c:v>3.7285597536249812E-3</c:v>
                </c:pt>
                <c:pt idx="111">
                  <c:v>3.4139206173794748E-3</c:v>
                </c:pt>
                <c:pt idx="112">
                  <c:v>3.1212618377436342E-3</c:v>
                </c:pt>
                <c:pt idx="113">
                  <c:v>2.8522106889034469E-3</c:v>
                </c:pt>
                <c:pt idx="114">
                  <c:v>2.6074108623893701E-3</c:v>
                </c:pt>
                <c:pt idx="115">
                  <c:v>2.3854298502097712E-3</c:v>
                </c:pt>
                <c:pt idx="116">
                  <c:v>2.1809124743022868E-3</c:v>
                </c:pt>
                <c:pt idx="117">
                  <c:v>1.9939755597588151E-3</c:v>
                </c:pt>
                <c:pt idx="118">
                  <c:v>1.8364225528130697E-3</c:v>
                </c:pt>
              </c:numCache>
            </c:numRef>
          </c:xVal>
          <c:yVal>
            <c:numRef>
              <c:f>Table!$T$18:$T$136</c:f>
              <c:numCache>
                <c:formatCode>????0.000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0.96784967267502686</c:v>
                </c:pt>
                <c:pt idx="35">
                  <c:v>0.9217000298491852</c:v>
                </c:pt>
                <c:pt idx="36">
                  <c:v>0.80992845467560359</c:v>
                </c:pt>
                <c:pt idx="37">
                  <c:v>0.6516700121053921</c:v>
                </c:pt>
                <c:pt idx="38">
                  <c:v>0.51439794497959812</c:v>
                </c:pt>
                <c:pt idx="39">
                  <c:v>0.38761686343331303</c:v>
                </c:pt>
                <c:pt idx="40">
                  <c:v>0.28994992927097507</c:v>
                </c:pt>
                <c:pt idx="41">
                  <c:v>0.21398837999780729</c:v>
                </c:pt>
                <c:pt idx="42">
                  <c:v>0.15400258978251458</c:v>
                </c:pt>
                <c:pt idx="43">
                  <c:v>0.11187711885867602</c:v>
                </c:pt>
                <c:pt idx="44">
                  <c:v>8.1429911956649725E-2</c:v>
                </c:pt>
                <c:pt idx="45">
                  <c:v>6.02400200454003E-2</c:v>
                </c:pt>
                <c:pt idx="46">
                  <c:v>4.4745291150500188E-2</c:v>
                </c:pt>
                <c:pt idx="47">
                  <c:v>3.35218307161258E-2</c:v>
                </c:pt>
                <c:pt idx="48">
                  <c:v>2.4654547687937733E-2</c:v>
                </c:pt>
                <c:pt idx="49">
                  <c:v>1.8771489539136987E-2</c:v>
                </c:pt>
                <c:pt idx="50">
                  <c:v>1.4276869612695364E-2</c:v>
                </c:pt>
                <c:pt idx="51">
                  <c:v>1.1117887025698159E-2</c:v>
                </c:pt>
                <c:pt idx="52">
                  <c:v>8.6206873504011128E-3</c:v>
                </c:pt>
                <c:pt idx="53">
                  <c:v>6.7679167258476447E-3</c:v>
                </c:pt>
                <c:pt idx="54">
                  <c:v>5.421722624634806E-3</c:v>
                </c:pt>
                <c:pt idx="55">
                  <c:v>4.3439997305929623E-3</c:v>
                </c:pt>
                <c:pt idx="56">
                  <c:v>3.5172995988376199E-3</c:v>
                </c:pt>
                <c:pt idx="57">
                  <c:v>2.8934662693297364E-3</c:v>
                </c:pt>
                <c:pt idx="58">
                  <c:v>2.4170852472892301E-3</c:v>
                </c:pt>
                <c:pt idx="59">
                  <c:v>2.0342083579015791E-3</c:v>
                </c:pt>
                <c:pt idx="60">
                  <c:v>1.7287271841863738E-3</c:v>
                </c:pt>
                <c:pt idx="61">
                  <c:v>1.4818967539859118E-3</c:v>
                </c:pt>
                <c:pt idx="62">
                  <c:v>1.2822096036100294E-3</c:v>
                </c:pt>
                <c:pt idx="63">
                  <c:v>1.1171848636909454E-3</c:v>
                </c:pt>
                <c:pt idx="64">
                  <c:v>9.8311881966106629E-4</c:v>
                </c:pt>
                <c:pt idx="65">
                  <c:v>8.6984968957226627E-4</c:v>
                </c:pt>
                <c:pt idx="66">
                  <c:v>7.75420177869246E-4</c:v>
                </c:pt>
                <c:pt idx="67">
                  <c:v>6.9658934759564417E-4</c:v>
                </c:pt>
                <c:pt idx="68">
                  <c:v>6.3039212219562213E-4</c:v>
                </c:pt>
                <c:pt idx="69">
                  <c:v>5.7354361355688166E-4</c:v>
                </c:pt>
                <c:pt idx="70">
                  <c:v>5.2376314821656056E-4</c:v>
                </c:pt>
                <c:pt idx="71">
                  <c:v>4.8106742962128468E-4</c:v>
                </c:pt>
                <c:pt idx="72">
                  <c:v>4.3889446000355825E-4</c:v>
                </c:pt>
                <c:pt idx="73">
                  <c:v>4.0003855949866107E-4</c:v>
                </c:pt>
                <c:pt idx="74">
                  <c:v>3.5666633341613352E-4</c:v>
                </c:pt>
                <c:pt idx="75">
                  <c:v>3.0883539357084988E-4</c:v>
                </c:pt>
                <c:pt idx="76">
                  <c:v>2.5720993660038882E-4</c:v>
                </c:pt>
                <c:pt idx="77">
                  <c:v>2.0823893039179087E-4</c:v>
                </c:pt>
                <c:pt idx="78">
                  <c:v>1.6580560675605316E-4</c:v>
                </c:pt>
                <c:pt idx="79">
                  <c:v>1.2908811763956418E-4</c:v>
                </c:pt>
                <c:pt idx="80">
                  <c:v>1.0074033118356862E-4</c:v>
                </c:pt>
                <c:pt idx="81">
                  <c:v>7.8778286186964586E-5</c:v>
                </c:pt>
                <c:pt idx="82">
                  <c:v>6.039672608459945E-5</c:v>
                </c:pt>
                <c:pt idx="83">
                  <c:v>4.68254069165841E-5</c:v>
                </c:pt>
                <c:pt idx="84">
                  <c:v>3.6292501521928422E-5</c:v>
                </c:pt>
                <c:pt idx="85">
                  <c:v>2.7719530427683381E-5</c:v>
                </c:pt>
                <c:pt idx="86">
                  <c:v>2.1490277926639045E-5</c:v>
                </c:pt>
                <c:pt idx="87">
                  <c:v>1.6686674026766823E-5</c:v>
                </c:pt>
                <c:pt idx="88">
                  <c:v>1.2724691896393026E-5</c:v>
                </c:pt>
                <c:pt idx="89">
                  <c:v>9.9256067884745391E-6</c:v>
                </c:pt>
                <c:pt idx="90">
                  <c:v>7.6418940879730002E-6</c:v>
                </c:pt>
                <c:pt idx="91">
                  <c:v>5.8640985682867353E-6</c:v>
                </c:pt>
                <c:pt idx="92">
                  <c:v>4.543587024952167E-6</c:v>
                </c:pt>
                <c:pt idx="93">
                  <c:v>3.5365071313631091E-6</c:v>
                </c:pt>
                <c:pt idx="94">
                  <c:v>2.7214994560154082E-6</c:v>
                </c:pt>
                <c:pt idx="95">
                  <c:v>2.1157881257005684E-6</c:v>
                </c:pt>
                <c:pt idx="96">
                  <c:v>1.5679692008108148E-6</c:v>
                </c:pt>
                <c:pt idx="97">
                  <c:v>1.1863845410520213E-6</c:v>
                </c:pt>
                <c:pt idx="98">
                  <c:v>9.1148774006288846E-7</c:v>
                </c:pt>
                <c:pt idx="99">
                  <c:v>6.8428960042776765E-7</c:v>
                </c:pt>
                <c:pt idx="100">
                  <c:v>5.2087154078783726E-7</c:v>
                </c:pt>
                <c:pt idx="101">
                  <c:v>3.7452609036314755E-7</c:v>
                </c:pt>
                <c:pt idx="102">
                  <c:v>2.6710561473741734E-7</c:v>
                </c:pt>
                <c:pt idx="103">
                  <c:v>1.9139305229565196E-7</c:v>
                </c:pt>
                <c:pt idx="104">
                  <c:v>1.3610520210871613E-7</c:v>
                </c:pt>
                <c:pt idx="105">
                  <c:v>9.0717957590413789E-8</c:v>
                </c:pt>
                <c:pt idx="106">
                  <c:v>5.6747562870995694E-8</c:v>
                </c:pt>
                <c:pt idx="107">
                  <c:v>3.8974584892770281E-8</c:v>
                </c:pt>
                <c:pt idx="108">
                  <c:v>2.7060670482192961E-8</c:v>
                </c:pt>
                <c:pt idx="109">
                  <c:v>2.1434182428947679E-8</c:v>
                </c:pt>
                <c:pt idx="110">
                  <c:v>1.4378989665608799E-8</c:v>
                </c:pt>
                <c:pt idx="111">
                  <c:v>9.5847834113982344E-9</c:v>
                </c:pt>
                <c:pt idx="112">
                  <c:v>6.3799359129035338E-9</c:v>
                </c:pt>
                <c:pt idx="113">
                  <c:v>6.1128511141816944E-9</c:v>
                </c:pt>
                <c:pt idx="114">
                  <c:v>6.1128511141816944E-9</c:v>
                </c:pt>
                <c:pt idx="115">
                  <c:v>2.4675270715590614E-9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29216"/>
        <c:axId val="109931136"/>
      </c:scatterChart>
      <c:valAx>
        <c:axId val="109929216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37003231262758834"/>
              <c:y val="0.92577460224880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09931136"/>
        <c:crosses val="autoZero"/>
        <c:crossBetween val="midCat"/>
      </c:valAx>
      <c:valAx>
        <c:axId val="10993113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Distribution Function</a:t>
                </a:r>
              </a:p>
            </c:rich>
          </c:tx>
          <c:layout>
            <c:manualLayout>
              <c:xMode val="edge"/>
              <c:yMode val="edge"/>
              <c:x val="1.753793951647354E-2"/>
              <c:y val="0.414806277095512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09929216"/>
        <c:crossesAt val="1.0000000000000041E-3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89019071851826"/>
          <c:y val="0.17604997624682661"/>
          <c:w val="0.32571839409811765"/>
          <c:h val="0.20424665897106842"/>
        </c:manualLayout>
      </c:layout>
      <c:overlay val="0"/>
      <c:spPr>
        <a:solidFill>
          <a:srgbClr val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chemeClr val="lt2"/>
    </a:solidFill>
    <a:ln w="3175">
      <a:solidFill>
        <a:sysClr val="windowText" lastClr="000000"/>
      </a:solidFill>
    </a:ln>
  </c:spPr>
  <c:txPr>
    <a:bodyPr/>
    <a:lstStyle/>
    <a:p>
      <a:pPr>
        <a:defRPr sz="800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866" r="0.75000000000000866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/>
              <a:t>Incremental Intrusion %PV vs Pore Aperture Diameter</a:t>
            </a:r>
          </a:p>
        </c:rich>
      </c:tx>
      <c:layout>
        <c:manualLayout>
          <c:xMode val="edge"/>
          <c:yMode val="edge"/>
          <c:x val="0.1723981077147016"/>
          <c:y val="4.43625443625443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59498670579271"/>
          <c:y val="0.15326975675683863"/>
          <c:w val="0.82827901825522265"/>
          <c:h val="0.72458777553660758"/>
        </c:manualLayout>
      </c:layout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dk2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dk2">
                  <a:lumMod val="60000"/>
                  <a:lumOff val="40000"/>
                </a:schemeClr>
              </a:solidFill>
              <a:ln>
                <a:solidFill>
                  <a:schemeClr val="dk2">
                    <a:lumMod val="50000"/>
                  </a:schemeClr>
                </a:solidFill>
              </a:ln>
            </c:spPr>
          </c:marker>
          <c:xVal>
            <c:numRef>
              <c:f>Table!$F$18:$F$136</c:f>
              <c:numCache>
                <c:formatCode>???0.000</c:formatCode>
                <c:ptCount val="119"/>
                <c:pt idx="0">
                  <c:v>146.91121942218447</c:v>
                </c:pt>
                <c:pt idx="1">
                  <c:v>138.76438777327232</c:v>
                </c:pt>
                <c:pt idx="2">
                  <c:v>122.54000904786403</c:v>
                </c:pt>
                <c:pt idx="3">
                  <c:v>110.42935853738808</c:v>
                </c:pt>
                <c:pt idx="4">
                  <c:v>102.01772817574832</c:v>
                </c:pt>
                <c:pt idx="5">
                  <c:v>93.632853084960473</c:v>
                </c:pt>
                <c:pt idx="6">
                  <c:v>85.316291678873725</c:v>
                </c:pt>
                <c:pt idx="7">
                  <c:v>77.917225600700604</c:v>
                </c:pt>
                <c:pt idx="8">
                  <c:v>71.003601648868909</c:v>
                </c:pt>
                <c:pt idx="9">
                  <c:v>64.850725747589991</c:v>
                </c:pt>
                <c:pt idx="10">
                  <c:v>59.462698490981154</c:v>
                </c:pt>
                <c:pt idx="11">
                  <c:v>54.378923743403817</c:v>
                </c:pt>
                <c:pt idx="12">
                  <c:v>49.6678659807869</c:v>
                </c:pt>
                <c:pt idx="13">
                  <c:v>45.461309918006314</c:v>
                </c:pt>
                <c:pt idx="14">
                  <c:v>41.629316331981691</c:v>
                </c:pt>
                <c:pt idx="15">
                  <c:v>37.963967880681139</c:v>
                </c:pt>
                <c:pt idx="16">
                  <c:v>34.758047381892894</c:v>
                </c:pt>
                <c:pt idx="17">
                  <c:v>31.769842523984575</c:v>
                </c:pt>
                <c:pt idx="18">
                  <c:v>29.018770871865605</c:v>
                </c:pt>
                <c:pt idx="19">
                  <c:v>26.51528193710465</c:v>
                </c:pt>
                <c:pt idx="20">
                  <c:v>24.217908071462354</c:v>
                </c:pt>
                <c:pt idx="21">
                  <c:v>22.147336646563751</c:v>
                </c:pt>
                <c:pt idx="22">
                  <c:v>20.285013797750025</c:v>
                </c:pt>
                <c:pt idx="23">
                  <c:v>18.403160531767906</c:v>
                </c:pt>
                <c:pt idx="24">
                  <c:v>16.974278928803766</c:v>
                </c:pt>
                <c:pt idx="25">
                  <c:v>15.423042312538152</c:v>
                </c:pt>
                <c:pt idx="26">
                  <c:v>14.131811416296381</c:v>
                </c:pt>
                <c:pt idx="27">
                  <c:v>12.96026013328869</c:v>
                </c:pt>
                <c:pt idx="28">
                  <c:v>11.817280236875236</c:v>
                </c:pt>
                <c:pt idx="29">
                  <c:v>10.768828446481031</c:v>
                </c:pt>
                <c:pt idx="30">
                  <c:v>9.8481303103980853</c:v>
                </c:pt>
                <c:pt idx="31">
                  <c:v>8.9941013509104071</c:v>
                </c:pt>
                <c:pt idx="32">
                  <c:v>8.2228273343445721</c:v>
                </c:pt>
                <c:pt idx="33">
                  <c:v>7.5424194052447584</c:v>
                </c:pt>
                <c:pt idx="34">
                  <c:v>6.9545611999214207</c:v>
                </c:pt>
                <c:pt idx="35">
                  <c:v>6.5050764480515806</c:v>
                </c:pt>
                <c:pt idx="36">
                  <c:v>5.933688013458954</c:v>
                </c:pt>
                <c:pt idx="37">
                  <c:v>5.4561590395710855</c:v>
                </c:pt>
                <c:pt idx="38">
                  <c:v>4.9418413750219514</c:v>
                </c:pt>
                <c:pt idx="39">
                  <c:v>4.4992274025399928</c:v>
                </c:pt>
                <c:pt idx="40">
                  <c:v>4.1499190564229318</c:v>
                </c:pt>
                <c:pt idx="41">
                  <c:v>3.7739372162501383</c:v>
                </c:pt>
                <c:pt idx="42">
                  <c:v>3.4352542260469625</c:v>
                </c:pt>
                <c:pt idx="43">
                  <c:v>3.1427225585535306</c:v>
                </c:pt>
                <c:pt idx="44">
                  <c:v>2.8616945976336119</c:v>
                </c:pt>
                <c:pt idx="45">
                  <c:v>2.6078394734755381</c:v>
                </c:pt>
                <c:pt idx="46">
                  <c:v>2.3780768407444866</c:v>
                </c:pt>
                <c:pt idx="47">
                  <c:v>2.1849777852721464</c:v>
                </c:pt>
                <c:pt idx="48">
                  <c:v>1.983233338785902</c:v>
                </c:pt>
                <c:pt idx="49">
                  <c:v>1.8217085795344561</c:v>
                </c:pt>
                <c:pt idx="50">
                  <c:v>1.6520921862292042</c:v>
                </c:pt>
                <c:pt idx="51">
                  <c:v>1.5198967705859243</c:v>
                </c:pt>
                <c:pt idx="52">
                  <c:v>1.3819741314404743</c:v>
                </c:pt>
                <c:pt idx="53">
                  <c:v>1.2645014729694544</c:v>
                </c:pt>
                <c:pt idx="54">
                  <c:v>1.1579992066919611</c:v>
                </c:pt>
                <c:pt idx="55">
                  <c:v>1.0561824002386555</c:v>
                </c:pt>
                <c:pt idx="56">
                  <c:v>0.96250034191056966</c:v>
                </c:pt>
                <c:pt idx="57">
                  <c:v>0.87794305357723978</c:v>
                </c:pt>
                <c:pt idx="58">
                  <c:v>0.80351846185123943</c:v>
                </c:pt>
                <c:pt idx="59">
                  <c:v>0.73317335125519922</c:v>
                </c:pt>
                <c:pt idx="60">
                  <c:v>0.6707059259910978</c:v>
                </c:pt>
                <c:pt idx="61">
                  <c:v>0.61211746635230779</c:v>
                </c:pt>
                <c:pt idx="62">
                  <c:v>0.55783710092494243</c:v>
                </c:pt>
                <c:pt idx="63">
                  <c:v>0.51033175898014727</c:v>
                </c:pt>
                <c:pt idx="64">
                  <c:v>0.46693039200094172</c:v>
                </c:pt>
                <c:pt idx="65">
                  <c:v>0.42701233223576407</c:v>
                </c:pt>
                <c:pt idx="66">
                  <c:v>0.38975762844339473</c:v>
                </c:pt>
                <c:pt idx="67">
                  <c:v>0.35646295511764081</c:v>
                </c:pt>
                <c:pt idx="68">
                  <c:v>0.32567792558240838</c:v>
                </c:pt>
                <c:pt idx="69">
                  <c:v>0.29768342798376796</c:v>
                </c:pt>
                <c:pt idx="70">
                  <c:v>0.27182399842959248</c:v>
                </c:pt>
                <c:pt idx="71">
                  <c:v>0.24865616000170976</c:v>
                </c:pt>
                <c:pt idx="72">
                  <c:v>0.22709377704217223</c:v>
                </c:pt>
                <c:pt idx="73">
                  <c:v>0.20859533434367084</c:v>
                </c:pt>
                <c:pt idx="74">
                  <c:v>0.19027370655972117</c:v>
                </c:pt>
                <c:pt idx="75">
                  <c:v>0.17374684928556164</c:v>
                </c:pt>
                <c:pt idx="76">
                  <c:v>0.1585887513094292</c:v>
                </c:pt>
                <c:pt idx="77">
                  <c:v>0.14491069793366196</c:v>
                </c:pt>
                <c:pt idx="78">
                  <c:v>0.13262404481493889</c:v>
                </c:pt>
                <c:pt idx="79">
                  <c:v>0.12087380169011117</c:v>
                </c:pt>
                <c:pt idx="80">
                  <c:v>0.11043229329376437</c:v>
                </c:pt>
                <c:pt idx="81">
                  <c:v>0.10135491833192892</c:v>
                </c:pt>
                <c:pt idx="82">
                  <c:v>9.2354375235141478E-2</c:v>
                </c:pt>
                <c:pt idx="83">
                  <c:v>8.4409862169860003E-2</c:v>
                </c:pt>
                <c:pt idx="84">
                  <c:v>7.7249401936831996E-2</c:v>
                </c:pt>
                <c:pt idx="85">
                  <c:v>7.0576147016734328E-2</c:v>
                </c:pt>
                <c:pt idx="86">
                  <c:v>6.4495876083306217E-2</c:v>
                </c:pt>
                <c:pt idx="87">
                  <c:v>5.8958471408758109E-2</c:v>
                </c:pt>
                <c:pt idx="88">
                  <c:v>5.3823100634967168E-2</c:v>
                </c:pt>
                <c:pt idx="89">
                  <c:v>4.9267574022201582E-2</c:v>
                </c:pt>
                <c:pt idx="90">
                  <c:v>4.509451959067217E-2</c:v>
                </c:pt>
                <c:pt idx="91">
                  <c:v>4.1193427754733496E-2</c:v>
                </c:pt>
                <c:pt idx="92">
                  <c:v>3.76266570039199E-2</c:v>
                </c:pt>
                <c:pt idx="93">
                  <c:v>3.4385270613110565E-2</c:v>
                </c:pt>
                <c:pt idx="94">
                  <c:v>3.145960105897725E-2</c:v>
                </c:pt>
                <c:pt idx="95">
                  <c:v>2.8736837577003165E-2</c:v>
                </c:pt>
                <c:pt idx="96">
                  <c:v>2.6279576539306737E-2</c:v>
                </c:pt>
                <c:pt idx="97">
                  <c:v>2.4027013746151463E-2</c:v>
                </c:pt>
                <c:pt idx="98">
                  <c:v>2.1948180914809188E-2</c:v>
                </c:pt>
                <c:pt idx="99">
                  <c:v>2.0054910984041781E-2</c:v>
                </c:pt>
                <c:pt idx="100">
                  <c:v>1.8367334324644186E-2</c:v>
                </c:pt>
                <c:pt idx="101">
                  <c:v>1.681384677936584E-2</c:v>
                </c:pt>
                <c:pt idx="102">
                  <c:v>1.528434348152723E-2</c:v>
                </c:pt>
                <c:pt idx="103">
                  <c:v>1.4009153183304727E-2</c:v>
                </c:pt>
                <c:pt idx="104">
                  <c:v>1.2779947904790648E-2</c:v>
                </c:pt>
                <c:pt idx="105">
                  <c:v>1.1686449599543028E-2</c:v>
                </c:pt>
                <c:pt idx="106">
                  <c:v>1.0712415762196354E-2</c:v>
                </c:pt>
                <c:pt idx="107">
                  <c:v>9.7992370469315946E-3</c:v>
                </c:pt>
                <c:pt idx="108">
                  <c:v>8.9553845529673094E-3</c:v>
                </c:pt>
                <c:pt idx="109">
                  <c:v>8.1835511880590048E-3</c:v>
                </c:pt>
                <c:pt idx="110">
                  <c:v>7.4571195072499624E-3</c:v>
                </c:pt>
                <c:pt idx="111">
                  <c:v>6.8278412347589496E-3</c:v>
                </c:pt>
                <c:pt idx="112">
                  <c:v>6.2425236754872684E-3</c:v>
                </c:pt>
                <c:pt idx="113">
                  <c:v>5.7044213778068937E-3</c:v>
                </c:pt>
                <c:pt idx="114">
                  <c:v>5.2148217247787402E-3</c:v>
                </c:pt>
                <c:pt idx="115">
                  <c:v>4.7708597004195424E-3</c:v>
                </c:pt>
                <c:pt idx="116">
                  <c:v>4.3618249486045736E-3</c:v>
                </c:pt>
                <c:pt idx="117">
                  <c:v>3.9879511195176302E-3</c:v>
                </c:pt>
                <c:pt idx="118">
                  <c:v>3.6728451056261394E-3</c:v>
                </c:pt>
              </c:numCache>
            </c:numRef>
          </c:xVal>
          <c:yVal>
            <c:numRef>
              <c:f>Table!$H$18:$H$136</c:f>
              <c:numCache>
                <c:formatCode>????0.00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0.55433974854305479</c:v>
                </c:pt>
                <c:pt idx="35">
                  <c:v>0.90948098344710449</c:v>
                </c:pt>
                <c:pt idx="36">
                  <c:v>2.647354154979161</c:v>
                </c:pt>
                <c:pt idx="37">
                  <c:v>4.4332572582804888</c:v>
                </c:pt>
                <c:pt idx="38">
                  <c:v>4.6874285343446669</c:v>
                </c:pt>
                <c:pt idx="39">
                  <c:v>5.2228632191411393</c:v>
                </c:pt>
                <c:pt idx="40">
                  <c:v>4.7293166315287856</c:v>
                </c:pt>
                <c:pt idx="41">
                  <c:v>4.447690516493882</c:v>
                </c:pt>
                <c:pt idx="42">
                  <c:v>4.2389735565397295</c:v>
                </c:pt>
                <c:pt idx="43">
                  <c:v>3.5568272381264343</c:v>
                </c:pt>
                <c:pt idx="44">
                  <c:v>3.1004946001574467</c:v>
                </c:pt>
                <c:pt idx="45">
                  <c:v>2.5983468264145912</c:v>
                </c:pt>
                <c:pt idx="46">
                  <c:v>2.2848742490232965</c:v>
                </c:pt>
                <c:pt idx="47">
                  <c:v>1.9604818064590646</c:v>
                </c:pt>
                <c:pt idx="48">
                  <c:v>1.8800657157316323</c:v>
                </c:pt>
                <c:pt idx="49">
                  <c:v>1.4783437234598296</c:v>
                </c:pt>
                <c:pt idx="50">
                  <c:v>1.3732654907938127</c:v>
                </c:pt>
                <c:pt idx="51">
                  <c:v>1.1403788016188301</c:v>
                </c:pt>
                <c:pt idx="52">
                  <c:v>1.0903941941738893</c:v>
                </c:pt>
                <c:pt idx="53">
                  <c:v>0.96630241603230616</c:v>
                </c:pt>
                <c:pt idx="54">
                  <c:v>0.8371846322202785</c:v>
                </c:pt>
                <c:pt idx="55">
                  <c:v>0.8056739915640847</c:v>
                </c:pt>
                <c:pt idx="56">
                  <c:v>0.7441771143739544</c:v>
                </c:pt>
                <c:pt idx="57">
                  <c:v>0.67494124496902685</c:v>
                </c:pt>
                <c:pt idx="58">
                  <c:v>0.61530836687892076</c:v>
                </c:pt>
                <c:pt idx="59">
                  <c:v>0.59398557555475406</c:v>
                </c:pt>
                <c:pt idx="60">
                  <c:v>0.56630481159188406</c:v>
                </c:pt>
                <c:pt idx="61">
                  <c:v>0.54936279548047651</c:v>
                </c:pt>
                <c:pt idx="62">
                  <c:v>0.53513753919096274</c:v>
                </c:pt>
                <c:pt idx="63">
                  <c:v>0.5284135586318186</c:v>
                </c:pt>
                <c:pt idx="64">
                  <c:v>0.51279596293358765</c:v>
                </c:pt>
                <c:pt idx="65">
                  <c:v>0.51803704542327011</c:v>
                </c:pt>
                <c:pt idx="66">
                  <c:v>0.5183804136785426</c:v>
                </c:pt>
                <c:pt idx="67">
                  <c:v>0.51736540202286818</c:v>
                </c:pt>
                <c:pt idx="68">
                  <c:v>0.52046703615284429</c:v>
                </c:pt>
                <c:pt idx="69">
                  <c:v>0.53498283481221165</c:v>
                </c:pt>
                <c:pt idx="70">
                  <c:v>0.5618410242734484</c:v>
                </c:pt>
                <c:pt idx="71">
                  <c:v>0.57585875029879929</c:v>
                </c:pt>
                <c:pt idx="72">
                  <c:v>0.68195199462049061</c:v>
                </c:pt>
                <c:pt idx="73">
                  <c:v>0.74469405339560524</c:v>
                </c:pt>
                <c:pt idx="74">
                  <c:v>0.99904314516342652</c:v>
                </c:pt>
                <c:pt idx="75">
                  <c:v>1.3213112324780241</c:v>
                </c:pt>
                <c:pt idx="76">
                  <c:v>1.7117850844317815</c:v>
                </c:pt>
                <c:pt idx="77">
                  <c:v>1.9447698788225694</c:v>
                </c:pt>
                <c:pt idx="78">
                  <c:v>2.0118361136475329</c:v>
                </c:pt>
                <c:pt idx="79">
                  <c:v>2.0957462593680987</c:v>
                </c:pt>
                <c:pt idx="80">
                  <c:v>1.9384609587917794</c:v>
                </c:pt>
                <c:pt idx="81">
                  <c:v>1.7828434468838879</c:v>
                </c:pt>
                <c:pt idx="82">
                  <c:v>1.7972045411645041</c:v>
                </c:pt>
                <c:pt idx="83">
                  <c:v>1.5884215488535602</c:v>
                </c:pt>
                <c:pt idx="84">
                  <c:v>1.4719329249357145</c:v>
                </c:pt>
                <c:pt idx="85">
                  <c:v>1.4353094932258443</c:v>
                </c:pt>
                <c:pt idx="86">
                  <c:v>1.2488265711194515</c:v>
                </c:pt>
                <c:pt idx="87">
                  <c:v>1.1524042371081435</c:v>
                </c:pt>
                <c:pt idx="88">
                  <c:v>1.1405259594425132</c:v>
                </c:pt>
                <c:pt idx="89">
                  <c:v>0.96166505794747081</c:v>
                </c:pt>
                <c:pt idx="90">
                  <c:v>0.93653502959516288</c:v>
                </c:pt>
                <c:pt idx="91">
                  <c:v>0.87368731904916785</c:v>
                </c:pt>
                <c:pt idx="92">
                  <c:v>0.77782343011233479</c:v>
                </c:pt>
                <c:pt idx="93">
                  <c:v>0.71031194853880208</c:v>
                </c:pt>
                <c:pt idx="94">
                  <c:v>0.68672896397393401</c:v>
                </c:pt>
                <c:pt idx="95">
                  <c:v>0.61167092733964523</c:v>
                </c:pt>
                <c:pt idx="96">
                  <c:v>0.66150083040582786</c:v>
                </c:pt>
                <c:pt idx="97">
                  <c:v>0.55121547474787747</c:v>
                </c:pt>
                <c:pt idx="98">
                  <c:v>0.47588576213141209</c:v>
                </c:pt>
                <c:pt idx="99">
                  <c:v>0.47107860655772527</c:v>
                </c:pt>
                <c:pt idx="100">
                  <c:v>0.40395954584732863</c:v>
                </c:pt>
                <c:pt idx="101">
                  <c:v>0.4316931356955962</c:v>
                </c:pt>
                <c:pt idx="102">
                  <c:v>0.38346310230231495</c:v>
                </c:pt>
                <c:pt idx="103">
                  <c:v>0.32171718879519062</c:v>
                </c:pt>
                <c:pt idx="104">
                  <c:v>0.28229398515777859</c:v>
                </c:pt>
                <c:pt idx="105">
                  <c:v>0.27713968805129241</c:v>
                </c:pt>
                <c:pt idx="106">
                  <c:v>0.24686290914750941</c:v>
                </c:pt>
                <c:pt idx="107">
                  <c:v>0.15434969065769621</c:v>
                </c:pt>
                <c:pt idx="108">
                  <c:v>0.12388424787739893</c:v>
                </c:pt>
                <c:pt idx="109">
                  <c:v>7.0062217184073461E-2</c:v>
                </c:pt>
                <c:pt idx="110">
                  <c:v>0.10580270195184482</c:v>
                </c:pt>
                <c:pt idx="111">
                  <c:v>8.5759051710439849E-2</c:v>
                </c:pt>
                <c:pt idx="112">
                  <c:v>6.8583092392174194E-2</c:v>
                </c:pt>
                <c:pt idx="113">
                  <c:v>6.844725440117827E-3</c:v>
                </c:pt>
                <c:pt idx="114">
                  <c:v>0</c:v>
                </c:pt>
                <c:pt idx="115">
                  <c:v>0.13355893146530207</c:v>
                </c:pt>
                <c:pt idx="116">
                  <c:v>0.10815722713077491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88480"/>
        <c:axId val="109999232"/>
      </c:scatterChart>
      <c:valAx>
        <c:axId val="109988480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gradFill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Pore Aperture Diameter (microns)</a:t>
                </a:r>
              </a:p>
            </c:rich>
          </c:tx>
          <c:layout>
            <c:manualLayout>
              <c:xMode val="edge"/>
              <c:yMode val="edge"/>
              <c:x val="0.36675497039079008"/>
              <c:y val="0.92355761574540307"/>
            </c:manualLayout>
          </c:layout>
          <c:overlay val="0"/>
          <c:spPr>
            <a:noFill/>
            <a:ln w="25400">
              <a:noFill/>
            </a:ln>
          </c:spPr>
        </c:title>
        <c:numFmt formatCode="??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/>
            </a:pPr>
            <a:endParaRPr lang="en-US"/>
          </a:p>
        </c:txPr>
        <c:crossAx val="109999232"/>
        <c:crosses val="autoZero"/>
        <c:crossBetween val="midCat"/>
        <c:majorUnit val="10"/>
        <c:minorUnit val="10"/>
      </c:valAx>
      <c:valAx>
        <c:axId val="109999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Incremental Intrusion as Percent of Pore Volume</a:t>
                </a:r>
              </a:p>
            </c:rich>
          </c:tx>
          <c:layout>
            <c:manualLayout>
              <c:xMode val="edge"/>
              <c:yMode val="edge"/>
              <c:x val="1.0568979145875295E-2"/>
              <c:y val="0.21251221534951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/>
            </a:pPr>
            <a:endParaRPr lang="en-US"/>
          </a:p>
        </c:txPr>
        <c:crossAx val="109988480"/>
        <c:crossesAt val="1.0000000000000041E-3"/>
        <c:crossBetween val="midCat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chemeClr val="accent2">
        <a:lumMod val="20000"/>
        <a:lumOff val="80000"/>
      </a:schemeClr>
    </a:solidFill>
    <a:ln w="3175">
      <a:solidFill>
        <a:sysClr val="windowText" lastClr="000000"/>
      </a:solidFill>
    </a:ln>
  </c:spPr>
  <c:txPr>
    <a:bodyPr/>
    <a:lstStyle/>
    <a:p>
      <a:pPr>
        <a:defRPr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0.75000000000000955" l="0.70000000000000062" r="0.70000000000000062" t="0.750000000000009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image" Target="../media/image1.jpeg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135890</xdr:rowOff>
    </xdr:to>
    <xdr:pic>
      <xdr:nvPicPr>
        <xdr:cNvPr id="4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161924</xdr:rowOff>
    </xdr:from>
    <xdr:to>
      <xdr:col>5</xdr:col>
      <xdr:colOff>19812</xdr:colOff>
      <xdr:row>26</xdr:row>
      <xdr:rowOff>2666</xdr:rowOff>
    </xdr:to>
    <xdr:graphicFrame macro="">
      <xdr:nvGraphicFramePr>
        <xdr:cNvPr id="27923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</xdr:colOff>
      <xdr:row>8</xdr:row>
      <xdr:rowOff>2666</xdr:rowOff>
    </xdr:from>
    <xdr:to>
      <xdr:col>10</xdr:col>
      <xdr:colOff>11049</xdr:colOff>
      <xdr:row>26</xdr:row>
      <xdr:rowOff>5333</xdr:rowOff>
    </xdr:to>
    <xdr:graphicFrame macro="">
      <xdr:nvGraphicFramePr>
        <xdr:cNvPr id="1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8</xdr:row>
      <xdr:rowOff>0</xdr:rowOff>
    </xdr:from>
    <xdr:to>
      <xdr:col>14</xdr:col>
      <xdr:colOff>540444</xdr:colOff>
      <xdr:row>26</xdr:row>
      <xdr:rowOff>2667</xdr:rowOff>
    </xdr:to>
    <xdr:graphicFrame macro="">
      <xdr:nvGraphicFramePr>
        <xdr:cNvPr id="2792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25</xdr:row>
      <xdr:rowOff>147759</xdr:rowOff>
    </xdr:from>
    <xdr:to>
      <xdr:col>5</xdr:col>
      <xdr:colOff>19812</xdr:colOff>
      <xdr:row>43</xdr:row>
      <xdr:rowOff>161924</xdr:rowOff>
    </xdr:to>
    <xdr:graphicFrame macro="">
      <xdr:nvGraphicFramePr>
        <xdr:cNvPr id="2792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540445</xdr:colOff>
      <xdr:row>25</xdr:row>
      <xdr:rowOff>147761</xdr:rowOff>
    </xdr:from>
    <xdr:to>
      <xdr:col>15</xdr:col>
      <xdr:colOff>0</xdr:colOff>
      <xdr:row>44</xdr:row>
      <xdr:rowOff>0</xdr:rowOff>
    </xdr:to>
    <xdr:graphicFrame macro="">
      <xdr:nvGraphicFramePr>
        <xdr:cNvPr id="10" name="Distribut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2</xdr:row>
      <xdr:rowOff>97790</xdr:rowOff>
    </xdr:to>
    <xdr:pic>
      <xdr:nvPicPr>
        <xdr:cNvPr id="8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14</xdr:col>
      <xdr:colOff>862742</xdr:colOff>
      <xdr:row>30</xdr:row>
      <xdr:rowOff>159258</xdr:rowOff>
    </xdr:to>
    <xdr:graphicFrame macro="">
      <xdr:nvGraphicFramePr>
        <xdr:cNvPr id="2983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8</xdr:col>
      <xdr:colOff>0</xdr:colOff>
      <xdr:row>31</xdr:row>
      <xdr:rowOff>0</xdr:rowOff>
    </xdr:to>
    <xdr:graphicFrame macro="">
      <xdr:nvGraphicFramePr>
        <xdr:cNvPr id="2983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320802</xdr:colOff>
      <xdr:row>53</xdr:row>
      <xdr:rowOff>159258</xdr:rowOff>
    </xdr:to>
    <xdr:graphicFrame macro="">
      <xdr:nvGraphicFramePr>
        <xdr:cNvPr id="9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3048</xdr:colOff>
      <xdr:row>31</xdr:row>
      <xdr:rowOff>0</xdr:rowOff>
    </xdr:from>
    <xdr:to>
      <xdr:col>14</xdr:col>
      <xdr:colOff>866775</xdr:colOff>
      <xdr:row>53</xdr:row>
      <xdr:rowOff>159258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97790</xdr:rowOff>
    </xdr:to>
    <xdr:pic>
      <xdr:nvPicPr>
        <xdr:cNvPr id="8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2</xdr:row>
      <xdr:rowOff>135890</xdr:rowOff>
    </xdr:to>
    <xdr:pic>
      <xdr:nvPicPr>
        <xdr:cNvPr id="4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N141"/>
  <sheetViews>
    <sheetView showGridLines="0" tabSelected="1" workbookViewId="0">
      <pane xSplit="2" ySplit="17" topLeftCell="C18" activePane="bottomRight" state="frozen"/>
      <selection activeCell="E35" sqref="E35"/>
      <selection pane="topRight" activeCell="E35" sqref="E35"/>
      <selection pane="bottomLeft" activeCell="E35" sqref="E35"/>
      <selection pane="bottomRight" activeCell="A7" sqref="A7"/>
    </sheetView>
  </sheetViews>
  <sheetFormatPr defaultColWidth="8.85546875" defaultRowHeight="12.75" x14ac:dyDescent="0.2"/>
  <cols>
    <col min="1" max="13" width="10.28515625" style="143" customWidth="1"/>
    <col min="14" max="14" width="9.5703125" style="143" customWidth="1"/>
    <col min="15" max="15" width="8.85546875" style="143"/>
    <col min="16" max="17" width="10.7109375" style="143" customWidth="1"/>
    <col min="18" max="19" width="8.85546875" style="143"/>
    <col min="20" max="20" width="9.5703125" style="143" bestFit="1" customWidth="1"/>
    <col min="21" max="21" width="8.85546875" style="143"/>
    <col min="22" max="22" width="7.5703125" style="143" customWidth="1"/>
    <col min="23" max="23" width="11.5703125" style="63" bestFit="1" customWidth="1"/>
    <col min="24" max="24" width="13" style="63" customWidth="1"/>
    <col min="25" max="37" width="8.85546875" style="63"/>
    <col min="38" max="38" width="15.85546875" style="63" customWidth="1"/>
    <col min="39" max="16384" width="8.85546875" style="63"/>
  </cols>
  <sheetData>
    <row r="1" spans="1:40" x14ac:dyDescent="0.2">
      <c r="X1" s="88"/>
      <c r="Y1" s="72"/>
      <c r="Z1" s="72"/>
      <c r="AA1" s="85"/>
      <c r="AB1" s="85"/>
    </row>
    <row r="2" spans="1:40" x14ac:dyDescent="0.2">
      <c r="X2" s="131"/>
      <c r="Y2" s="131"/>
      <c r="Z2" s="80"/>
      <c r="AA2" s="80"/>
      <c r="AB2" s="104"/>
      <c r="AC2" s="104"/>
    </row>
    <row r="3" spans="1:40" x14ac:dyDescent="0.2">
      <c r="X3" s="136"/>
      <c r="Y3" s="147"/>
      <c r="Z3" s="69"/>
      <c r="AA3" s="104"/>
      <c r="AB3" s="16"/>
      <c r="AC3" s="16"/>
    </row>
    <row r="4" spans="1:40" x14ac:dyDescent="0.2">
      <c r="X4" s="136"/>
      <c r="Y4" s="147"/>
      <c r="Z4" s="69"/>
      <c r="AA4" s="104"/>
      <c r="AB4" s="16"/>
      <c r="AC4" s="16"/>
      <c r="AL4" s="91"/>
      <c r="AM4" s="91"/>
      <c r="AN4" s="91"/>
    </row>
    <row r="5" spans="1:40" ht="15.75" x14ac:dyDescent="0.25">
      <c r="A5" s="163" t="s">
        <v>11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5"/>
      <c r="O5" s="15"/>
      <c r="P5" s="15"/>
      <c r="Q5" s="15"/>
      <c r="R5" s="15"/>
      <c r="S5" s="15"/>
      <c r="T5" s="155"/>
      <c r="U5" s="60"/>
      <c r="V5" s="60"/>
      <c r="W5" s="147"/>
      <c r="X5" s="136"/>
      <c r="Y5" s="147"/>
      <c r="Z5" s="104"/>
      <c r="AA5" s="75"/>
      <c r="AB5" s="75"/>
      <c r="AC5" s="75"/>
      <c r="AL5" s="91"/>
      <c r="AM5" s="91"/>
      <c r="AN5" s="91"/>
    </row>
    <row r="6" spans="1:40" x14ac:dyDescent="0.2">
      <c r="A6" s="47"/>
      <c r="B6" s="60"/>
      <c r="C6" s="60"/>
      <c r="D6" s="60"/>
      <c r="E6" s="47"/>
      <c r="F6" s="47"/>
      <c r="G6" s="47"/>
      <c r="H6" s="47"/>
      <c r="I6" s="47"/>
      <c r="J6" s="47"/>
      <c r="K6" s="47"/>
      <c r="L6" s="47"/>
      <c r="M6" s="47"/>
      <c r="N6" s="47"/>
      <c r="O6" s="60"/>
      <c r="P6" s="60"/>
      <c r="Q6" s="60"/>
      <c r="R6" s="47"/>
      <c r="S6" s="60"/>
      <c r="T6" s="60"/>
      <c r="U6" s="60"/>
      <c r="V6" s="60"/>
      <c r="W6" s="147"/>
      <c r="X6" s="136"/>
      <c r="Y6" s="147"/>
      <c r="Z6" s="104"/>
      <c r="AA6" s="146"/>
      <c r="AB6" s="69"/>
      <c r="AC6" s="69"/>
      <c r="AL6" s="91"/>
      <c r="AM6" s="91"/>
      <c r="AN6" s="91"/>
    </row>
    <row r="7" spans="1:40" ht="12.4" customHeight="1" x14ac:dyDescent="0.2">
      <c r="A7" s="158" t="str">
        <f>Table!A7</f>
        <v>Shell Exploration &amp; Production Company</v>
      </c>
      <c r="B7" s="47"/>
      <c r="C7" s="47"/>
      <c r="D7" s="47"/>
      <c r="E7" s="60"/>
      <c r="F7" s="60"/>
      <c r="G7" s="60"/>
      <c r="H7" s="60"/>
      <c r="I7" s="143" t="str">
        <f>Table!L7</f>
        <v>Sample Number:</v>
      </c>
      <c r="M7" s="127" t="str">
        <f>Table!P7</f>
        <v>MC 39</v>
      </c>
      <c r="N7" s="60"/>
      <c r="O7" s="158"/>
      <c r="P7" s="79"/>
      <c r="Q7" s="131"/>
      <c r="R7" s="131"/>
      <c r="S7" s="80"/>
      <c r="T7" s="146"/>
      <c r="U7" s="134"/>
      <c r="V7" s="69"/>
      <c r="AE7" s="140"/>
      <c r="AF7" s="19"/>
      <c r="AG7" s="19"/>
    </row>
    <row r="8" spans="1:40" ht="12.4" customHeight="1" x14ac:dyDescent="0.2">
      <c r="A8" s="158" t="str">
        <f>Table!A8</f>
        <v>OCS-Y-2321 Burger J 001</v>
      </c>
      <c r="B8" s="47"/>
      <c r="C8" s="47"/>
      <c r="D8" s="47"/>
      <c r="E8" s="47"/>
      <c r="F8" s="47"/>
      <c r="G8" s="47"/>
      <c r="H8" s="47"/>
      <c r="I8" s="143" t="str">
        <f>Table!L8</f>
        <v>Sample Depth, feet:</v>
      </c>
      <c r="M8" s="4">
        <f>Table!P8</f>
        <v>0</v>
      </c>
      <c r="N8" s="60"/>
      <c r="O8" s="158"/>
      <c r="P8" s="79"/>
      <c r="Q8" s="131"/>
      <c r="R8" s="131"/>
      <c r="S8" s="80"/>
      <c r="T8" s="146"/>
      <c r="U8" s="134"/>
      <c r="V8" s="69"/>
      <c r="AE8" s="40"/>
      <c r="AF8" s="19"/>
      <c r="AG8" s="19"/>
    </row>
    <row r="9" spans="1:40" ht="12.4" customHeight="1" x14ac:dyDescent="0.2">
      <c r="A9" s="158" t="str">
        <f>Table!A9</f>
        <v>Offshore</v>
      </c>
      <c r="B9" s="47"/>
      <c r="C9" s="47"/>
      <c r="D9" s="47"/>
      <c r="E9" s="47"/>
      <c r="F9" s="47"/>
      <c r="G9" s="47"/>
      <c r="H9" s="47"/>
      <c r="I9" s="50" t="str">
        <f>Table!L9</f>
        <v>Permeability to Air (calc), mD:</v>
      </c>
      <c r="K9" s="47"/>
      <c r="L9" s="47"/>
      <c r="M9" s="84">
        <f>Table!P9</f>
        <v>8.874245638097225</v>
      </c>
      <c r="N9" s="60"/>
      <c r="O9" s="158" t="s">
        <v>37</v>
      </c>
      <c r="P9" s="79"/>
      <c r="Q9" s="147"/>
      <c r="R9" s="131"/>
      <c r="S9" s="131"/>
      <c r="T9" s="37"/>
      <c r="U9" s="37"/>
      <c r="V9" s="144"/>
      <c r="AE9" s="40"/>
      <c r="AF9" s="19"/>
      <c r="AG9" s="19"/>
    </row>
    <row r="10" spans="1:40" ht="12.4" customHeight="1" x14ac:dyDescent="0.2">
      <c r="A10" s="158" t="str">
        <f>Table!A10</f>
        <v>HH-77445</v>
      </c>
      <c r="B10" s="47"/>
      <c r="C10" s="47"/>
      <c r="D10" s="47"/>
      <c r="E10" s="60"/>
      <c r="F10" s="60"/>
      <c r="G10" s="60"/>
      <c r="H10" s="60"/>
      <c r="I10" s="50" t="str">
        <f>Table!L10</f>
        <v>Porosity, fraction:</v>
      </c>
      <c r="K10" s="47"/>
      <c r="L10" s="47"/>
      <c r="M10" s="77">
        <f>K23</f>
        <v>0.20667681609127561</v>
      </c>
      <c r="N10" s="60"/>
      <c r="O10" s="145" t="s">
        <v>37</v>
      </c>
      <c r="P10" s="64"/>
      <c r="Q10" s="147"/>
      <c r="R10" s="131"/>
      <c r="S10" s="131"/>
      <c r="T10" s="37"/>
      <c r="U10" s="80"/>
      <c r="V10" s="144"/>
      <c r="AE10" s="40"/>
      <c r="AF10" s="19"/>
      <c r="AG10" s="19"/>
    </row>
    <row r="11" spans="1:40" ht="12.4" customHeight="1" x14ac:dyDescent="0.2">
      <c r="A11" s="173" t="s">
        <v>95</v>
      </c>
      <c r="B11" s="47"/>
      <c r="C11" s="47"/>
      <c r="D11" s="47"/>
      <c r="E11" s="60"/>
      <c r="F11" s="60"/>
      <c r="G11" s="60"/>
      <c r="H11" s="47"/>
      <c r="I11" s="143" t="str">
        <f>Table!L11</f>
        <v>Grain Density, grams/cc:</v>
      </c>
      <c r="M11" s="84">
        <f>L23</f>
        <v>2.6387621396910372</v>
      </c>
      <c r="N11" s="60"/>
      <c r="O11" s="145" t="s">
        <v>37</v>
      </c>
      <c r="P11" s="64"/>
      <c r="Q11" s="131"/>
      <c r="R11" s="88"/>
      <c r="S11" s="72"/>
      <c r="T11" s="72"/>
      <c r="U11" s="94"/>
      <c r="V11" s="63"/>
      <c r="AE11" s="40"/>
      <c r="AF11" s="19"/>
      <c r="AG11" s="19"/>
    </row>
    <row r="12" spans="1:40" ht="12.4" customHeight="1" x14ac:dyDescent="0.2">
      <c r="A12" s="158"/>
      <c r="B12" s="47"/>
      <c r="C12" s="47"/>
      <c r="D12" s="47"/>
      <c r="E12" s="47"/>
      <c r="F12" s="47"/>
      <c r="G12" s="47"/>
      <c r="H12" s="47"/>
      <c r="I12" s="47"/>
      <c r="J12" s="50"/>
      <c r="K12" s="47"/>
      <c r="L12" s="47"/>
      <c r="M12" s="77"/>
      <c r="N12" s="60"/>
      <c r="O12" s="10"/>
      <c r="P12" s="104"/>
      <c r="Q12" s="131"/>
      <c r="R12" s="147"/>
      <c r="S12" s="131"/>
      <c r="T12" s="129"/>
      <c r="U12" s="147"/>
      <c r="V12" s="63"/>
      <c r="AE12" s="19"/>
      <c r="AF12" s="19"/>
      <c r="AG12" s="19"/>
    </row>
    <row r="13" spans="1:40" ht="12.4" customHeight="1" x14ac:dyDescent="0.2">
      <c r="A13" s="121"/>
      <c r="B13" s="121" t="s">
        <v>56</v>
      </c>
      <c r="C13" s="121" t="s">
        <v>55</v>
      </c>
      <c r="D13" s="121" t="s">
        <v>56</v>
      </c>
      <c r="E13" s="121" t="s">
        <v>55</v>
      </c>
      <c r="F13" s="121" t="s">
        <v>90</v>
      </c>
      <c r="G13" s="135"/>
      <c r="H13" s="135"/>
      <c r="N13" s="60"/>
      <c r="O13" s="10"/>
      <c r="P13" s="104"/>
      <c r="Q13" s="131"/>
      <c r="R13" s="131"/>
      <c r="S13" s="131"/>
      <c r="T13" s="129"/>
      <c r="U13" s="131"/>
      <c r="V13" s="63"/>
      <c r="AE13" s="19"/>
      <c r="AF13" s="19"/>
      <c r="AG13" s="19"/>
    </row>
    <row r="14" spans="1:40" ht="12.4" customHeight="1" x14ac:dyDescent="0.2">
      <c r="A14" s="128" t="s">
        <v>84</v>
      </c>
      <c r="B14" s="128" t="s">
        <v>61</v>
      </c>
      <c r="C14" s="128" t="s">
        <v>61</v>
      </c>
      <c r="D14" s="128" t="s">
        <v>61</v>
      </c>
      <c r="E14" s="128" t="s">
        <v>61</v>
      </c>
      <c r="F14" s="128" t="s">
        <v>48</v>
      </c>
      <c r="G14" s="135"/>
      <c r="H14" s="135"/>
      <c r="I14" s="124"/>
      <c r="J14" s="124"/>
      <c r="K14" s="124"/>
      <c r="L14" s="124"/>
      <c r="M14" s="124"/>
      <c r="N14" s="60"/>
      <c r="O14" s="10"/>
      <c r="P14" s="104"/>
      <c r="Q14" s="131"/>
      <c r="R14" s="131"/>
      <c r="S14" s="131"/>
      <c r="T14" s="129"/>
      <c r="U14" s="131"/>
      <c r="V14" s="63"/>
      <c r="AE14" s="19"/>
      <c r="AF14" s="19"/>
      <c r="AG14" s="19"/>
    </row>
    <row r="15" spans="1:40" ht="12.4" customHeight="1" x14ac:dyDescent="0.2">
      <c r="A15" s="128" t="s">
        <v>76</v>
      </c>
      <c r="B15" s="128" t="s">
        <v>3</v>
      </c>
      <c r="C15" s="128" t="s">
        <v>3</v>
      </c>
      <c r="D15" s="128" t="s">
        <v>5</v>
      </c>
      <c r="E15" s="128" t="s">
        <v>5</v>
      </c>
      <c r="F15" s="128" t="s">
        <v>5</v>
      </c>
      <c r="G15" s="135"/>
      <c r="H15" s="135"/>
      <c r="I15" s="135"/>
      <c r="J15" s="135"/>
      <c r="K15" s="135"/>
      <c r="L15" s="124"/>
      <c r="M15" s="124"/>
      <c r="N15" s="47"/>
      <c r="O15" s="10"/>
      <c r="P15" s="104"/>
      <c r="Q15" s="131"/>
      <c r="R15" s="131"/>
      <c r="S15" s="131"/>
      <c r="T15" s="129"/>
      <c r="U15" s="131"/>
      <c r="V15" s="63"/>
      <c r="AE15" s="19"/>
      <c r="AF15" s="19"/>
      <c r="AG15" s="19"/>
    </row>
    <row r="16" spans="1:40" ht="12.4" customHeight="1" x14ac:dyDescent="0.2">
      <c r="A16" s="115" t="s">
        <v>47</v>
      </c>
      <c r="B16" s="115" t="s">
        <v>34</v>
      </c>
      <c r="C16" s="115" t="s">
        <v>34</v>
      </c>
      <c r="D16" s="115" t="s">
        <v>24</v>
      </c>
      <c r="E16" s="115" t="s">
        <v>24</v>
      </c>
      <c r="F16" s="115" t="s">
        <v>24</v>
      </c>
      <c r="G16" s="135"/>
      <c r="H16" s="135"/>
      <c r="I16" s="135"/>
      <c r="J16" s="135"/>
      <c r="K16" s="135"/>
      <c r="L16" s="135"/>
      <c r="M16" s="135"/>
      <c r="N16" s="47"/>
      <c r="O16" s="104"/>
      <c r="P16" s="104"/>
      <c r="Q16" s="147"/>
      <c r="R16" s="63"/>
      <c r="S16" s="63"/>
      <c r="T16" s="63"/>
      <c r="U16" s="63"/>
      <c r="V16" s="63"/>
      <c r="AE16" s="19"/>
      <c r="AF16" s="19"/>
      <c r="AG16" s="19"/>
    </row>
    <row r="17" spans="1:35" ht="12.4" customHeight="1" x14ac:dyDescent="0.2">
      <c r="A17" s="60"/>
      <c r="B17" s="60"/>
      <c r="E17" s="60"/>
      <c r="F17" s="60"/>
      <c r="G17" s="60"/>
      <c r="H17" s="60"/>
      <c r="I17" s="60"/>
      <c r="J17" s="60"/>
      <c r="K17" s="60"/>
      <c r="L17" s="60"/>
      <c r="M17" s="60"/>
      <c r="N17" s="47"/>
      <c r="O17" s="104"/>
      <c r="P17" s="104"/>
      <c r="Q17" s="136"/>
      <c r="R17" s="147"/>
      <c r="S17" s="147"/>
      <c r="T17" s="156"/>
      <c r="U17" s="63"/>
      <c r="V17" s="63"/>
      <c r="AE17" s="19"/>
      <c r="AF17" s="19"/>
      <c r="AG17" s="19"/>
    </row>
    <row r="18" spans="1:35" ht="12.4" customHeight="1" x14ac:dyDescent="0.2">
      <c r="A18" s="31">
        <v>1.4870243072509766</v>
      </c>
      <c r="B18" s="110">
        <v>0</v>
      </c>
      <c r="C18" s="27">
        <f t="shared" ref="C18:C49" si="0">IF(B18-I$27&lt;0,0,B18-I$27)</f>
        <v>0</v>
      </c>
      <c r="D18" s="27">
        <f t="shared" ref="D18:D136" si="1">B18/$B$136</f>
        <v>0</v>
      </c>
      <c r="E18" s="27">
        <f t="shared" ref="E18:E49" si="2">C18/$H$23</f>
        <v>0</v>
      </c>
      <c r="F18" s="27">
        <f t="shared" ref="F18:F136" si="3">E18-E17</f>
        <v>0</v>
      </c>
      <c r="G18" s="27"/>
      <c r="H18" s="83" t="s">
        <v>75</v>
      </c>
      <c r="I18" s="65"/>
      <c r="J18" s="65"/>
      <c r="K18" s="65"/>
      <c r="L18" s="65"/>
      <c r="M18" s="89"/>
      <c r="O18" s="31"/>
      <c r="P18" s="104"/>
      <c r="Q18" s="61"/>
      <c r="R18" s="159"/>
      <c r="S18" s="29"/>
      <c r="T18" s="109"/>
      <c r="U18" s="109"/>
      <c r="V18" s="109"/>
      <c r="W18" s="119"/>
      <c r="X18" s="61"/>
      <c r="AG18" s="19"/>
      <c r="AH18" s="19"/>
      <c r="AI18" s="19"/>
    </row>
    <row r="19" spans="1:35" ht="12.4" customHeight="1" x14ac:dyDescent="0.2">
      <c r="A19" s="31">
        <v>1.5743272304534912</v>
      </c>
      <c r="B19" s="110">
        <v>0</v>
      </c>
      <c r="C19" s="27">
        <f t="shared" si="0"/>
        <v>0</v>
      </c>
      <c r="D19" s="27">
        <f t="shared" si="1"/>
        <v>0</v>
      </c>
      <c r="E19" s="27">
        <f t="shared" si="2"/>
        <v>0</v>
      </c>
      <c r="F19" s="27">
        <f t="shared" si="3"/>
        <v>0</v>
      </c>
      <c r="G19" s="27"/>
      <c r="H19" s="121" t="s">
        <v>88</v>
      </c>
      <c r="I19" s="121" t="s">
        <v>2</v>
      </c>
      <c r="J19" s="121" t="s">
        <v>83</v>
      </c>
      <c r="K19" s="121"/>
      <c r="L19" s="121" t="s">
        <v>83</v>
      </c>
      <c r="M19" s="121" t="s">
        <v>15</v>
      </c>
      <c r="O19" s="31"/>
      <c r="P19" s="104"/>
      <c r="Q19" s="61"/>
      <c r="R19" s="159"/>
      <c r="S19" s="135"/>
      <c r="T19" s="135"/>
      <c r="U19" s="135"/>
      <c r="V19" s="135"/>
      <c r="W19" s="119"/>
      <c r="X19" s="61"/>
      <c r="AG19" s="19"/>
      <c r="AH19" s="19"/>
      <c r="AI19" s="19"/>
    </row>
    <row r="20" spans="1:35" ht="12.4" customHeight="1" x14ac:dyDescent="0.2">
      <c r="A20" s="31">
        <v>1.7827692031860352</v>
      </c>
      <c r="B20" s="110">
        <v>0</v>
      </c>
      <c r="C20" s="27">
        <f t="shared" si="0"/>
        <v>0</v>
      </c>
      <c r="D20" s="27">
        <f t="shared" si="1"/>
        <v>0</v>
      </c>
      <c r="E20" s="27">
        <f t="shared" si="2"/>
        <v>0</v>
      </c>
      <c r="F20" s="27">
        <f t="shared" si="3"/>
        <v>0</v>
      </c>
      <c r="G20" s="27"/>
      <c r="H20" s="128" t="s">
        <v>3</v>
      </c>
      <c r="I20" s="128" t="s">
        <v>3</v>
      </c>
      <c r="J20" s="128" t="s">
        <v>3</v>
      </c>
      <c r="K20" s="128" t="s">
        <v>60</v>
      </c>
      <c r="L20" s="128" t="s">
        <v>38</v>
      </c>
      <c r="M20" s="128" t="s">
        <v>9</v>
      </c>
      <c r="O20" s="31"/>
      <c r="P20" s="104"/>
      <c r="Q20" s="61"/>
      <c r="R20" s="159"/>
      <c r="S20" s="135"/>
      <c r="T20" s="135"/>
      <c r="U20" s="135"/>
      <c r="V20" s="135"/>
      <c r="W20" s="119"/>
      <c r="X20" s="61"/>
      <c r="AG20" s="19"/>
      <c r="AH20" s="19"/>
      <c r="AI20" s="19"/>
    </row>
    <row r="21" spans="1:35" ht="12.4" customHeight="1" x14ac:dyDescent="0.2">
      <c r="A21" s="31">
        <v>1.9782832860946655</v>
      </c>
      <c r="B21" s="110">
        <v>0</v>
      </c>
      <c r="C21" s="27">
        <f t="shared" si="0"/>
        <v>0</v>
      </c>
      <c r="D21" s="27">
        <f t="shared" si="1"/>
        <v>0</v>
      </c>
      <c r="E21" s="27">
        <f t="shared" si="2"/>
        <v>0</v>
      </c>
      <c r="F21" s="27">
        <f t="shared" si="3"/>
        <v>0</v>
      </c>
      <c r="G21" s="27"/>
      <c r="H21" s="115" t="s">
        <v>34</v>
      </c>
      <c r="I21" s="115" t="s">
        <v>34</v>
      </c>
      <c r="J21" s="115" t="s">
        <v>34</v>
      </c>
      <c r="K21" s="115" t="s">
        <v>24</v>
      </c>
      <c r="L21" s="115" t="s">
        <v>25</v>
      </c>
      <c r="M21" s="115" t="s">
        <v>18</v>
      </c>
      <c r="O21" s="31"/>
      <c r="P21" s="104"/>
      <c r="Q21" s="61"/>
      <c r="R21" s="159"/>
      <c r="S21" s="135"/>
      <c r="T21" s="135"/>
      <c r="U21" s="135"/>
      <c r="V21" s="135"/>
      <c r="W21" s="119"/>
      <c r="X21" s="61"/>
      <c r="AG21" s="138"/>
      <c r="AH21" s="19"/>
      <c r="AI21" s="19"/>
    </row>
    <row r="22" spans="1:35" ht="12.4" customHeight="1" x14ac:dyDescent="0.2">
      <c r="A22" s="31">
        <v>2.1413979530334473</v>
      </c>
      <c r="B22" s="110">
        <v>0</v>
      </c>
      <c r="C22" s="27">
        <f t="shared" si="0"/>
        <v>0</v>
      </c>
      <c r="D22" s="27">
        <f t="shared" si="1"/>
        <v>0</v>
      </c>
      <c r="E22" s="27">
        <f t="shared" si="2"/>
        <v>0</v>
      </c>
      <c r="F22" s="27">
        <f t="shared" si="3"/>
        <v>0</v>
      </c>
      <c r="G22" s="27"/>
      <c r="H22" s="123"/>
      <c r="I22" s="31"/>
      <c r="J22" s="31"/>
      <c r="K22" s="31"/>
      <c r="L22" s="31"/>
      <c r="M22" s="31"/>
      <c r="O22" s="31"/>
      <c r="P22" s="104"/>
      <c r="Q22" s="61"/>
      <c r="R22" s="159"/>
      <c r="S22" s="42"/>
      <c r="T22" s="119"/>
      <c r="U22" s="119"/>
      <c r="V22" s="119"/>
      <c r="W22" s="119"/>
      <c r="X22" s="61"/>
      <c r="AG22" s="138"/>
      <c r="AH22" s="19"/>
      <c r="AI22" s="19"/>
    </row>
    <row r="23" spans="1:35" ht="12.4" customHeight="1" x14ac:dyDescent="0.2">
      <c r="A23" s="31">
        <v>2.3331613540649414</v>
      </c>
      <c r="B23" s="110">
        <v>1.850853216201358E-4</v>
      </c>
      <c r="C23" s="27">
        <f t="shared" si="0"/>
        <v>0</v>
      </c>
      <c r="D23" s="27">
        <f t="shared" si="1"/>
        <v>1.5226867834387272E-4</v>
      </c>
      <c r="E23" s="27">
        <f t="shared" si="2"/>
        <v>0</v>
      </c>
      <c r="F23" s="27">
        <f t="shared" si="3"/>
        <v>0</v>
      </c>
      <c r="G23" s="27"/>
      <c r="H23" s="126">
        <f>C136</f>
        <v>1.2144560158228268</v>
      </c>
      <c r="I23" s="126">
        <f>(Table!AJ5-(Table!AJ4-Table!AJ2-'Raw Data'!M23)/Table!AJ3)-'Raw Data'!I27</f>
        <v>5.8761115000265978</v>
      </c>
      <c r="J23" s="126">
        <f>I23-H23</f>
        <v>4.661655484203771</v>
      </c>
      <c r="K23" s="112">
        <f>H23/I23</f>
        <v>0.20667681609127561</v>
      </c>
      <c r="L23" s="126">
        <f>M23/J23</f>
        <v>2.6387621396910372</v>
      </c>
      <c r="M23" s="126">
        <v>12.301</v>
      </c>
      <c r="O23" s="36"/>
      <c r="P23" s="104"/>
      <c r="Q23" s="61"/>
      <c r="R23" s="159"/>
      <c r="S23" s="32"/>
      <c r="T23" s="32"/>
      <c r="U23" s="32"/>
      <c r="V23" s="32"/>
      <c r="W23" s="119"/>
      <c r="X23" s="61"/>
      <c r="AG23" s="138"/>
      <c r="AH23" s="19"/>
      <c r="AI23" s="19"/>
    </row>
    <row r="24" spans="1:35" ht="12.4" customHeight="1" x14ac:dyDescent="0.2">
      <c r="A24" s="31">
        <v>2.5605959892272949</v>
      </c>
      <c r="B24" s="110">
        <v>1.850853216201358E-4</v>
      </c>
      <c r="C24" s="27">
        <f t="shared" si="0"/>
        <v>0</v>
      </c>
      <c r="D24" s="27">
        <f t="shared" si="1"/>
        <v>1.5226867834387272E-4</v>
      </c>
      <c r="E24" s="27">
        <f t="shared" si="2"/>
        <v>0</v>
      </c>
      <c r="F24" s="27">
        <f t="shared" si="3"/>
        <v>0</v>
      </c>
      <c r="G24" s="27"/>
      <c r="H24" s="123"/>
      <c r="I24" s="31"/>
      <c r="J24" s="31"/>
      <c r="K24" s="31"/>
      <c r="L24" s="31"/>
      <c r="M24" s="142"/>
      <c r="O24" s="31"/>
      <c r="P24" s="104"/>
      <c r="Q24" s="61"/>
      <c r="R24" s="159"/>
      <c r="S24" s="63"/>
      <c r="T24" s="63"/>
      <c r="U24" s="63"/>
      <c r="V24" s="63"/>
      <c r="W24" s="119"/>
      <c r="X24" s="61"/>
      <c r="AG24" s="138"/>
      <c r="AH24" s="19"/>
      <c r="AI24" s="19"/>
    </row>
    <row r="25" spans="1:35" ht="12.4" customHeight="1" x14ac:dyDescent="0.2">
      <c r="A25" s="31">
        <v>2.8037517070770264</v>
      </c>
      <c r="B25" s="110">
        <v>2.7927380414257639E-4</v>
      </c>
      <c r="C25" s="27">
        <f t="shared" si="0"/>
        <v>0</v>
      </c>
      <c r="D25" s="27">
        <f t="shared" si="1"/>
        <v>2.2975702600626613E-4</v>
      </c>
      <c r="E25" s="27">
        <f t="shared" si="2"/>
        <v>0</v>
      </c>
      <c r="F25" s="27">
        <f t="shared" si="3"/>
        <v>0</v>
      </c>
      <c r="G25" s="27"/>
      <c r="I25" s="164" t="s">
        <v>35</v>
      </c>
      <c r="J25" s="165"/>
      <c r="K25" s="164" t="s">
        <v>63</v>
      </c>
      <c r="L25" s="165"/>
      <c r="M25" s="42"/>
      <c r="O25" s="31"/>
      <c r="P25" s="104"/>
      <c r="Q25" s="61"/>
      <c r="R25" s="159"/>
      <c r="S25" s="29"/>
      <c r="T25" s="109"/>
      <c r="U25" s="109"/>
      <c r="V25" s="109"/>
      <c r="W25" s="119"/>
      <c r="X25" s="61"/>
      <c r="AG25" s="103"/>
      <c r="AH25" s="19"/>
      <c r="AI25" s="19"/>
    </row>
    <row r="26" spans="1:35" ht="12.4" customHeight="1" x14ac:dyDescent="0.2">
      <c r="A26" s="31">
        <v>3.0767531394958496</v>
      </c>
      <c r="B26" s="110">
        <v>2.7927380414257639E-4</v>
      </c>
      <c r="C26" s="27">
        <f t="shared" si="0"/>
        <v>0</v>
      </c>
      <c r="D26" s="27">
        <f t="shared" si="1"/>
        <v>2.2975702600626613E-4</v>
      </c>
      <c r="E26" s="27">
        <f t="shared" si="2"/>
        <v>0</v>
      </c>
      <c r="F26" s="27">
        <f t="shared" si="3"/>
        <v>0</v>
      </c>
      <c r="G26" s="27"/>
      <c r="I26" s="166" t="s">
        <v>34</v>
      </c>
      <c r="J26" s="167"/>
      <c r="K26" s="166" t="s">
        <v>47</v>
      </c>
      <c r="L26" s="167"/>
      <c r="M26" s="63"/>
      <c r="O26" s="31"/>
      <c r="P26" s="104"/>
      <c r="Q26" s="61"/>
      <c r="R26" s="159"/>
      <c r="S26" s="135"/>
      <c r="T26" s="135"/>
      <c r="U26" s="135"/>
      <c r="V26" s="135"/>
      <c r="W26" s="119"/>
      <c r="X26" s="61"/>
      <c r="AG26" s="103"/>
      <c r="AH26" s="19"/>
      <c r="AI26" s="19"/>
    </row>
    <row r="27" spans="1:35" ht="12.4" customHeight="1" x14ac:dyDescent="0.2">
      <c r="A27" s="31">
        <v>3.3686678409576416</v>
      </c>
      <c r="B27" s="110">
        <v>2.7927380414257639E-4</v>
      </c>
      <c r="C27" s="27">
        <f t="shared" si="0"/>
        <v>0</v>
      </c>
      <c r="D27" s="27">
        <f t="shared" si="1"/>
        <v>2.2975702600626613E-4</v>
      </c>
      <c r="E27" s="27">
        <f t="shared" si="2"/>
        <v>0</v>
      </c>
      <c r="F27" s="27">
        <f t="shared" si="3"/>
        <v>0</v>
      </c>
      <c r="G27" s="27"/>
      <c r="I27" s="33">
        <v>1.0619989993174387E-3</v>
      </c>
      <c r="J27" s="122"/>
      <c r="K27" s="24">
        <f ca="1">LOOKUP(I27,B$18:B$136,OFFSET(A$18:A$136,1,0))</f>
        <v>31.412557601928711</v>
      </c>
      <c r="L27" s="122"/>
      <c r="M27" s="149"/>
      <c r="O27" s="31"/>
      <c r="P27" s="104"/>
      <c r="Q27" s="61"/>
      <c r="R27" s="159"/>
      <c r="S27" s="135"/>
      <c r="T27" s="135"/>
      <c r="U27" s="135"/>
      <c r="V27" s="135"/>
      <c r="W27" s="119"/>
      <c r="X27" s="61"/>
      <c r="AG27" s="103"/>
      <c r="AH27" s="19"/>
      <c r="AI27" s="19"/>
    </row>
    <row r="28" spans="1:35" ht="12.4" customHeight="1" x14ac:dyDescent="0.2">
      <c r="A28" s="31">
        <v>3.6739091873168945</v>
      </c>
      <c r="B28" s="110">
        <v>2.7927380414257639E-4</v>
      </c>
      <c r="C28" s="27">
        <f t="shared" si="0"/>
        <v>0</v>
      </c>
      <c r="D28" s="27">
        <f t="shared" si="1"/>
        <v>2.2975702600626613E-4</v>
      </c>
      <c r="E28" s="27">
        <f t="shared" si="2"/>
        <v>0</v>
      </c>
      <c r="F28" s="27">
        <f t="shared" si="3"/>
        <v>0</v>
      </c>
      <c r="G28" s="27"/>
      <c r="O28" s="31"/>
      <c r="P28" s="104"/>
      <c r="Q28" s="61"/>
      <c r="R28" s="159"/>
      <c r="S28" s="135"/>
      <c r="T28" s="135"/>
      <c r="U28" s="135"/>
      <c r="V28" s="135"/>
      <c r="W28" s="119"/>
      <c r="X28" s="61"/>
      <c r="AG28" s="103"/>
      <c r="AH28" s="19"/>
      <c r="AI28" s="19"/>
    </row>
    <row r="29" spans="1:35" ht="12.4" customHeight="1" x14ac:dyDescent="0.2">
      <c r="A29" s="31">
        <v>4.0173754692077637</v>
      </c>
      <c r="B29" s="110">
        <v>2.7927380414257639E-4</v>
      </c>
      <c r="C29" s="27">
        <f t="shared" si="0"/>
        <v>0</v>
      </c>
      <c r="D29" s="27">
        <f t="shared" si="1"/>
        <v>2.2975702600626613E-4</v>
      </c>
      <c r="E29" s="27">
        <f t="shared" si="2"/>
        <v>0</v>
      </c>
      <c r="F29" s="27">
        <f t="shared" si="3"/>
        <v>0</v>
      </c>
      <c r="G29" s="27"/>
      <c r="O29" s="31"/>
      <c r="P29" s="104"/>
      <c r="Q29" s="61"/>
      <c r="R29" s="159"/>
      <c r="S29" s="42"/>
      <c r="T29" s="119"/>
      <c r="U29" s="119"/>
      <c r="V29" s="119"/>
      <c r="W29" s="119"/>
      <c r="X29" s="61"/>
      <c r="AG29" s="120"/>
      <c r="AH29" s="19"/>
      <c r="AI29" s="19"/>
    </row>
    <row r="30" spans="1:35" ht="12.4" customHeight="1" x14ac:dyDescent="0.2">
      <c r="A30" s="31">
        <v>4.3984284400939941</v>
      </c>
      <c r="B30" s="110">
        <v>2.7927380414257639E-4</v>
      </c>
      <c r="C30" s="27">
        <f t="shared" si="0"/>
        <v>0</v>
      </c>
      <c r="D30" s="27">
        <f t="shared" si="1"/>
        <v>2.2975702600626613E-4</v>
      </c>
      <c r="E30" s="27">
        <f t="shared" si="2"/>
        <v>0</v>
      </c>
      <c r="F30" s="27">
        <f t="shared" si="3"/>
        <v>0</v>
      </c>
      <c r="G30" s="27"/>
      <c r="N30" s="98"/>
      <c r="O30" s="27"/>
      <c r="P30" s="104"/>
      <c r="Q30" s="63"/>
      <c r="R30" s="159"/>
      <c r="S30" s="32"/>
      <c r="T30" s="32"/>
      <c r="U30" s="32"/>
      <c r="V30" s="32"/>
      <c r="W30" s="12"/>
      <c r="X30" s="114"/>
    </row>
    <row r="31" spans="1:35" ht="12.4" customHeight="1" x14ac:dyDescent="0.2">
      <c r="A31" s="31">
        <v>4.8054170608520508</v>
      </c>
      <c r="B31" s="110">
        <v>2.7927380414257639E-4</v>
      </c>
      <c r="C31" s="27">
        <f t="shared" si="0"/>
        <v>0</v>
      </c>
      <c r="D31" s="27">
        <f t="shared" si="1"/>
        <v>2.2975702600626613E-4</v>
      </c>
      <c r="E31" s="27">
        <f t="shared" si="2"/>
        <v>0</v>
      </c>
      <c r="F31" s="27">
        <f t="shared" si="3"/>
        <v>0</v>
      </c>
      <c r="G31" s="27"/>
      <c r="O31" s="74"/>
      <c r="P31" s="104"/>
      <c r="Q31" s="32"/>
      <c r="R31" s="63"/>
      <c r="S31" s="63"/>
      <c r="T31" s="63"/>
      <c r="U31" s="63"/>
      <c r="V31" s="63"/>
    </row>
    <row r="32" spans="1:35" ht="12.4" customHeight="1" x14ac:dyDescent="0.2">
      <c r="A32" s="31">
        <v>5.2477574348449707</v>
      </c>
      <c r="B32" s="110">
        <v>2.7927380414257639E-4</v>
      </c>
      <c r="C32" s="27">
        <f t="shared" si="0"/>
        <v>0</v>
      </c>
      <c r="D32" s="27">
        <f t="shared" si="1"/>
        <v>2.2975702600626613E-4</v>
      </c>
      <c r="E32" s="27">
        <f t="shared" si="2"/>
        <v>0</v>
      </c>
      <c r="F32" s="27">
        <f t="shared" si="3"/>
        <v>0</v>
      </c>
      <c r="G32" s="27"/>
      <c r="N32" s="142"/>
      <c r="O32" s="74"/>
      <c r="P32" s="104"/>
      <c r="Q32" s="32"/>
      <c r="R32" s="63"/>
      <c r="S32" s="63"/>
      <c r="T32" s="63"/>
      <c r="U32" s="63"/>
      <c r="V32" s="63"/>
    </row>
    <row r="33" spans="1:22" ht="12.4" customHeight="1" x14ac:dyDescent="0.2">
      <c r="A33" s="31">
        <v>5.7544183731079102</v>
      </c>
      <c r="B33" s="110">
        <v>4.2350699142480156E-4</v>
      </c>
      <c r="C33" s="27">
        <f t="shared" si="0"/>
        <v>0</v>
      </c>
      <c r="D33" s="27">
        <f t="shared" si="1"/>
        <v>3.484168776279054E-4</v>
      </c>
      <c r="E33" s="27">
        <f t="shared" si="2"/>
        <v>0</v>
      </c>
      <c r="F33" s="27">
        <f t="shared" si="3"/>
        <v>0</v>
      </c>
      <c r="G33" s="27"/>
      <c r="N33" s="142"/>
      <c r="O33" s="74"/>
      <c r="P33" s="104"/>
      <c r="Q33" s="32"/>
      <c r="R33" s="63"/>
      <c r="S33" s="63"/>
      <c r="T33" s="63"/>
      <c r="U33" s="63"/>
      <c r="V33" s="63"/>
    </row>
    <row r="34" spans="1:22" ht="12.4" customHeight="1" x14ac:dyDescent="0.2">
      <c r="A34" s="31">
        <v>6.2851791381835938</v>
      </c>
      <c r="B34" s="110">
        <v>4.2350699142480156E-4</v>
      </c>
      <c r="C34" s="27">
        <f t="shared" si="0"/>
        <v>0</v>
      </c>
      <c r="D34" s="27">
        <f t="shared" si="1"/>
        <v>3.484168776279054E-4</v>
      </c>
      <c r="E34" s="27">
        <f t="shared" si="2"/>
        <v>0</v>
      </c>
      <c r="F34" s="27">
        <f t="shared" si="3"/>
        <v>0</v>
      </c>
      <c r="G34" s="27"/>
      <c r="N34" s="142"/>
      <c r="O34" s="74"/>
      <c r="P34" s="104"/>
      <c r="Q34" s="32"/>
      <c r="R34" s="63"/>
      <c r="S34" s="63"/>
      <c r="T34" s="63"/>
      <c r="U34" s="63"/>
      <c r="V34" s="63"/>
    </row>
    <row r="35" spans="1:22" ht="12.4" customHeight="1" x14ac:dyDescent="0.2">
      <c r="A35" s="31">
        <v>6.876349925994873</v>
      </c>
      <c r="B35" s="110">
        <v>7.68152865308366E-4</v>
      </c>
      <c r="C35" s="27">
        <f t="shared" si="0"/>
        <v>0</v>
      </c>
      <c r="D35" s="27">
        <f t="shared" si="1"/>
        <v>6.3195514664647959E-4</v>
      </c>
      <c r="E35" s="27">
        <f t="shared" si="2"/>
        <v>0</v>
      </c>
      <c r="F35" s="27">
        <f t="shared" si="3"/>
        <v>0</v>
      </c>
      <c r="G35" s="27"/>
      <c r="H35" s="123"/>
      <c r="I35" s="31"/>
      <c r="J35" s="31"/>
      <c r="K35" s="119"/>
      <c r="L35" s="119"/>
      <c r="M35" s="119"/>
      <c r="N35" s="142"/>
      <c r="O35" s="74"/>
      <c r="P35" s="104"/>
      <c r="Q35" s="32"/>
      <c r="R35" s="63"/>
      <c r="S35" s="63"/>
      <c r="T35" s="63"/>
      <c r="U35" s="63"/>
      <c r="V35" s="63"/>
    </row>
    <row r="36" spans="1:22" ht="12.4" customHeight="1" x14ac:dyDescent="0.2">
      <c r="A36" s="31">
        <v>7.5282497406005859</v>
      </c>
      <c r="B36" s="110">
        <v>7.68152865308366E-4</v>
      </c>
      <c r="C36" s="27">
        <f t="shared" si="0"/>
        <v>0</v>
      </c>
      <c r="D36" s="27">
        <f t="shared" si="1"/>
        <v>6.3195514664647959E-4</v>
      </c>
      <c r="E36" s="27">
        <f t="shared" si="2"/>
        <v>0</v>
      </c>
      <c r="F36" s="27">
        <f t="shared" si="3"/>
        <v>0</v>
      </c>
      <c r="G36" s="27"/>
      <c r="H36" s="123"/>
      <c r="I36" s="31"/>
      <c r="J36" s="31"/>
      <c r="K36" s="31"/>
      <c r="L36" s="31"/>
      <c r="M36" s="31"/>
      <c r="N36" s="142"/>
      <c r="O36" s="74"/>
      <c r="P36" s="104"/>
      <c r="Q36" s="32"/>
      <c r="R36" s="63"/>
      <c r="S36" s="63"/>
      <c r="T36" s="63"/>
      <c r="U36" s="63"/>
      <c r="V36" s="63"/>
    </row>
    <row r="37" spans="1:22" ht="12.4" customHeight="1" x14ac:dyDescent="0.2">
      <c r="A37" s="31">
        <v>8.2390432357788086</v>
      </c>
      <c r="B37" s="110">
        <v>8.6671502030003466E-4</v>
      </c>
      <c r="C37" s="27">
        <f t="shared" si="0"/>
        <v>0</v>
      </c>
      <c r="D37" s="27">
        <f t="shared" si="1"/>
        <v>7.1304169064647976E-4</v>
      </c>
      <c r="E37" s="27">
        <f t="shared" si="2"/>
        <v>0</v>
      </c>
      <c r="F37" s="27">
        <f t="shared" si="3"/>
        <v>0</v>
      </c>
      <c r="G37" s="27"/>
      <c r="H37" s="123"/>
      <c r="I37" s="31"/>
      <c r="J37" s="31"/>
      <c r="K37" s="31"/>
      <c r="L37" s="31"/>
      <c r="M37" s="31"/>
      <c r="N37" s="142"/>
      <c r="O37" s="74"/>
      <c r="P37" s="104"/>
      <c r="Q37" s="32"/>
      <c r="R37" s="63"/>
      <c r="S37" s="63"/>
      <c r="T37" s="63"/>
      <c r="U37" s="63"/>
      <c r="V37" s="63"/>
    </row>
    <row r="38" spans="1:22" ht="12.4" customHeight="1" x14ac:dyDescent="0.2">
      <c r="A38" s="31">
        <v>9.0206203460693359</v>
      </c>
      <c r="B38" s="110">
        <v>8.6671502030003466E-4</v>
      </c>
      <c r="C38" s="27">
        <f t="shared" si="0"/>
        <v>0</v>
      </c>
      <c r="D38" s="27">
        <f t="shared" si="1"/>
        <v>7.1304169064647976E-4</v>
      </c>
      <c r="E38" s="27">
        <f t="shared" si="2"/>
        <v>0</v>
      </c>
      <c r="F38" s="27">
        <f t="shared" si="3"/>
        <v>0</v>
      </c>
      <c r="G38" s="27"/>
      <c r="N38" s="142"/>
      <c r="O38" s="74"/>
      <c r="P38" s="104"/>
      <c r="Q38" s="32"/>
      <c r="R38" s="63"/>
      <c r="S38" s="63"/>
      <c r="T38" s="63"/>
      <c r="U38" s="63"/>
      <c r="V38" s="63"/>
    </row>
    <row r="39" spans="1:22" ht="12.4" customHeight="1" x14ac:dyDescent="0.2">
      <c r="A39" s="31">
        <v>9.8639650344848633</v>
      </c>
      <c r="B39" s="110">
        <v>8.6671502030003466E-4</v>
      </c>
      <c r="C39" s="27">
        <f t="shared" si="0"/>
        <v>0</v>
      </c>
      <c r="D39" s="27">
        <f t="shared" si="1"/>
        <v>7.1304169064647976E-4</v>
      </c>
      <c r="E39" s="27">
        <f t="shared" si="2"/>
        <v>0</v>
      </c>
      <c r="F39" s="27">
        <f t="shared" si="3"/>
        <v>0</v>
      </c>
      <c r="G39" s="27"/>
      <c r="N39" s="142"/>
      <c r="O39" s="74"/>
      <c r="P39" s="104"/>
      <c r="Q39" s="32"/>
      <c r="R39" s="63"/>
      <c r="S39" s="63"/>
      <c r="T39" s="63"/>
      <c r="U39" s="63"/>
      <c r="V39" s="63"/>
    </row>
    <row r="40" spans="1:22" ht="12.4" customHeight="1" x14ac:dyDescent="0.2">
      <c r="A40" s="31">
        <v>10.769554138183594</v>
      </c>
      <c r="B40" s="110">
        <v>8.6671502030003466E-4</v>
      </c>
      <c r="C40" s="27">
        <f t="shared" si="0"/>
        <v>0</v>
      </c>
      <c r="D40" s="27">
        <f t="shared" si="1"/>
        <v>7.1304169064647976E-4</v>
      </c>
      <c r="E40" s="27">
        <f t="shared" si="2"/>
        <v>0</v>
      </c>
      <c r="F40" s="27">
        <f t="shared" si="3"/>
        <v>0</v>
      </c>
      <c r="G40" s="27"/>
      <c r="N40" s="142"/>
      <c r="O40" s="74"/>
      <c r="P40" s="104"/>
      <c r="Q40" s="32"/>
      <c r="R40" s="63"/>
      <c r="S40" s="63"/>
      <c r="T40" s="63"/>
      <c r="U40" s="63"/>
      <c r="V40" s="63"/>
    </row>
    <row r="41" spans="1:22" ht="12.4" customHeight="1" x14ac:dyDescent="0.2">
      <c r="A41" s="31">
        <v>11.870817184448242</v>
      </c>
      <c r="B41" s="110">
        <v>8.6671502030003466E-4</v>
      </c>
      <c r="C41" s="27">
        <f t="shared" si="0"/>
        <v>0</v>
      </c>
      <c r="D41" s="27">
        <f t="shared" si="1"/>
        <v>7.1304169064647976E-4</v>
      </c>
      <c r="E41" s="27">
        <f t="shared" si="2"/>
        <v>0</v>
      </c>
      <c r="F41" s="27">
        <f t="shared" si="3"/>
        <v>0</v>
      </c>
      <c r="G41" s="27"/>
      <c r="N41" s="142"/>
      <c r="O41" s="74"/>
      <c r="P41" s="104"/>
      <c r="Q41" s="32"/>
      <c r="R41" s="63"/>
      <c r="S41" s="63"/>
      <c r="T41" s="63"/>
      <c r="U41" s="63"/>
      <c r="V41" s="63"/>
    </row>
    <row r="42" spans="1:22" ht="12.4" customHeight="1" x14ac:dyDescent="0.2">
      <c r="A42" s="31">
        <v>12.87009334564209</v>
      </c>
      <c r="B42" s="110">
        <v>8.6671502030003466E-4</v>
      </c>
      <c r="C42" s="27">
        <f t="shared" si="0"/>
        <v>0</v>
      </c>
      <c r="D42" s="27">
        <f t="shared" si="1"/>
        <v>7.1304169064647976E-4</v>
      </c>
      <c r="E42" s="27">
        <f t="shared" si="2"/>
        <v>0</v>
      </c>
      <c r="F42" s="27">
        <f t="shared" si="3"/>
        <v>0</v>
      </c>
      <c r="G42" s="27"/>
      <c r="H42" s="123"/>
      <c r="I42" s="31"/>
      <c r="J42" s="31"/>
      <c r="K42" s="31"/>
      <c r="L42" s="31"/>
      <c r="M42" s="31"/>
      <c r="N42" s="142"/>
      <c r="O42" s="74"/>
      <c r="P42" s="104"/>
      <c r="Q42" s="32"/>
      <c r="R42" s="63"/>
      <c r="S42" s="63"/>
      <c r="T42" s="63"/>
      <c r="U42" s="63"/>
      <c r="V42" s="63"/>
    </row>
    <row r="43" spans="1:22" ht="12.4" customHeight="1" x14ac:dyDescent="0.2">
      <c r="A43" s="31">
        <v>14.164556503295898</v>
      </c>
      <c r="B43" s="110">
        <v>9.1369814538120404E-4</v>
      </c>
      <c r="C43" s="27">
        <f t="shared" si="0"/>
        <v>0</v>
      </c>
      <c r="D43" s="27">
        <f t="shared" si="1"/>
        <v>7.5169444980615707E-4</v>
      </c>
      <c r="E43" s="27">
        <f t="shared" si="2"/>
        <v>0</v>
      </c>
      <c r="F43" s="27">
        <f t="shared" si="3"/>
        <v>0</v>
      </c>
      <c r="G43" s="27"/>
      <c r="H43" s="123"/>
      <c r="I43" s="31"/>
      <c r="J43" s="31"/>
      <c r="K43" s="31"/>
      <c r="L43" s="31"/>
      <c r="M43" s="108"/>
      <c r="N43" s="142"/>
      <c r="O43" s="74"/>
      <c r="P43" s="104"/>
      <c r="Q43" s="32"/>
      <c r="R43" s="63"/>
      <c r="S43" s="63"/>
      <c r="T43" s="63"/>
      <c r="U43" s="63"/>
      <c r="V43" s="63"/>
    </row>
    <row r="44" spans="1:22" ht="12.4" customHeight="1" x14ac:dyDescent="0.2">
      <c r="A44" s="31">
        <v>15.458779335021973</v>
      </c>
      <c r="B44" s="110">
        <v>9.1369814538120404E-4</v>
      </c>
      <c r="C44" s="27">
        <f t="shared" si="0"/>
        <v>0</v>
      </c>
      <c r="D44" s="27">
        <f t="shared" si="1"/>
        <v>7.5169444980615707E-4</v>
      </c>
      <c r="E44" s="27">
        <f t="shared" si="2"/>
        <v>0</v>
      </c>
      <c r="F44" s="27">
        <f t="shared" si="3"/>
        <v>0</v>
      </c>
      <c r="G44" s="27"/>
      <c r="H44" s="123"/>
      <c r="I44" s="31"/>
      <c r="J44" s="31"/>
      <c r="K44" s="31"/>
      <c r="L44" s="31"/>
      <c r="M44" s="108"/>
      <c r="N44" s="142"/>
      <c r="O44" s="74"/>
      <c r="P44" s="104"/>
      <c r="Q44" s="32"/>
      <c r="R44" s="63"/>
      <c r="S44" s="63"/>
      <c r="T44" s="63"/>
      <c r="U44" s="63"/>
      <c r="V44" s="63"/>
    </row>
    <row r="45" spans="1:22" ht="12.4" customHeight="1" x14ac:dyDescent="0.2">
      <c r="A45" s="31">
        <v>16.856185913085938</v>
      </c>
      <c r="B45" s="110">
        <v>9.1369814538120404E-4</v>
      </c>
      <c r="C45" s="27">
        <f t="shared" si="0"/>
        <v>0</v>
      </c>
      <c r="D45" s="27">
        <f t="shared" si="1"/>
        <v>7.5169444980615707E-4</v>
      </c>
      <c r="E45" s="27">
        <f t="shared" si="2"/>
        <v>0</v>
      </c>
      <c r="F45" s="27">
        <f t="shared" si="3"/>
        <v>0</v>
      </c>
      <c r="G45" s="27"/>
      <c r="H45" s="123"/>
      <c r="I45" s="31"/>
      <c r="J45" s="31"/>
      <c r="K45" s="31"/>
      <c r="L45" s="31"/>
      <c r="M45" s="108"/>
      <c r="N45" s="142"/>
      <c r="O45" s="74"/>
      <c r="P45" s="104"/>
      <c r="Q45" s="32"/>
      <c r="R45" s="63"/>
      <c r="S45" s="63"/>
      <c r="T45" s="63"/>
      <c r="U45" s="63"/>
      <c r="V45" s="63"/>
    </row>
    <row r="46" spans="1:22" ht="12.4" customHeight="1" x14ac:dyDescent="0.2">
      <c r="A46" s="31">
        <v>18.486534118652344</v>
      </c>
      <c r="B46" s="110">
        <v>9.1369814538120404E-4</v>
      </c>
      <c r="C46" s="27">
        <f t="shared" si="0"/>
        <v>0</v>
      </c>
      <c r="D46" s="27">
        <f t="shared" si="1"/>
        <v>7.5169444980615707E-4</v>
      </c>
      <c r="E46" s="27">
        <f t="shared" si="2"/>
        <v>0</v>
      </c>
      <c r="F46" s="27">
        <f t="shared" si="3"/>
        <v>0</v>
      </c>
      <c r="G46" s="27"/>
      <c r="H46" s="123"/>
      <c r="I46" s="31"/>
      <c r="J46" s="31"/>
      <c r="K46" s="31"/>
      <c r="L46" s="31"/>
      <c r="M46" s="108"/>
      <c r="N46" s="142"/>
      <c r="O46" s="74"/>
      <c r="P46" s="104"/>
      <c r="Q46" s="32"/>
      <c r="R46" s="63"/>
      <c r="S46" s="63"/>
      <c r="T46" s="63"/>
      <c r="U46" s="63"/>
      <c r="V46" s="63"/>
    </row>
    <row r="47" spans="1:22" ht="12.4" customHeight="1" x14ac:dyDescent="0.2">
      <c r="A47" s="31">
        <v>20.286380767822266</v>
      </c>
      <c r="B47" s="110">
        <v>1.013262001772091E-3</v>
      </c>
      <c r="C47" s="27">
        <f t="shared" si="0"/>
        <v>0</v>
      </c>
      <c r="D47" s="27">
        <f t="shared" si="1"/>
        <v>8.3360508804993102E-4</v>
      </c>
      <c r="E47" s="27">
        <f t="shared" si="2"/>
        <v>0</v>
      </c>
      <c r="F47" s="27">
        <f t="shared" si="3"/>
        <v>0</v>
      </c>
      <c r="G47" s="27"/>
      <c r="H47" s="123"/>
      <c r="I47" s="31"/>
      <c r="J47" s="31"/>
      <c r="K47" s="31"/>
      <c r="L47" s="31"/>
      <c r="M47" s="108"/>
      <c r="N47" s="142"/>
      <c r="O47" s="74"/>
      <c r="P47" s="104"/>
      <c r="Q47" s="32"/>
      <c r="R47" s="63"/>
      <c r="S47" s="63"/>
      <c r="T47" s="63"/>
      <c r="U47" s="63"/>
      <c r="V47" s="63"/>
    </row>
    <row r="48" spans="1:22" ht="12.4" customHeight="1" x14ac:dyDescent="0.2">
      <c r="A48" s="31">
        <v>22.182947158813477</v>
      </c>
      <c r="B48" s="110">
        <v>1.0619989993174387E-3</v>
      </c>
      <c r="C48" s="27">
        <f t="shared" si="0"/>
        <v>0</v>
      </c>
      <c r="D48" s="27">
        <f t="shared" si="1"/>
        <v>8.7370074846059053E-4</v>
      </c>
      <c r="E48" s="27">
        <f t="shared" si="2"/>
        <v>0</v>
      </c>
      <c r="F48" s="27">
        <f t="shared" si="3"/>
        <v>0</v>
      </c>
      <c r="G48" s="27"/>
      <c r="H48" s="123"/>
      <c r="I48" s="31"/>
      <c r="J48" s="31"/>
      <c r="K48" s="31"/>
      <c r="L48" s="31"/>
      <c r="M48" s="108"/>
      <c r="N48" s="142"/>
      <c r="O48" s="74"/>
      <c r="P48" s="104"/>
      <c r="Q48" s="32"/>
      <c r="R48" s="63"/>
      <c r="S48" s="63"/>
      <c r="T48" s="63"/>
      <c r="U48" s="63"/>
      <c r="V48" s="63"/>
    </row>
    <row r="49" spans="1:22" ht="12.4" customHeight="1" x14ac:dyDescent="0.2">
      <c r="A49" s="31">
        <v>24.289314270019531</v>
      </c>
      <c r="B49" s="110">
        <v>1.0619989993174387E-3</v>
      </c>
      <c r="C49" s="27">
        <f t="shared" si="0"/>
        <v>0</v>
      </c>
      <c r="D49" s="27">
        <f t="shared" si="1"/>
        <v>8.7370074846059053E-4</v>
      </c>
      <c r="E49" s="27">
        <f t="shared" si="2"/>
        <v>0</v>
      </c>
      <c r="F49" s="27">
        <f t="shared" si="3"/>
        <v>0</v>
      </c>
      <c r="G49" s="27"/>
      <c r="H49" s="123"/>
      <c r="I49" s="31"/>
      <c r="J49" s="31"/>
      <c r="K49" s="31"/>
      <c r="L49" s="108"/>
      <c r="M49" s="108"/>
      <c r="N49" s="142"/>
      <c r="O49" s="74"/>
      <c r="P49" s="104"/>
      <c r="Q49" s="32"/>
      <c r="R49" s="63"/>
      <c r="S49" s="63"/>
      <c r="T49" s="63"/>
      <c r="U49" s="63"/>
      <c r="V49" s="63"/>
    </row>
    <row r="50" spans="1:22" ht="12.4" customHeight="1" x14ac:dyDescent="0.2">
      <c r="A50" s="31">
        <v>26.567571640014648</v>
      </c>
      <c r="B50" s="110">
        <v>1.0619989993174387E-3</v>
      </c>
      <c r="C50" s="27">
        <f t="shared" ref="C50:C81" si="4">IF(B50-I$27&lt;0,0,B50-I$27)</f>
        <v>0</v>
      </c>
      <c r="D50" s="27">
        <f t="shared" si="1"/>
        <v>8.7370074846059053E-4</v>
      </c>
      <c r="E50" s="27">
        <f t="shared" ref="E50:E81" si="5">C50/$H$23</f>
        <v>0</v>
      </c>
      <c r="F50" s="27">
        <f t="shared" si="3"/>
        <v>0</v>
      </c>
      <c r="G50" s="27"/>
      <c r="H50" s="123"/>
      <c r="I50" s="31"/>
      <c r="J50" s="31"/>
      <c r="K50" s="31"/>
      <c r="L50" s="108"/>
      <c r="M50" s="108"/>
      <c r="N50" s="142"/>
      <c r="O50" s="74"/>
      <c r="P50" s="104"/>
      <c r="Q50" s="32"/>
      <c r="R50" s="63"/>
      <c r="S50" s="63"/>
      <c r="T50" s="63"/>
      <c r="U50" s="63"/>
      <c r="V50" s="63"/>
    </row>
    <row r="51" spans="1:22" ht="12.4" customHeight="1" x14ac:dyDescent="0.2">
      <c r="A51" s="31">
        <v>28.964254379272461</v>
      </c>
      <c r="B51" s="110">
        <v>1.0619989993174387E-3</v>
      </c>
      <c r="C51" s="27">
        <f t="shared" si="4"/>
        <v>0</v>
      </c>
      <c r="D51" s="27">
        <f t="shared" si="1"/>
        <v>8.7370074846059053E-4</v>
      </c>
      <c r="E51" s="27">
        <f t="shared" si="5"/>
        <v>0</v>
      </c>
      <c r="F51" s="27">
        <f t="shared" si="3"/>
        <v>0</v>
      </c>
      <c r="G51" s="27"/>
      <c r="H51" s="123"/>
      <c r="I51" s="31"/>
      <c r="J51" s="31"/>
      <c r="K51" s="31"/>
      <c r="L51" s="108"/>
      <c r="M51" s="108"/>
      <c r="N51" s="142"/>
      <c r="O51" s="74"/>
      <c r="P51" s="104"/>
      <c r="Q51" s="32"/>
      <c r="R51" s="63"/>
      <c r="S51" s="63"/>
      <c r="T51" s="63"/>
      <c r="U51" s="63"/>
      <c r="V51" s="63"/>
    </row>
    <row r="52" spans="1:22" ht="12.4" customHeight="1" x14ac:dyDescent="0.2">
      <c r="A52" s="31">
        <v>31.412557601928711</v>
      </c>
      <c r="B52" s="110">
        <v>7.7942114235956981E-3</v>
      </c>
      <c r="C52" s="27">
        <f t="shared" si="4"/>
        <v>6.7322124242782597E-3</v>
      </c>
      <c r="D52" s="27">
        <f t="shared" si="1"/>
        <v>6.4122549633591026E-3</v>
      </c>
      <c r="E52" s="27">
        <f t="shared" si="5"/>
        <v>5.5433974854305476E-3</v>
      </c>
      <c r="F52" s="27">
        <f t="shared" si="3"/>
        <v>5.5433974854305476E-3</v>
      </c>
      <c r="G52" s="27"/>
      <c r="H52" s="123"/>
      <c r="I52" s="31"/>
      <c r="J52" s="31"/>
      <c r="K52" s="31"/>
      <c r="L52" s="108"/>
      <c r="M52" s="108"/>
      <c r="N52" s="142"/>
      <c r="O52" s="74"/>
      <c r="P52" s="104"/>
      <c r="Q52" s="32"/>
      <c r="R52" s="63"/>
      <c r="S52" s="63"/>
      <c r="T52" s="63"/>
      <c r="U52" s="63"/>
      <c r="V52" s="63"/>
    </row>
    <row r="53" spans="1:22" ht="12.4" customHeight="1" x14ac:dyDescent="0.2">
      <c r="A53" s="31">
        <v>33.583087921142578</v>
      </c>
      <c r="B53" s="110">
        <v>1.8839457939833666E-2</v>
      </c>
      <c r="C53" s="27">
        <f t="shared" si="4"/>
        <v>1.7777458940516227E-2</v>
      </c>
      <c r="D53" s="27">
        <f t="shared" si="1"/>
        <v>1.5499118655670663E-2</v>
      </c>
      <c r="E53" s="27">
        <f t="shared" si="5"/>
        <v>1.4638207319901592E-2</v>
      </c>
      <c r="F53" s="27">
        <f t="shared" si="3"/>
        <v>9.0948098344710432E-3</v>
      </c>
      <c r="G53" s="27"/>
      <c r="H53" s="123"/>
      <c r="I53" s="31"/>
      <c r="J53" s="31"/>
      <c r="K53" s="31"/>
      <c r="L53" s="108"/>
      <c r="M53" s="108"/>
      <c r="N53" s="142"/>
      <c r="O53" s="74"/>
      <c r="P53" s="104"/>
      <c r="Q53" s="32"/>
      <c r="R53" s="63"/>
      <c r="S53" s="63"/>
      <c r="T53" s="63"/>
      <c r="U53" s="63"/>
      <c r="V53" s="63"/>
    </row>
    <row r="54" spans="1:22" ht="12.4" customHeight="1" x14ac:dyDescent="0.2">
      <c r="A54" s="31">
        <v>36.816993713378906</v>
      </c>
      <c r="B54" s="110">
        <v>5.0990409735113644E-2</v>
      </c>
      <c r="C54" s="27">
        <f t="shared" si="4"/>
        <v>4.9928410735796208E-2</v>
      </c>
      <c r="D54" s="27">
        <f t="shared" si="1"/>
        <v>4.1949530252395811E-2</v>
      </c>
      <c r="E54" s="27">
        <f t="shared" si="5"/>
        <v>4.1111748869693203E-2</v>
      </c>
      <c r="F54" s="27">
        <f t="shared" si="3"/>
        <v>2.6473541549791611E-2</v>
      </c>
      <c r="G54" s="27"/>
      <c r="H54" s="123"/>
      <c r="I54" s="31"/>
      <c r="J54" s="31"/>
      <c r="K54" s="31"/>
      <c r="L54" s="108"/>
      <c r="M54" s="108"/>
      <c r="N54" s="142"/>
      <c r="O54" s="74"/>
      <c r="P54" s="104"/>
      <c r="Q54" s="32"/>
      <c r="R54" s="63"/>
      <c r="S54" s="63"/>
      <c r="T54" s="63"/>
      <c r="U54" s="63"/>
      <c r="V54" s="63"/>
    </row>
    <row r="55" spans="1:22" ht="12.4" customHeight="1" x14ac:dyDescent="0.2">
      <c r="A55" s="31">
        <v>40.039257049560547</v>
      </c>
      <c r="B55" s="110">
        <v>0.10483036920520317</v>
      </c>
      <c r="C55" s="27">
        <f t="shared" si="4"/>
        <v>0.10376837020588572</v>
      </c>
      <c r="D55" s="27">
        <f t="shared" si="1"/>
        <v>8.6243369433353936E-2</v>
      </c>
      <c r="E55" s="27">
        <f t="shared" si="5"/>
        <v>8.5444321452498098E-2</v>
      </c>
      <c r="F55" s="27">
        <f t="shared" si="3"/>
        <v>4.4332572582804895E-2</v>
      </c>
      <c r="G55" s="27"/>
      <c r="H55" s="123"/>
      <c r="I55" s="31"/>
      <c r="J55" s="31"/>
      <c r="K55" s="31"/>
      <c r="L55" s="108"/>
      <c r="M55" s="108"/>
      <c r="N55" s="142"/>
      <c r="O55" s="74"/>
      <c r="P55" s="104"/>
      <c r="Q55" s="32"/>
      <c r="R55" s="63"/>
      <c r="S55" s="63"/>
      <c r="T55" s="63"/>
      <c r="U55" s="63"/>
      <c r="V55" s="63"/>
    </row>
    <row r="56" spans="1:22" ht="12.4" customHeight="1" x14ac:dyDescent="0.2">
      <c r="A56" s="31">
        <v>44.206306457519531</v>
      </c>
      <c r="B56" s="110">
        <v>0.16175712702794773</v>
      </c>
      <c r="C56" s="27">
        <f t="shared" si="4"/>
        <v>0.16069512802863029</v>
      </c>
      <c r="D56" s="27">
        <f t="shared" si="1"/>
        <v>0.13307670067861246</v>
      </c>
      <c r="E56" s="27">
        <f t="shared" si="5"/>
        <v>0.13231860679594476</v>
      </c>
      <c r="F56" s="27">
        <f t="shared" si="3"/>
        <v>4.6874285343446662E-2</v>
      </c>
      <c r="G56" s="27"/>
      <c r="H56" s="123"/>
      <c r="I56" s="31"/>
      <c r="J56" s="31"/>
      <c r="K56" s="31"/>
      <c r="L56" s="108"/>
      <c r="M56" s="108"/>
      <c r="N56" s="142"/>
      <c r="O56" s="74"/>
      <c r="P56" s="104"/>
      <c r="Q56" s="32"/>
      <c r="R56" s="63"/>
      <c r="S56" s="63"/>
      <c r="T56" s="63"/>
      <c r="U56" s="63"/>
      <c r="V56" s="63"/>
    </row>
    <row r="57" spans="1:22" ht="12.4" customHeight="1" x14ac:dyDescent="0.2">
      <c r="A57" s="31">
        <v>48.555126190185547</v>
      </c>
      <c r="B57" s="110">
        <v>0.22518650359100503</v>
      </c>
      <c r="C57" s="27">
        <f t="shared" si="4"/>
        <v>0.22412450459168759</v>
      </c>
      <c r="D57" s="27">
        <f t="shared" si="1"/>
        <v>0.18525970067498715</v>
      </c>
      <c r="E57" s="27">
        <f t="shared" si="5"/>
        <v>0.18454723898735614</v>
      </c>
      <c r="F57" s="27">
        <f t="shared" si="3"/>
        <v>5.2228632191411384E-2</v>
      </c>
      <c r="G57" s="27"/>
      <c r="H57" s="123"/>
      <c r="I57" s="108"/>
      <c r="J57" s="31"/>
      <c r="K57" s="31"/>
      <c r="L57" s="108"/>
      <c r="M57" s="108"/>
      <c r="N57" s="142"/>
      <c r="O57" s="74"/>
      <c r="P57" s="104"/>
      <c r="Q57" s="32"/>
      <c r="R57" s="63"/>
      <c r="S57" s="63"/>
      <c r="T57" s="63"/>
      <c r="U57" s="63"/>
      <c r="V57" s="63"/>
    </row>
    <row r="58" spans="1:22" ht="12.4" customHeight="1" x14ac:dyDescent="0.2">
      <c r="A58" s="31">
        <v>52.642124176025391</v>
      </c>
      <c r="B58" s="110">
        <v>0.28262197392991584</v>
      </c>
      <c r="C58" s="27">
        <f t="shared" si="4"/>
        <v>0.28155997493059842</v>
      </c>
      <c r="D58" s="27">
        <f t="shared" si="1"/>
        <v>0.23251154691546824</v>
      </c>
      <c r="E58" s="27">
        <f t="shared" si="5"/>
        <v>0.23184040530264402</v>
      </c>
      <c r="F58" s="27">
        <f t="shared" si="3"/>
        <v>4.7293166315287877E-2</v>
      </c>
      <c r="G58" s="27"/>
      <c r="H58" s="123"/>
      <c r="I58" s="108"/>
      <c r="J58" s="31"/>
      <c r="K58" s="31"/>
      <c r="L58" s="108"/>
      <c r="M58" s="108"/>
      <c r="N58" s="142"/>
      <c r="O58" s="74"/>
      <c r="P58" s="104"/>
      <c r="Q58" s="32"/>
      <c r="R58" s="63"/>
      <c r="S58" s="63"/>
      <c r="T58" s="63"/>
      <c r="U58" s="63"/>
      <c r="V58" s="63"/>
    </row>
    <row r="59" spans="1:22" ht="12.4" customHeight="1" x14ac:dyDescent="0.2">
      <c r="A59" s="31">
        <v>57.886642456054688</v>
      </c>
      <c r="B59" s="110">
        <v>0.33663721897265714</v>
      </c>
      <c r="C59" s="27">
        <f t="shared" si="4"/>
        <v>0.33557521997333972</v>
      </c>
      <c r="D59" s="27">
        <f t="shared" si="1"/>
        <v>0.27694959257507523</v>
      </c>
      <c r="E59" s="27">
        <f t="shared" si="5"/>
        <v>0.27631731046758284</v>
      </c>
      <c r="F59" s="27">
        <f t="shared" si="3"/>
        <v>4.4476905164938824E-2</v>
      </c>
      <c r="G59" s="27"/>
      <c r="H59" s="123"/>
      <c r="I59" s="108"/>
      <c r="J59" s="31"/>
      <c r="K59" s="31"/>
      <c r="L59" s="108"/>
      <c r="M59" s="108"/>
      <c r="N59" s="142"/>
      <c r="O59" s="74"/>
      <c r="P59" s="104"/>
      <c r="Q59" s="32"/>
      <c r="R59" s="63"/>
      <c r="S59" s="63"/>
      <c r="T59" s="63"/>
      <c r="U59" s="63"/>
      <c r="V59" s="63"/>
    </row>
    <row r="60" spans="1:22" ht="12.4" customHeight="1" x14ac:dyDescent="0.2">
      <c r="A60" s="31">
        <v>63.593708038330078</v>
      </c>
      <c r="B60" s="110">
        <v>0.38811768833919269</v>
      </c>
      <c r="C60" s="27">
        <f t="shared" si="4"/>
        <v>0.38705568933987528</v>
      </c>
      <c r="D60" s="27">
        <f t="shared" si="1"/>
        <v>0.31930229219678197</v>
      </c>
      <c r="E60" s="27">
        <f t="shared" si="5"/>
        <v>0.31870704603298011</v>
      </c>
      <c r="F60" s="27">
        <f t="shared" si="3"/>
        <v>4.2389735565397269E-2</v>
      </c>
      <c r="G60" s="27"/>
      <c r="H60" s="123"/>
      <c r="I60" s="108"/>
      <c r="J60" s="31"/>
      <c r="K60" s="31"/>
      <c r="L60" s="108"/>
      <c r="M60" s="108"/>
      <c r="N60" s="142"/>
      <c r="O60" s="74"/>
      <c r="P60" s="104"/>
      <c r="Q60" s="32"/>
      <c r="R60" s="63"/>
      <c r="S60" s="63"/>
      <c r="T60" s="63"/>
      <c r="U60" s="63"/>
      <c r="V60" s="63"/>
    </row>
    <row r="61" spans="1:22" ht="12.4" customHeight="1" x14ac:dyDescent="0.2">
      <c r="A61" s="31">
        <v>69.513153076171875</v>
      </c>
      <c r="B61" s="110">
        <v>0.43131379070504411</v>
      </c>
      <c r="C61" s="27">
        <f t="shared" si="4"/>
        <v>0.43025179170572669</v>
      </c>
      <c r="D61" s="27">
        <f t="shared" si="1"/>
        <v>0.35483948855184538</v>
      </c>
      <c r="E61" s="27">
        <f t="shared" si="5"/>
        <v>0.35427531841424448</v>
      </c>
      <c r="F61" s="27">
        <f t="shared" si="3"/>
        <v>3.5568272381264365E-2</v>
      </c>
      <c r="G61" s="27"/>
      <c r="H61" s="123"/>
      <c r="I61" s="108"/>
      <c r="J61" s="31"/>
      <c r="K61" s="31"/>
      <c r="L61" s="108"/>
      <c r="M61" s="108"/>
      <c r="N61" s="142"/>
      <c r="O61" s="74"/>
      <c r="P61" s="104"/>
      <c r="Q61" s="32"/>
      <c r="R61" s="63"/>
      <c r="S61" s="63"/>
      <c r="T61" s="63"/>
      <c r="U61" s="63"/>
      <c r="V61" s="63"/>
    </row>
    <row r="62" spans="1:22" ht="12.4" customHeight="1" x14ac:dyDescent="0.2">
      <c r="A62" s="31">
        <v>76.339576721191406</v>
      </c>
      <c r="B62" s="110">
        <v>0.4689679338969181</v>
      </c>
      <c r="C62" s="27">
        <f t="shared" si="4"/>
        <v>0.46790593489760068</v>
      </c>
      <c r="D62" s="27">
        <f t="shared" si="1"/>
        <v>0.3858173455088923</v>
      </c>
      <c r="E62" s="27">
        <f t="shared" si="5"/>
        <v>0.38528026441581892</v>
      </c>
      <c r="F62" s="27">
        <f t="shared" si="3"/>
        <v>3.100494600157444E-2</v>
      </c>
      <c r="G62" s="27"/>
      <c r="H62" s="123"/>
      <c r="I62" s="108"/>
      <c r="J62" s="31"/>
      <c r="K62" s="31"/>
      <c r="L62" s="108"/>
      <c r="M62" s="108"/>
      <c r="N62" s="142"/>
      <c r="O62" s="74"/>
      <c r="P62" s="104"/>
      <c r="Q62" s="32"/>
      <c r="R62" s="63"/>
      <c r="S62" s="63"/>
      <c r="T62" s="63"/>
      <c r="U62" s="63"/>
      <c r="V62" s="63"/>
    </row>
    <row r="63" spans="1:22" ht="12.4" customHeight="1" x14ac:dyDescent="0.2">
      <c r="A63" s="31">
        <v>83.770706176757813</v>
      </c>
      <c r="B63" s="110">
        <v>0.50052371324225164</v>
      </c>
      <c r="C63" s="27">
        <f t="shared" si="4"/>
        <v>0.49946171424293423</v>
      </c>
      <c r="D63" s="27">
        <f t="shared" si="1"/>
        <v>0.41177811199736825</v>
      </c>
      <c r="E63" s="27">
        <f t="shared" si="5"/>
        <v>0.41126373267996486</v>
      </c>
      <c r="F63" s="27">
        <f t="shared" si="3"/>
        <v>2.5983468264145937E-2</v>
      </c>
      <c r="G63" s="27"/>
      <c r="H63" s="123"/>
      <c r="I63" s="108"/>
      <c r="J63" s="31"/>
      <c r="K63" s="31"/>
      <c r="L63" s="108"/>
      <c r="M63" s="108"/>
      <c r="N63" s="142"/>
      <c r="O63" s="74"/>
      <c r="P63" s="104"/>
      <c r="Q63" s="32"/>
      <c r="R63" s="63"/>
      <c r="S63" s="63"/>
      <c r="T63" s="63"/>
      <c r="U63" s="63"/>
      <c r="V63" s="63"/>
    </row>
    <row r="64" spans="1:22" x14ac:dyDescent="0.2">
      <c r="A64" s="31">
        <v>91.8643798828125</v>
      </c>
      <c r="B64" s="110">
        <v>0.52827250601350173</v>
      </c>
      <c r="C64" s="27">
        <f t="shared" si="4"/>
        <v>0.52721050701418426</v>
      </c>
      <c r="D64" s="27">
        <f t="shared" si="1"/>
        <v>0.43460689152418613</v>
      </c>
      <c r="E64" s="27">
        <f t="shared" si="5"/>
        <v>0.4341124751701978</v>
      </c>
      <c r="F64" s="27">
        <f t="shared" si="3"/>
        <v>2.2848742490232943E-2</v>
      </c>
      <c r="G64" s="27"/>
      <c r="H64" s="123"/>
      <c r="I64" s="108"/>
      <c r="J64" s="31"/>
      <c r="K64" s="31"/>
      <c r="L64" s="108"/>
      <c r="M64" s="108"/>
      <c r="N64" s="142"/>
      <c r="O64" s="74"/>
      <c r="P64" s="104"/>
      <c r="Q64" s="32"/>
      <c r="R64" s="63"/>
      <c r="S64" s="63"/>
      <c r="T64" s="63"/>
      <c r="U64" s="63"/>
      <c r="V64" s="63"/>
    </row>
    <row r="65" spans="1:22" x14ac:dyDescent="0.2">
      <c r="A65" s="31">
        <v>99.982963562011719</v>
      </c>
      <c r="B65" s="110">
        <v>0.55208169525115591</v>
      </c>
      <c r="C65" s="27">
        <f t="shared" si="4"/>
        <v>0.55101969625183844</v>
      </c>
      <c r="D65" s="27">
        <f t="shared" si="1"/>
        <v>0.45419458084456032</v>
      </c>
      <c r="E65" s="27">
        <f t="shared" si="5"/>
        <v>0.45371729323478849</v>
      </c>
      <c r="F65" s="27">
        <f t="shared" si="3"/>
        <v>1.960481806459069E-2</v>
      </c>
      <c r="G65" s="27"/>
      <c r="H65" s="123"/>
      <c r="I65" s="108"/>
      <c r="J65" s="31"/>
      <c r="K65" s="31"/>
      <c r="L65" s="108"/>
      <c r="M65" s="108"/>
      <c r="N65" s="142"/>
      <c r="O65" s="74"/>
      <c r="P65" s="104"/>
      <c r="Q65" s="32"/>
      <c r="R65" s="63"/>
      <c r="S65" s="63"/>
      <c r="T65" s="63"/>
      <c r="U65" s="63"/>
      <c r="V65" s="63"/>
    </row>
    <row r="66" spans="1:22" x14ac:dyDescent="0.2">
      <c r="A66" s="31">
        <v>110.15373229980469</v>
      </c>
      <c r="B66" s="110">
        <v>0.57491426643728116</v>
      </c>
      <c r="C66" s="27">
        <f t="shared" si="4"/>
        <v>0.57385226743796369</v>
      </c>
      <c r="D66" s="27">
        <f t="shared" si="1"/>
        <v>0.47297881185364676</v>
      </c>
      <c r="E66" s="27">
        <f t="shared" si="5"/>
        <v>0.47251795039210476</v>
      </c>
      <c r="F66" s="27">
        <f t="shared" si="3"/>
        <v>1.880065715731627E-2</v>
      </c>
      <c r="G66" s="27"/>
      <c r="H66" s="123"/>
      <c r="I66" s="108"/>
      <c r="J66" s="31"/>
      <c r="K66" s="31"/>
      <c r="L66" s="108"/>
      <c r="M66" s="108"/>
      <c r="N66" s="142"/>
      <c r="O66" s="74"/>
      <c r="P66" s="104"/>
      <c r="Q66" s="32"/>
      <c r="R66" s="63"/>
      <c r="S66" s="63"/>
      <c r="T66" s="63"/>
      <c r="U66" s="63"/>
      <c r="V66" s="63"/>
    </row>
    <row r="67" spans="1:22" x14ac:dyDescent="0.2">
      <c r="A67" s="31">
        <v>119.92069244384766</v>
      </c>
      <c r="B67" s="110">
        <v>0.59286810072137819</v>
      </c>
      <c r="C67" s="27">
        <f t="shared" si="4"/>
        <v>0.59180610172206072</v>
      </c>
      <c r="D67" s="27">
        <f t="shared" si="1"/>
        <v>0.48774933278806831</v>
      </c>
      <c r="E67" s="27">
        <f t="shared" si="5"/>
        <v>0.48730138762670305</v>
      </c>
      <c r="F67" s="27">
        <f t="shared" si="3"/>
        <v>1.4783437234598296E-2</v>
      </c>
      <c r="G67" s="27"/>
      <c r="H67" s="123"/>
      <c r="I67" s="108"/>
      <c r="J67" s="31"/>
      <c r="K67" s="108"/>
      <c r="L67" s="108"/>
      <c r="M67" s="108"/>
      <c r="N67" s="142"/>
      <c r="O67" s="74"/>
      <c r="P67" s="104"/>
      <c r="Q67" s="32"/>
      <c r="R67" s="63"/>
      <c r="S67" s="63"/>
      <c r="T67" s="63"/>
      <c r="U67" s="63"/>
      <c r="V67" s="63"/>
    </row>
    <row r="68" spans="1:22" x14ac:dyDescent="0.2">
      <c r="A68" s="31">
        <v>132.232666015625</v>
      </c>
      <c r="B68" s="110">
        <v>0.60954580608754261</v>
      </c>
      <c r="C68" s="27">
        <f t="shared" si="4"/>
        <v>0.60848380708822514</v>
      </c>
      <c r="D68" s="27">
        <f t="shared" si="1"/>
        <v>0.5014699894651351</v>
      </c>
      <c r="E68" s="27">
        <f t="shared" si="5"/>
        <v>0.50103404253464123</v>
      </c>
      <c r="F68" s="27">
        <f t="shared" si="3"/>
        <v>1.373265490793818E-2</v>
      </c>
      <c r="G68" s="27"/>
      <c r="H68" s="123"/>
      <c r="I68" s="108"/>
      <c r="J68" s="31"/>
      <c r="K68" s="108"/>
      <c r="L68" s="108"/>
      <c r="M68" s="108"/>
      <c r="N68" s="142"/>
      <c r="O68" s="74"/>
      <c r="P68" s="104"/>
      <c r="Q68" s="63"/>
      <c r="R68" s="63"/>
      <c r="S68" s="63"/>
      <c r="T68" s="63"/>
      <c r="U68" s="63"/>
      <c r="V68" s="63"/>
    </row>
    <row r="69" spans="1:22" x14ac:dyDescent="0.2">
      <c r="A69" s="31">
        <v>143.73381042480469</v>
      </c>
      <c r="B69" s="110">
        <v>0.62339520504697066</v>
      </c>
      <c r="C69" s="27">
        <f t="shared" si="4"/>
        <v>0.62233320604765319</v>
      </c>
      <c r="D69" s="27">
        <f t="shared" si="1"/>
        <v>0.51286381398319825</v>
      </c>
      <c r="E69" s="27">
        <f t="shared" si="5"/>
        <v>0.51243783055082948</v>
      </c>
      <c r="F69" s="27">
        <f t="shared" si="3"/>
        <v>1.1403788016188243E-2</v>
      </c>
      <c r="G69" s="27"/>
      <c r="H69" s="123"/>
      <c r="I69" s="108"/>
      <c r="J69" s="18"/>
      <c r="K69" s="108"/>
      <c r="L69" s="108"/>
      <c r="M69" s="18"/>
      <c r="N69" s="142"/>
      <c r="O69" s="74"/>
      <c r="P69" s="104"/>
      <c r="Q69" s="63"/>
      <c r="R69" s="63"/>
      <c r="S69" s="63"/>
      <c r="T69" s="63"/>
      <c r="U69" s="63"/>
      <c r="V69" s="63"/>
    </row>
    <row r="70" spans="1:22" x14ac:dyDescent="0.2">
      <c r="A70" s="31">
        <v>158.07861328125</v>
      </c>
      <c r="B70" s="110">
        <v>0.6366375629342983</v>
      </c>
      <c r="C70" s="27">
        <f t="shared" si="4"/>
        <v>0.63557556393498083</v>
      </c>
      <c r="D70" s="27">
        <f t="shared" si="1"/>
        <v>0.52375822914270154</v>
      </c>
      <c r="E70" s="27">
        <f t="shared" si="5"/>
        <v>0.52334177249256841</v>
      </c>
      <c r="F70" s="27">
        <f t="shared" si="3"/>
        <v>1.0903941941738937E-2</v>
      </c>
      <c r="G70" s="27"/>
      <c r="H70" s="123"/>
      <c r="I70" s="108"/>
      <c r="J70" s="18"/>
      <c r="K70" s="108"/>
      <c r="L70" s="108"/>
      <c r="M70" s="18"/>
      <c r="N70" s="142"/>
      <c r="O70" s="74"/>
      <c r="P70" s="104"/>
      <c r="Q70" s="63"/>
      <c r="R70" s="63"/>
      <c r="S70" s="63"/>
      <c r="T70" s="63"/>
      <c r="U70" s="63"/>
      <c r="V70" s="63"/>
    </row>
    <row r="71" spans="1:22" x14ac:dyDescent="0.2">
      <c r="A71" s="31">
        <v>172.76417541503906</v>
      </c>
      <c r="B71" s="110">
        <v>0.64837288075684407</v>
      </c>
      <c r="C71" s="27">
        <f t="shared" si="4"/>
        <v>0.6473108817575266</v>
      </c>
      <c r="D71" s="27">
        <f t="shared" si="1"/>
        <v>0.53341281071158342</v>
      </c>
      <c r="E71" s="27">
        <f t="shared" si="5"/>
        <v>0.53300479665289147</v>
      </c>
      <c r="F71" s="27">
        <f t="shared" si="3"/>
        <v>9.6630241603230527E-3</v>
      </c>
      <c r="G71" s="27"/>
      <c r="H71" s="123"/>
      <c r="I71" s="108"/>
      <c r="J71" s="18"/>
      <c r="K71" s="108"/>
      <c r="L71" s="108"/>
      <c r="M71" s="18"/>
      <c r="N71" s="142"/>
      <c r="O71" s="74"/>
      <c r="P71" s="104"/>
      <c r="Q71" s="63"/>
      <c r="R71" s="63"/>
      <c r="S71" s="63"/>
      <c r="T71" s="63"/>
      <c r="U71" s="63"/>
      <c r="V71" s="63"/>
    </row>
    <row r="72" spans="1:22" x14ac:dyDescent="0.2">
      <c r="A72" s="31">
        <v>188.65345764160156</v>
      </c>
      <c r="B72" s="110">
        <v>0.65854011988638739</v>
      </c>
      <c r="C72" s="27">
        <f t="shared" si="4"/>
        <v>0.65747812088706992</v>
      </c>
      <c r="D72" s="27">
        <f t="shared" si="1"/>
        <v>0.54177734254538845</v>
      </c>
      <c r="E72" s="27">
        <f t="shared" si="5"/>
        <v>0.54137664297509425</v>
      </c>
      <c r="F72" s="27">
        <f t="shared" si="3"/>
        <v>8.3718463222027806E-3</v>
      </c>
      <c r="G72" s="27"/>
      <c r="H72" s="123"/>
      <c r="I72" s="108"/>
      <c r="J72" s="18"/>
      <c r="K72" s="108"/>
      <c r="L72" s="108"/>
      <c r="M72" s="18"/>
      <c r="N72" s="142"/>
      <c r="O72" s="74"/>
      <c r="P72" s="104"/>
      <c r="Q72" s="63"/>
      <c r="R72" s="63"/>
      <c r="S72" s="63"/>
      <c r="T72" s="63"/>
      <c r="U72" s="63"/>
      <c r="V72" s="63"/>
    </row>
    <row r="73" spans="1:22" x14ac:dyDescent="0.2">
      <c r="A73" s="31">
        <v>206.83979797363281</v>
      </c>
      <c r="B73" s="110">
        <v>0.66832467614485724</v>
      </c>
      <c r="C73" s="27">
        <f t="shared" si="4"/>
        <v>0.66726267714553977</v>
      </c>
      <c r="D73" s="27">
        <f t="shared" si="1"/>
        <v>0.5498270432813348</v>
      </c>
      <c r="E73" s="27">
        <f t="shared" si="5"/>
        <v>0.54943338289073507</v>
      </c>
      <c r="F73" s="27">
        <f t="shared" si="3"/>
        <v>8.0567399156408204E-3</v>
      </c>
      <c r="G73" s="27"/>
      <c r="H73" s="123"/>
      <c r="I73" s="108"/>
      <c r="J73" s="18"/>
      <c r="K73" s="108"/>
      <c r="L73" s="108"/>
      <c r="M73" s="18"/>
      <c r="N73" s="142"/>
      <c r="O73" s="74"/>
      <c r="P73" s="104"/>
      <c r="Q73" s="63"/>
      <c r="R73" s="63"/>
      <c r="S73" s="63"/>
      <c r="T73" s="63"/>
      <c r="U73" s="63"/>
      <c r="V73" s="63"/>
    </row>
    <row r="74" spans="1:22" x14ac:dyDescent="0.2">
      <c r="A74" s="31">
        <v>226.971923828125</v>
      </c>
      <c r="B74" s="110">
        <v>0.67736237987874848</v>
      </c>
      <c r="C74" s="27">
        <f t="shared" si="4"/>
        <v>0.67630038087943101</v>
      </c>
      <c r="D74" s="27">
        <f t="shared" si="1"/>
        <v>0.55726231254405623</v>
      </c>
      <c r="E74" s="27">
        <f t="shared" si="5"/>
        <v>0.55687515403447463</v>
      </c>
      <c r="F74" s="27">
        <f t="shared" si="3"/>
        <v>7.4417711437395617E-3</v>
      </c>
      <c r="G74" s="27"/>
      <c r="H74" s="123"/>
      <c r="I74" s="108"/>
      <c r="J74" s="18"/>
      <c r="K74" s="108"/>
      <c r="L74" s="18"/>
      <c r="M74" s="18"/>
      <c r="N74" s="142"/>
      <c r="O74" s="74"/>
      <c r="P74" s="104"/>
      <c r="Q74" s="63"/>
      <c r="R74" s="63"/>
      <c r="S74" s="63"/>
      <c r="T74" s="63"/>
      <c r="U74" s="63"/>
      <c r="V74" s="63"/>
    </row>
    <row r="75" spans="1:22" x14ac:dyDescent="0.2">
      <c r="A75" s="31">
        <v>248.83226013183594</v>
      </c>
      <c r="B75" s="110">
        <v>0.68555924443154437</v>
      </c>
      <c r="C75" s="27">
        <f t="shared" si="4"/>
        <v>0.6844972454322269</v>
      </c>
      <c r="D75" s="27">
        <f t="shared" si="1"/>
        <v>0.56400582802703758</v>
      </c>
      <c r="E75" s="27">
        <f t="shared" si="5"/>
        <v>0.56362456648416492</v>
      </c>
      <c r="F75" s="27">
        <f t="shared" si="3"/>
        <v>6.7494124496902952E-3</v>
      </c>
      <c r="G75" s="27"/>
      <c r="H75" s="123"/>
      <c r="I75" s="108"/>
      <c r="J75" s="18"/>
      <c r="K75" s="108"/>
      <c r="L75" s="18"/>
      <c r="M75" s="18"/>
      <c r="N75" s="142"/>
      <c r="O75" s="74"/>
      <c r="P75" s="104"/>
      <c r="Q75" s="63"/>
      <c r="R75" s="63"/>
      <c r="S75" s="63"/>
      <c r="T75" s="63"/>
      <c r="U75" s="63"/>
      <c r="V75" s="63"/>
    </row>
    <row r="76" spans="1:22" x14ac:dyDescent="0.2">
      <c r="A76" s="31">
        <v>271.87994384765625</v>
      </c>
      <c r="B76" s="110">
        <v>0.69303189390896658</v>
      </c>
      <c r="C76" s="27">
        <f t="shared" si="4"/>
        <v>0.69196989490964911</v>
      </c>
      <c r="D76" s="27">
        <f t="shared" si="1"/>
        <v>0.57015353574201999</v>
      </c>
      <c r="E76" s="27">
        <f t="shared" si="5"/>
        <v>0.56977765015295412</v>
      </c>
      <c r="F76" s="27">
        <f t="shared" si="3"/>
        <v>6.1530836687891943E-3</v>
      </c>
      <c r="G76" s="27"/>
      <c r="H76" s="123"/>
      <c r="I76" s="108"/>
      <c r="J76" s="18"/>
      <c r="K76" s="108"/>
      <c r="L76" s="18"/>
      <c r="M76" s="18"/>
      <c r="N76" s="142"/>
      <c r="O76" s="74"/>
      <c r="P76" s="104"/>
      <c r="Q76" s="63"/>
      <c r="R76" s="63"/>
      <c r="S76" s="63"/>
      <c r="T76" s="63"/>
      <c r="U76" s="63"/>
      <c r="V76" s="63"/>
    </row>
    <row r="77" spans="1:22" x14ac:dyDescent="0.2">
      <c r="A77" s="31">
        <v>297.96575927734375</v>
      </c>
      <c r="B77" s="110">
        <v>0.70024558746441112</v>
      </c>
      <c r="C77" s="27">
        <f t="shared" si="4"/>
        <v>0.69918358846509365</v>
      </c>
      <c r="D77" s="27">
        <f t="shared" si="1"/>
        <v>0.57608820184114817</v>
      </c>
      <c r="E77" s="27">
        <f t="shared" si="5"/>
        <v>0.57571750590850168</v>
      </c>
      <c r="F77" s="27">
        <f t="shared" si="3"/>
        <v>5.9398557555475628E-3</v>
      </c>
      <c r="G77" s="27"/>
      <c r="H77" s="123"/>
      <c r="I77" s="108"/>
      <c r="J77" s="18"/>
      <c r="K77" s="108"/>
      <c r="L77" s="18"/>
      <c r="M77" s="18"/>
      <c r="N77" s="142"/>
      <c r="O77" s="74"/>
      <c r="P77" s="104"/>
      <c r="Q77" s="63"/>
      <c r="R77" s="63"/>
      <c r="S77" s="63"/>
      <c r="T77" s="63"/>
      <c r="U77" s="63"/>
      <c r="V77" s="63"/>
    </row>
    <row r="78" spans="1:22" x14ac:dyDescent="0.2">
      <c r="A78" s="31">
        <v>325.71734619140625</v>
      </c>
      <c r="B78" s="110">
        <v>0.70712311031668285</v>
      </c>
      <c r="C78" s="27">
        <f t="shared" si="4"/>
        <v>0.70606111131736538</v>
      </c>
      <c r="D78" s="27">
        <f t="shared" si="1"/>
        <v>0.58174630214768952</v>
      </c>
      <c r="E78" s="27">
        <f t="shared" si="5"/>
        <v>0.58138055402442046</v>
      </c>
      <c r="F78" s="27">
        <f t="shared" si="3"/>
        <v>5.6630481159187784E-3</v>
      </c>
      <c r="G78" s="27"/>
      <c r="H78" s="123"/>
      <c r="I78" s="108"/>
      <c r="J78" s="18"/>
      <c r="K78" s="108"/>
      <c r="L78" s="18"/>
      <c r="M78" s="18"/>
      <c r="N78" s="142"/>
      <c r="O78" s="74"/>
      <c r="P78" s="104"/>
      <c r="Q78" s="63"/>
      <c r="R78" s="63"/>
      <c r="S78" s="63"/>
      <c r="T78" s="63"/>
      <c r="U78" s="63"/>
      <c r="V78" s="63"/>
    </row>
    <row r="79" spans="1:22" x14ac:dyDescent="0.2">
      <c r="A79" s="31">
        <v>356.8931884765625</v>
      </c>
      <c r="B79" s="110">
        <v>0.71379487983508805</v>
      </c>
      <c r="C79" s="27">
        <f t="shared" si="4"/>
        <v>0.71273288083577058</v>
      </c>
      <c r="D79" s="27">
        <f t="shared" si="1"/>
        <v>0.58723513031563845</v>
      </c>
      <c r="E79" s="27">
        <f t="shared" si="5"/>
        <v>0.58687418197922525</v>
      </c>
      <c r="F79" s="27">
        <f t="shared" si="3"/>
        <v>5.4936279548047917E-3</v>
      </c>
      <c r="G79" s="27"/>
      <c r="H79" s="123"/>
      <c r="I79" s="108"/>
      <c r="J79" s="18"/>
      <c r="K79" s="108"/>
      <c r="L79" s="18"/>
      <c r="M79" s="18"/>
      <c r="N79" s="142"/>
      <c r="O79" s="74"/>
      <c r="P79" s="104"/>
      <c r="Q79" s="63"/>
      <c r="R79" s="63"/>
      <c r="S79" s="63"/>
      <c r="T79" s="63"/>
      <c r="U79" s="63"/>
      <c r="V79" s="63"/>
    </row>
    <row r="80" spans="1:22" x14ac:dyDescent="0.2">
      <c r="A80" s="31">
        <v>391.62069702148437</v>
      </c>
      <c r="B80" s="110">
        <v>0.72029388987271892</v>
      </c>
      <c r="C80" s="27">
        <f t="shared" si="4"/>
        <v>0.71923189087340145</v>
      </c>
      <c r="D80" s="27">
        <f t="shared" si="1"/>
        <v>0.59258183020686284</v>
      </c>
      <c r="E80" s="27">
        <f t="shared" si="5"/>
        <v>0.59222555737113491</v>
      </c>
      <c r="F80" s="27">
        <f t="shared" si="3"/>
        <v>5.3513753919096629E-3</v>
      </c>
      <c r="G80" s="27"/>
      <c r="H80" s="123"/>
      <c r="I80" s="108"/>
      <c r="J80" s="18"/>
      <c r="K80" s="108"/>
      <c r="L80" s="18"/>
      <c r="M80" s="18"/>
      <c r="N80" s="142"/>
      <c r="O80" s="74"/>
      <c r="P80" s="104"/>
      <c r="Q80" s="63"/>
      <c r="R80" s="63"/>
      <c r="S80" s="63"/>
      <c r="T80" s="63"/>
      <c r="U80" s="63"/>
      <c r="V80" s="63"/>
    </row>
    <row r="81" spans="1:22" x14ac:dyDescent="0.2">
      <c r="A81" s="31">
        <v>428.0755615234375</v>
      </c>
      <c r="B81" s="110">
        <v>0.7267112401239465</v>
      </c>
      <c r="C81" s="27">
        <f t="shared" si="4"/>
        <v>0.72564924112462903</v>
      </c>
      <c r="D81" s="27">
        <f t="shared" si="1"/>
        <v>0.59786134903996435</v>
      </c>
      <c r="E81" s="27">
        <f t="shared" si="5"/>
        <v>0.59750969295745304</v>
      </c>
      <c r="F81" s="27">
        <f t="shared" si="3"/>
        <v>5.2841355863181283E-3</v>
      </c>
      <c r="G81" s="27"/>
      <c r="H81" s="123"/>
      <c r="I81" s="108"/>
      <c r="J81" s="18"/>
      <c r="K81" s="108"/>
      <c r="L81" s="18"/>
      <c r="M81" s="18"/>
      <c r="N81" s="142"/>
      <c r="O81" s="74"/>
      <c r="P81" s="104"/>
      <c r="Q81" s="63"/>
      <c r="R81" s="63"/>
      <c r="S81" s="63"/>
      <c r="T81" s="63"/>
      <c r="U81" s="63"/>
      <c r="V81" s="63"/>
    </row>
    <row r="82" spans="1:22" x14ac:dyDescent="0.2">
      <c r="A82" s="31">
        <v>467.8653564453125</v>
      </c>
      <c r="B82" s="110">
        <v>0.73293892154468998</v>
      </c>
      <c r="C82" s="27">
        <f t="shared" ref="C82:C113" si="6">IF(B82-I$27&lt;0,0,B82-I$27)</f>
        <v>0.73187692254537251</v>
      </c>
      <c r="D82" s="27">
        <f t="shared" si="1"/>
        <v>0.60298482836713385</v>
      </c>
      <c r="E82" s="27">
        <f t="shared" ref="E82:E113" si="7">C82/$H$23</f>
        <v>0.60263765258678892</v>
      </c>
      <c r="F82" s="27">
        <f t="shared" si="3"/>
        <v>5.1279596293358765E-3</v>
      </c>
      <c r="G82" s="27"/>
      <c r="H82" s="123"/>
      <c r="I82" s="108"/>
      <c r="J82" s="18"/>
      <c r="K82" s="108"/>
      <c r="L82" s="18"/>
      <c r="M82" s="18"/>
      <c r="N82" s="142"/>
      <c r="O82" s="74"/>
      <c r="P82" s="104"/>
      <c r="Q82" s="63"/>
      <c r="R82" s="63"/>
      <c r="S82" s="63"/>
      <c r="T82" s="63"/>
      <c r="U82" s="63"/>
      <c r="V82" s="63"/>
    </row>
    <row r="83" spans="1:22" x14ac:dyDescent="0.2">
      <c r="A83" s="31">
        <v>511.60244750976563</v>
      </c>
      <c r="B83" s="110">
        <v>0.73923025360702377</v>
      </c>
      <c r="C83" s="27">
        <f t="shared" si="6"/>
        <v>0.7381682546077063</v>
      </c>
      <c r="D83" s="27">
        <f t="shared" si="1"/>
        <v>0.60816067272782348</v>
      </c>
      <c r="E83" s="27">
        <f t="shared" si="7"/>
        <v>0.60781802304102162</v>
      </c>
      <c r="F83" s="27">
        <f t="shared" si="3"/>
        <v>5.1803704542326967E-3</v>
      </c>
      <c r="G83" s="27"/>
      <c r="H83" s="123"/>
      <c r="I83" s="18"/>
      <c r="J83" s="18"/>
      <c r="K83" s="108"/>
      <c r="L83" s="18"/>
      <c r="M83" s="18"/>
      <c r="N83" s="142"/>
      <c r="O83" s="74"/>
      <c r="P83" s="104"/>
      <c r="Q83" s="63"/>
      <c r="R83" s="63"/>
      <c r="S83" s="63"/>
      <c r="T83" s="63"/>
      <c r="U83" s="63"/>
      <c r="V83" s="63"/>
    </row>
    <row r="84" spans="1:22" x14ac:dyDescent="0.2">
      <c r="A84" s="31">
        <v>560.50360107421875</v>
      </c>
      <c r="B84" s="110">
        <v>0.74552575572579005</v>
      </c>
      <c r="C84" s="27">
        <f t="shared" si="6"/>
        <v>0.74446375672647258</v>
      </c>
      <c r="D84" s="27">
        <f t="shared" si="1"/>
        <v>0.61333994777105472</v>
      </c>
      <c r="E84" s="27">
        <f t="shared" si="7"/>
        <v>0.61300182717780705</v>
      </c>
      <c r="F84" s="27">
        <f t="shared" si="3"/>
        <v>5.1838041367854304E-3</v>
      </c>
      <c r="G84" s="27"/>
      <c r="H84" s="123"/>
      <c r="I84" s="18"/>
      <c r="J84" s="18"/>
      <c r="K84" s="108"/>
      <c r="L84" s="18"/>
      <c r="M84" s="18"/>
      <c r="N84" s="142"/>
      <c r="O84" s="74"/>
      <c r="P84" s="104"/>
      <c r="Q84" s="63"/>
      <c r="R84" s="63"/>
      <c r="S84" s="63"/>
      <c r="T84" s="63"/>
      <c r="U84" s="63"/>
      <c r="V84" s="63"/>
    </row>
    <row r="85" spans="1:22" x14ac:dyDescent="0.2">
      <c r="A85" s="31">
        <v>612.85626220703125</v>
      </c>
      <c r="B85" s="110">
        <v>0.75180893097444279</v>
      </c>
      <c r="C85" s="27">
        <f t="shared" si="6"/>
        <v>0.75074693197512532</v>
      </c>
      <c r="D85" s="27">
        <f t="shared" si="1"/>
        <v>0.61850908156589368</v>
      </c>
      <c r="E85" s="27">
        <f t="shared" si="7"/>
        <v>0.61817548119803578</v>
      </c>
      <c r="F85" s="27">
        <f t="shared" si="3"/>
        <v>5.1736540202287351E-3</v>
      </c>
      <c r="G85" s="27"/>
      <c r="H85" s="123"/>
      <c r="I85" s="18"/>
      <c r="J85" s="18"/>
      <c r="K85" s="108"/>
      <c r="L85" s="18"/>
      <c r="M85" s="18"/>
      <c r="N85" s="142"/>
      <c r="O85" s="74"/>
      <c r="P85" s="104"/>
      <c r="Q85" s="63"/>
      <c r="R85" s="63"/>
      <c r="S85" s="63"/>
      <c r="T85" s="63"/>
      <c r="U85" s="63"/>
      <c r="V85" s="63"/>
    </row>
    <row r="86" spans="1:22" x14ac:dyDescent="0.2">
      <c r="A86" s="31">
        <v>670.787109375</v>
      </c>
      <c r="B86" s="110">
        <v>0.75812977420537575</v>
      </c>
      <c r="C86" s="27">
        <f t="shared" si="6"/>
        <v>0.75706777520605828</v>
      </c>
      <c r="D86" s="27">
        <f t="shared" si="1"/>
        <v>0.6237092046030317</v>
      </c>
      <c r="E86" s="27">
        <f t="shared" si="7"/>
        <v>0.62338015155956417</v>
      </c>
      <c r="F86" s="27">
        <f t="shared" si="3"/>
        <v>5.2046703615283851E-3</v>
      </c>
      <c r="G86" s="27"/>
      <c r="H86" s="123"/>
      <c r="I86" s="18"/>
      <c r="J86" s="18"/>
      <c r="K86" s="108"/>
      <c r="L86" s="18"/>
      <c r="M86" s="18"/>
      <c r="N86" s="142"/>
      <c r="O86" s="74"/>
      <c r="P86" s="104"/>
      <c r="Q86" s="63"/>
      <c r="R86" s="63"/>
      <c r="S86" s="63"/>
      <c r="T86" s="63"/>
      <c r="U86" s="63"/>
      <c r="V86" s="63"/>
    </row>
    <row r="87" spans="1:22" x14ac:dyDescent="0.2">
      <c r="A87" s="31">
        <v>733.86871337890625</v>
      </c>
      <c r="B87" s="110">
        <v>0.76462690542637213</v>
      </c>
      <c r="C87" s="27">
        <f t="shared" si="6"/>
        <v>0.76356490642705466</v>
      </c>
      <c r="D87" s="27">
        <f t="shared" si="1"/>
        <v>0.6290543588021219</v>
      </c>
      <c r="E87" s="27">
        <f t="shared" si="7"/>
        <v>0.62872997990768631</v>
      </c>
      <c r="F87" s="27">
        <f t="shared" si="3"/>
        <v>5.3498283481221431E-3</v>
      </c>
      <c r="G87" s="27"/>
      <c r="H87" s="123"/>
      <c r="I87" s="18"/>
      <c r="J87" s="18"/>
      <c r="K87" s="108"/>
      <c r="L87" s="18"/>
      <c r="M87" s="18"/>
      <c r="N87" s="142"/>
      <c r="O87" s="74"/>
      <c r="P87" s="104"/>
      <c r="Q87" s="63"/>
      <c r="R87" s="63"/>
      <c r="S87" s="63"/>
      <c r="T87" s="63"/>
      <c r="U87" s="63"/>
      <c r="V87" s="63"/>
    </row>
    <row r="88" spans="1:22" x14ac:dyDescent="0.2">
      <c r="A88" s="31">
        <v>803.683837890625</v>
      </c>
      <c r="B88" s="110">
        <v>0.77145021754502163</v>
      </c>
      <c r="C88" s="27">
        <f t="shared" si="6"/>
        <v>0.77038821854570416</v>
      </c>
      <c r="D88" s="27">
        <f t="shared" si="1"/>
        <v>0.63466786023562216</v>
      </c>
      <c r="E88" s="27">
        <f t="shared" si="7"/>
        <v>0.63434839015042077</v>
      </c>
      <c r="F88" s="27">
        <f t="shared" si="3"/>
        <v>5.6184102427344618E-3</v>
      </c>
      <c r="G88" s="27"/>
      <c r="H88" s="123"/>
      <c r="I88" s="18"/>
      <c r="J88" s="18"/>
      <c r="K88" s="108"/>
      <c r="L88" s="18"/>
      <c r="M88" s="18"/>
      <c r="N88" s="142"/>
      <c r="O88" s="74"/>
      <c r="P88" s="104"/>
      <c r="Q88" s="63"/>
      <c r="R88" s="63"/>
      <c r="S88" s="63"/>
      <c r="T88" s="63"/>
      <c r="U88" s="63"/>
      <c r="V88" s="63"/>
    </row>
    <row r="89" spans="1:22" x14ac:dyDescent="0.2">
      <c r="A89" s="31">
        <v>878.5648193359375</v>
      </c>
      <c r="B89" s="110">
        <v>0.77844376878066757</v>
      </c>
      <c r="C89" s="27">
        <f t="shared" si="6"/>
        <v>0.7773817697813501</v>
      </c>
      <c r="D89" s="27">
        <f t="shared" si="1"/>
        <v>0.64042141645639883</v>
      </c>
      <c r="E89" s="27">
        <f t="shared" si="7"/>
        <v>0.64010697765340885</v>
      </c>
      <c r="F89" s="27">
        <f t="shared" si="3"/>
        <v>5.7585875029880773E-3</v>
      </c>
      <c r="G89" s="27"/>
      <c r="H89" s="123"/>
      <c r="I89" s="18"/>
      <c r="J89" s="18"/>
      <c r="K89" s="108"/>
      <c r="L89" s="18"/>
      <c r="M89" s="18"/>
      <c r="N89" s="142"/>
      <c r="O89" s="74"/>
      <c r="P89" s="104"/>
      <c r="Q89" s="63"/>
      <c r="R89" s="63"/>
      <c r="S89" s="63"/>
      <c r="T89" s="63"/>
      <c r="U89" s="63"/>
      <c r="V89" s="63"/>
    </row>
    <row r="90" spans="1:22" x14ac:dyDescent="0.2">
      <c r="A90" s="31">
        <v>961.98388671875</v>
      </c>
      <c r="B90" s="110">
        <v>0.78672577580435976</v>
      </c>
      <c r="C90" s="27">
        <f t="shared" si="6"/>
        <v>0.78566377680504229</v>
      </c>
      <c r="D90" s="27">
        <f t="shared" si="1"/>
        <v>0.64723497818292242</v>
      </c>
      <c r="E90" s="27">
        <f t="shared" si="7"/>
        <v>0.64692649759961363</v>
      </c>
      <c r="F90" s="27">
        <f t="shared" si="3"/>
        <v>6.8195199462047773E-3</v>
      </c>
      <c r="G90" s="27"/>
      <c r="H90" s="123"/>
      <c r="I90" s="18"/>
      <c r="J90" s="18"/>
      <c r="K90" s="108"/>
      <c r="L90" s="18"/>
      <c r="M90" s="18"/>
      <c r="N90" s="142"/>
      <c r="O90" s="74"/>
      <c r="P90" s="104"/>
      <c r="Q90" s="63"/>
      <c r="R90" s="63"/>
      <c r="S90" s="63"/>
      <c r="T90" s="63"/>
      <c r="U90" s="63"/>
      <c r="V90" s="63"/>
    </row>
    <row r="91" spans="1:22" x14ac:dyDescent="0.2">
      <c r="A91" s="31">
        <v>1047.2935791015625</v>
      </c>
      <c r="B91" s="110">
        <v>0.79576975753529766</v>
      </c>
      <c r="C91" s="27">
        <f t="shared" si="6"/>
        <v>0.79470775853598019</v>
      </c>
      <c r="D91" s="27">
        <f t="shared" si="1"/>
        <v>0.65467541231936033</v>
      </c>
      <c r="E91" s="27">
        <f t="shared" si="7"/>
        <v>0.65437343813356974</v>
      </c>
      <c r="F91" s="27">
        <f t="shared" si="3"/>
        <v>7.4469405339561145E-3</v>
      </c>
      <c r="G91" s="27"/>
      <c r="H91" s="123"/>
      <c r="I91" s="18"/>
      <c r="J91" s="18"/>
      <c r="K91" s="108"/>
      <c r="L91" s="18"/>
      <c r="M91" s="18"/>
      <c r="N91" s="142"/>
      <c r="O91" s="74"/>
      <c r="P91" s="104"/>
      <c r="Q91" s="63"/>
      <c r="R91" s="63"/>
      <c r="S91" s="63"/>
      <c r="T91" s="63"/>
      <c r="U91" s="63"/>
      <c r="V91" s="63"/>
    </row>
    <row r="92" spans="1:22" x14ac:dyDescent="0.2">
      <c r="A92" s="31">
        <v>1148.138427734375</v>
      </c>
      <c r="B92" s="110">
        <v>0.80790269711240037</v>
      </c>
      <c r="C92" s="27">
        <f t="shared" si="6"/>
        <v>0.8068406981130829</v>
      </c>
      <c r="D92" s="27">
        <f t="shared" si="1"/>
        <v>0.66465711512355774</v>
      </c>
      <c r="E92" s="27">
        <f t="shared" si="7"/>
        <v>0.66436386958520399</v>
      </c>
      <c r="F92" s="27">
        <f t="shared" si="3"/>
        <v>9.9904314516342518E-3</v>
      </c>
      <c r="G92" s="27"/>
      <c r="H92" s="123"/>
      <c r="I92" s="18"/>
      <c r="J92" s="18"/>
      <c r="K92" s="18"/>
      <c r="L92" s="18"/>
      <c r="M92" s="18"/>
      <c r="N92" s="142"/>
      <c r="O92" s="74"/>
      <c r="P92" s="104"/>
      <c r="Q92" s="63"/>
      <c r="R92" s="63"/>
      <c r="S92" s="63"/>
      <c r="T92" s="63"/>
      <c r="U92" s="63"/>
      <c r="V92" s="63"/>
    </row>
    <row r="93" spans="1:22" x14ac:dyDescent="0.2">
      <c r="A93" s="31">
        <v>1257.3497314453125</v>
      </c>
      <c r="B93" s="110">
        <v>0.82394944086297262</v>
      </c>
      <c r="C93" s="27">
        <f t="shared" si="6"/>
        <v>0.82288744186365514</v>
      </c>
      <c r="D93" s="27">
        <f t="shared" si="1"/>
        <v>0.67785868314221054</v>
      </c>
      <c r="E93" s="27">
        <f t="shared" si="7"/>
        <v>0.67757698190998428</v>
      </c>
      <c r="F93" s="27">
        <f t="shared" si="3"/>
        <v>1.3213112324780285E-2</v>
      </c>
      <c r="G93" s="27"/>
      <c r="H93" s="123"/>
      <c r="I93" s="18"/>
      <c r="J93" s="18"/>
      <c r="K93" s="18"/>
      <c r="L93" s="18"/>
      <c r="M93" s="18"/>
      <c r="N93" s="142"/>
      <c r="O93" s="74"/>
      <c r="P93" s="104"/>
      <c r="Q93" s="63"/>
      <c r="R93" s="63"/>
      <c r="S93" s="63"/>
      <c r="T93" s="63"/>
      <c r="U93" s="63"/>
      <c r="V93" s="63"/>
    </row>
    <row r="94" spans="1:22" x14ac:dyDescent="0.2">
      <c r="A94" s="31">
        <v>1377.5286865234375</v>
      </c>
      <c r="B94" s="110">
        <v>0.84473831779881225</v>
      </c>
      <c r="C94" s="27">
        <f t="shared" si="6"/>
        <v>0.84367631879949478</v>
      </c>
      <c r="D94" s="27">
        <f t="shared" si="1"/>
        <v>0.69496157810743364</v>
      </c>
      <c r="E94" s="27">
        <f t="shared" si="7"/>
        <v>0.69469483275430211</v>
      </c>
      <c r="F94" s="27">
        <f t="shared" si="3"/>
        <v>1.7117850844317828E-2</v>
      </c>
      <c r="G94" s="27"/>
      <c r="H94" s="123"/>
      <c r="I94" s="18"/>
      <c r="J94" s="18"/>
      <c r="K94" s="18"/>
      <c r="L94" s="18"/>
      <c r="M94" s="18"/>
      <c r="N94" s="142"/>
      <c r="O94" s="74"/>
      <c r="P94" s="104"/>
      <c r="Q94" s="63"/>
      <c r="R94" s="63"/>
      <c r="S94" s="63"/>
      <c r="T94" s="63"/>
      <c r="U94" s="63"/>
      <c r="V94" s="63"/>
    </row>
    <row r="95" spans="1:22" x14ac:dyDescent="0.2">
      <c r="A95" s="31">
        <v>1507.552978515625</v>
      </c>
      <c r="B95" s="110">
        <v>0.86835669258608328</v>
      </c>
      <c r="C95" s="27">
        <f t="shared" si="6"/>
        <v>0.86729469358676581</v>
      </c>
      <c r="D95" s="27">
        <f t="shared" si="1"/>
        <v>0.71439228542667221</v>
      </c>
      <c r="E95" s="27">
        <f t="shared" si="7"/>
        <v>0.71414253154252783</v>
      </c>
      <c r="F95" s="27">
        <f t="shared" si="3"/>
        <v>1.944769878822572E-2</v>
      </c>
      <c r="G95" s="27"/>
      <c r="H95" s="123"/>
      <c r="I95" s="18"/>
      <c r="J95" s="18"/>
      <c r="K95" s="18"/>
      <c r="L95" s="18"/>
      <c r="M95" s="18"/>
      <c r="N95" s="142"/>
      <c r="O95" s="74"/>
      <c r="P95" s="104"/>
      <c r="Q95" s="63"/>
      <c r="R95" s="63"/>
      <c r="S95" s="63"/>
      <c r="T95" s="63"/>
      <c r="U95" s="63"/>
      <c r="V95" s="63"/>
    </row>
    <row r="96" spans="1:22" x14ac:dyDescent="0.2">
      <c r="A96" s="31">
        <v>1647.216796875</v>
      </c>
      <c r="B96" s="110">
        <v>0.89278955729677179</v>
      </c>
      <c r="C96" s="27">
        <f t="shared" si="6"/>
        <v>0.89172755829745431</v>
      </c>
      <c r="D96" s="27">
        <f t="shared" si="1"/>
        <v>0.73449306913596468</v>
      </c>
      <c r="E96" s="27">
        <f t="shared" si="7"/>
        <v>0.73426089267900307</v>
      </c>
      <c r="F96" s="27">
        <f t="shared" si="3"/>
        <v>2.0118361136475249E-2</v>
      </c>
      <c r="G96" s="27"/>
      <c r="H96" s="123"/>
      <c r="I96" s="18"/>
      <c r="J96" s="18"/>
      <c r="K96" s="18"/>
      <c r="L96" s="18"/>
      <c r="M96" s="18"/>
      <c r="N96" s="142"/>
      <c r="O96" s="74"/>
      <c r="P96" s="104"/>
      <c r="Q96" s="63"/>
      <c r="R96" s="63"/>
      <c r="S96" s="63"/>
      <c r="T96" s="63"/>
      <c r="U96" s="63"/>
      <c r="V96" s="63"/>
    </row>
    <row r="97" spans="1:22" x14ac:dyDescent="0.2">
      <c r="A97" s="31">
        <v>1807.3441162109375</v>
      </c>
      <c r="B97" s="110">
        <v>0.91824147382004961</v>
      </c>
      <c r="C97" s="27">
        <f t="shared" si="6"/>
        <v>0.91717947482073214</v>
      </c>
      <c r="D97" s="27">
        <f t="shared" si="1"/>
        <v>0.75543222117889186</v>
      </c>
      <c r="E97" s="27">
        <f t="shared" si="7"/>
        <v>0.75521835527268411</v>
      </c>
      <c r="F97" s="27">
        <f t="shared" si="3"/>
        <v>2.0957462593681031E-2</v>
      </c>
      <c r="G97" s="27"/>
      <c r="H97" s="123"/>
      <c r="I97" s="18"/>
      <c r="J97" s="18"/>
      <c r="K97" s="18"/>
      <c r="L97" s="18"/>
      <c r="M97" s="18"/>
      <c r="N97" s="142"/>
      <c r="O97" s="74"/>
      <c r="P97" s="104"/>
      <c r="Q97" s="63"/>
      <c r="R97" s="63"/>
      <c r="S97" s="63"/>
      <c r="T97" s="63"/>
      <c r="U97" s="63"/>
      <c r="V97" s="63"/>
    </row>
    <row r="98" spans="1:22" x14ac:dyDescent="0.2">
      <c r="A98" s="31">
        <v>1978.230712890625</v>
      </c>
      <c r="B98" s="110">
        <v>0.94178322954847316</v>
      </c>
      <c r="C98" s="27">
        <f t="shared" si="6"/>
        <v>0.94072123054915568</v>
      </c>
      <c r="D98" s="27">
        <f t="shared" si="1"/>
        <v>0.77479989441890396</v>
      </c>
      <c r="E98" s="27">
        <f t="shared" si="7"/>
        <v>0.77460296486060187</v>
      </c>
      <c r="F98" s="27">
        <f t="shared" si="3"/>
        <v>1.9384609587917767E-2</v>
      </c>
      <c r="G98" s="27"/>
      <c r="H98" s="123"/>
      <c r="I98" s="18"/>
      <c r="J98" s="18"/>
      <c r="K98" s="18"/>
      <c r="L98" s="18"/>
      <c r="M98" s="18"/>
      <c r="N98" s="142"/>
      <c r="O98" s="74"/>
      <c r="P98" s="104"/>
      <c r="Q98" s="63"/>
      <c r="R98" s="63"/>
      <c r="S98" s="63"/>
      <c r="T98" s="63"/>
      <c r="U98" s="63"/>
      <c r="V98" s="63"/>
    </row>
    <row r="99" spans="1:22" x14ac:dyDescent="0.2">
      <c r="A99" s="31">
        <v>2155.401611328125</v>
      </c>
      <c r="B99" s="110">
        <v>0.96343507904185754</v>
      </c>
      <c r="C99" s="27">
        <f t="shared" si="6"/>
        <v>0.96237308004254007</v>
      </c>
      <c r="D99" s="27">
        <f t="shared" si="1"/>
        <v>0.79261275217120353</v>
      </c>
      <c r="E99" s="27">
        <f t="shared" si="7"/>
        <v>0.79243139932944073</v>
      </c>
      <c r="F99" s="27">
        <f t="shared" si="3"/>
        <v>1.7828434468838861E-2</v>
      </c>
      <c r="G99" s="27"/>
      <c r="H99" s="123"/>
      <c r="I99" s="18"/>
      <c r="J99" s="18"/>
      <c r="K99" s="18"/>
      <c r="L99" s="18"/>
      <c r="M99" s="18"/>
      <c r="N99" s="142"/>
      <c r="O99" s="74"/>
      <c r="P99" s="104"/>
      <c r="Q99" s="63"/>
      <c r="R99" s="63"/>
      <c r="S99" s="63"/>
      <c r="T99" s="63"/>
      <c r="U99" s="63"/>
      <c r="V99" s="63"/>
    </row>
    <row r="100" spans="1:22" x14ac:dyDescent="0.2">
      <c r="A100" s="31">
        <v>2365.459716796875</v>
      </c>
      <c r="B100" s="110">
        <v>0.98526133770867097</v>
      </c>
      <c r="C100" s="27">
        <f t="shared" si="6"/>
        <v>0.9841993387093535</v>
      </c>
      <c r="D100" s="27">
        <f t="shared" si="1"/>
        <v>0.81056909539332112</v>
      </c>
      <c r="E100" s="27">
        <f t="shared" si="7"/>
        <v>0.81040344474108583</v>
      </c>
      <c r="F100" s="27">
        <f t="shared" si="3"/>
        <v>1.7972045411645099E-2</v>
      </c>
      <c r="G100" s="27"/>
      <c r="H100" s="123"/>
      <c r="I100" s="18"/>
      <c r="J100" s="18"/>
      <c r="K100" s="18"/>
      <c r="L100" s="18"/>
      <c r="M100" s="18"/>
      <c r="N100" s="142"/>
      <c r="O100" s="74"/>
      <c r="P100" s="104"/>
      <c r="Q100" s="63"/>
      <c r="R100" s="63"/>
      <c r="S100" s="63"/>
      <c r="T100" s="63"/>
      <c r="U100" s="63"/>
      <c r="V100" s="63"/>
    </row>
    <row r="101" spans="1:22" x14ac:dyDescent="0.2">
      <c r="A101" s="31">
        <v>2588.0927734375</v>
      </c>
      <c r="B101" s="110">
        <v>1.0045520187653492</v>
      </c>
      <c r="C101" s="27">
        <f t="shared" si="6"/>
        <v>1.0034900197660317</v>
      </c>
      <c r="D101" s="27">
        <f t="shared" si="1"/>
        <v>0.82643943283089571</v>
      </c>
      <c r="E101" s="27">
        <f t="shared" si="7"/>
        <v>0.82628766022962141</v>
      </c>
      <c r="F101" s="27">
        <f t="shared" si="3"/>
        <v>1.588421548853558E-2</v>
      </c>
      <c r="G101" s="27"/>
      <c r="H101" s="123"/>
      <c r="I101" s="18"/>
      <c r="J101" s="18"/>
      <c r="K101" s="18"/>
      <c r="L101" s="18"/>
      <c r="M101" s="18"/>
      <c r="N101" s="142"/>
      <c r="O101" s="74"/>
      <c r="P101" s="104"/>
      <c r="Q101" s="63"/>
      <c r="R101" s="63"/>
      <c r="S101" s="63"/>
      <c r="T101" s="63"/>
      <c r="U101" s="63"/>
      <c r="V101" s="63"/>
    </row>
    <row r="102" spans="1:22" x14ac:dyDescent="0.2">
      <c r="A102" s="31">
        <v>2827.990234375</v>
      </c>
      <c r="B102" s="110">
        <v>1.0224279967211078</v>
      </c>
      <c r="C102" s="27">
        <f t="shared" si="6"/>
        <v>1.0213659977217904</v>
      </c>
      <c r="D102" s="27">
        <f t="shared" si="1"/>
        <v>0.8411459017912708</v>
      </c>
      <c r="E102" s="27">
        <f t="shared" si="7"/>
        <v>0.84100698947897856</v>
      </c>
      <c r="F102" s="27">
        <f t="shared" si="3"/>
        <v>1.4719329249357149E-2</v>
      </c>
      <c r="G102" s="27"/>
      <c r="H102" s="123"/>
      <c r="I102" s="18"/>
      <c r="J102" s="18"/>
      <c r="K102" s="18"/>
      <c r="L102" s="18"/>
      <c r="M102" s="18"/>
      <c r="N102" s="142"/>
      <c r="O102" s="74"/>
      <c r="P102" s="104"/>
      <c r="Q102" s="63"/>
      <c r="R102" s="63"/>
      <c r="S102" s="63"/>
      <c r="T102" s="63"/>
      <c r="U102" s="63"/>
      <c r="V102" s="63"/>
    </row>
    <row r="103" spans="1:22" x14ac:dyDescent="0.2">
      <c r="A103" s="31">
        <v>3095.387939453125</v>
      </c>
      <c r="B103" s="110">
        <v>1.0398591992072652</v>
      </c>
      <c r="C103" s="27">
        <f t="shared" si="6"/>
        <v>1.0387972002079477</v>
      </c>
      <c r="D103" s="27">
        <f t="shared" si="1"/>
        <v>0.85548645641374421</v>
      </c>
      <c r="E103" s="27">
        <f t="shared" si="7"/>
        <v>0.85536008441123701</v>
      </c>
      <c r="F103" s="27">
        <f t="shared" si="3"/>
        <v>1.4353094932258448E-2</v>
      </c>
      <c r="G103" s="27"/>
      <c r="H103" s="123"/>
      <c r="I103" s="18"/>
      <c r="J103" s="18"/>
      <c r="K103" s="18"/>
      <c r="L103" s="18"/>
      <c r="M103" s="18"/>
      <c r="N103" s="142"/>
      <c r="O103" s="74"/>
      <c r="P103" s="104"/>
      <c r="Q103" s="63"/>
      <c r="R103" s="63"/>
      <c r="S103" s="63"/>
      <c r="T103" s="63"/>
      <c r="U103" s="63"/>
      <c r="V103" s="63"/>
    </row>
    <row r="104" spans="1:22" x14ac:dyDescent="0.2">
      <c r="A104" s="31">
        <v>3387.201904296875</v>
      </c>
      <c r="B104" s="110">
        <v>1.0550256486274192</v>
      </c>
      <c r="C104" s="27">
        <f t="shared" si="6"/>
        <v>1.0539636496281017</v>
      </c>
      <c r="D104" s="27">
        <f t="shared" si="1"/>
        <v>0.86796381111783982</v>
      </c>
      <c r="E104" s="27">
        <f t="shared" si="7"/>
        <v>0.86784835012243144</v>
      </c>
      <c r="F104" s="27">
        <f t="shared" si="3"/>
        <v>1.2488265711194435E-2</v>
      </c>
      <c r="G104" s="27"/>
      <c r="H104" s="123"/>
      <c r="I104" s="18"/>
      <c r="J104" s="18"/>
      <c r="K104" s="18"/>
      <c r="L104" s="18"/>
      <c r="M104" s="18"/>
      <c r="N104" s="142"/>
      <c r="O104" s="74"/>
      <c r="P104" s="104"/>
      <c r="Q104" s="63"/>
      <c r="R104" s="63"/>
      <c r="S104" s="63"/>
      <c r="T104" s="63"/>
      <c r="U104" s="63"/>
      <c r="V104" s="63"/>
    </row>
    <row r="105" spans="1:22" x14ac:dyDescent="0.2">
      <c r="A105" s="31">
        <v>3705.329345703125</v>
      </c>
      <c r="B105" s="110">
        <v>1.0690210912115763</v>
      </c>
      <c r="C105" s="27">
        <f t="shared" si="6"/>
        <v>1.0679590922122588</v>
      </c>
      <c r="D105" s="27">
        <f t="shared" si="1"/>
        <v>0.87947778492447637</v>
      </c>
      <c r="E105" s="27">
        <f t="shared" si="7"/>
        <v>0.87937239249351296</v>
      </c>
      <c r="F105" s="27">
        <f t="shared" si="3"/>
        <v>1.1524042371081511E-2</v>
      </c>
      <c r="G105" s="27"/>
      <c r="H105" s="123"/>
      <c r="I105" s="18"/>
      <c r="J105" s="18"/>
      <c r="K105" s="18"/>
      <c r="L105" s="18"/>
      <c r="M105" s="18"/>
      <c r="N105" s="142"/>
      <c r="O105" s="74"/>
      <c r="P105" s="104"/>
      <c r="Q105" s="63"/>
      <c r="R105" s="63"/>
      <c r="S105" s="63"/>
      <c r="T105" s="63"/>
      <c r="U105" s="63"/>
      <c r="V105" s="63"/>
    </row>
    <row r="106" spans="1:22" x14ac:dyDescent="0.2">
      <c r="A106" s="31">
        <v>4058.8623046875</v>
      </c>
      <c r="B106" s="110">
        <v>1.0828722773380468</v>
      </c>
      <c r="C106" s="27">
        <f t="shared" si="6"/>
        <v>1.0818102783387293</v>
      </c>
      <c r="D106" s="27">
        <f t="shared" si="1"/>
        <v>0.89087307973505736</v>
      </c>
      <c r="E106" s="27">
        <f t="shared" si="7"/>
        <v>0.89077765208793802</v>
      </c>
      <c r="F106" s="27">
        <f t="shared" si="3"/>
        <v>1.1405259594425066E-2</v>
      </c>
      <c r="G106" s="27"/>
      <c r="H106" s="123"/>
      <c r="I106" s="18"/>
      <c r="J106" s="18"/>
      <c r="K106" s="18"/>
      <c r="L106" s="18"/>
      <c r="M106" s="18"/>
      <c r="N106" s="142"/>
      <c r="O106" s="74"/>
      <c r="P106" s="104"/>
      <c r="Q106" s="63"/>
      <c r="R106" s="63"/>
      <c r="S106" s="63"/>
      <c r="T106" s="63"/>
      <c r="U106" s="63"/>
      <c r="V106" s="63"/>
    </row>
    <row r="107" spans="1:22" x14ac:dyDescent="0.2">
      <c r="A107" s="31">
        <v>4434.1650390625</v>
      </c>
      <c r="B107" s="110">
        <v>1.0945512764863561</v>
      </c>
      <c r="C107" s="27">
        <f t="shared" si="6"/>
        <v>1.0934892774870386</v>
      </c>
      <c r="D107" s="27">
        <f t="shared" si="1"/>
        <v>0.90048132823972327</v>
      </c>
      <c r="E107" s="27">
        <f t="shared" si="7"/>
        <v>0.90039430266741283</v>
      </c>
      <c r="F107" s="27">
        <f t="shared" si="3"/>
        <v>9.6166505794748058E-3</v>
      </c>
      <c r="G107" s="27"/>
      <c r="H107" s="123"/>
      <c r="I107" s="18"/>
      <c r="J107" s="18"/>
      <c r="K107" s="18"/>
      <c r="L107" s="18"/>
      <c r="M107" s="18"/>
      <c r="N107" s="142"/>
      <c r="O107" s="74"/>
      <c r="P107" s="104"/>
      <c r="Q107" s="63"/>
      <c r="R107" s="63"/>
      <c r="S107" s="63"/>
      <c r="T107" s="63"/>
      <c r="U107" s="63"/>
      <c r="V107" s="63"/>
    </row>
    <row r="108" spans="1:22" x14ac:dyDescent="0.2">
      <c r="A108" s="31">
        <v>4844.50341796875</v>
      </c>
      <c r="B108" s="110">
        <v>1.1059250824935625</v>
      </c>
      <c r="C108" s="27">
        <f t="shared" si="6"/>
        <v>1.104863083494245</v>
      </c>
      <c r="D108" s="27">
        <f t="shared" si="1"/>
        <v>0.90983849602211153</v>
      </c>
      <c r="E108" s="27">
        <f t="shared" si="7"/>
        <v>0.90975965296336436</v>
      </c>
      <c r="F108" s="27">
        <f t="shared" si="3"/>
        <v>9.3653502959515356E-3</v>
      </c>
      <c r="G108" s="27"/>
      <c r="H108" s="123"/>
      <c r="I108" s="18"/>
      <c r="J108" s="18"/>
      <c r="K108" s="18"/>
      <c r="L108" s="18"/>
      <c r="M108" s="18"/>
      <c r="N108" s="142"/>
      <c r="O108" s="74"/>
      <c r="P108" s="104"/>
      <c r="Q108" s="63"/>
      <c r="R108" s="63"/>
      <c r="S108" s="63"/>
      <c r="T108" s="63"/>
      <c r="U108" s="63"/>
      <c r="V108" s="63"/>
    </row>
    <row r="109" spans="1:22" x14ac:dyDescent="0.2">
      <c r="A109" s="31">
        <v>5303.28662109375</v>
      </c>
      <c r="B109" s="110">
        <v>1.1165356306992362</v>
      </c>
      <c r="C109" s="27">
        <f t="shared" si="6"/>
        <v>1.1154736316999188</v>
      </c>
      <c r="D109" s="27">
        <f t="shared" si="1"/>
        <v>0.91856773579995743</v>
      </c>
      <c r="E109" s="27">
        <f t="shared" si="7"/>
        <v>0.91849652615385602</v>
      </c>
      <c r="F109" s="27">
        <f t="shared" si="3"/>
        <v>8.7368731904916563E-3</v>
      </c>
      <c r="G109" s="27"/>
      <c r="H109" s="123"/>
      <c r="I109" s="18"/>
      <c r="J109" s="18"/>
      <c r="K109" s="18"/>
      <c r="L109" s="18"/>
      <c r="M109" s="18"/>
      <c r="N109" s="142"/>
      <c r="O109" s="74"/>
      <c r="P109" s="104"/>
      <c r="Q109" s="63"/>
      <c r="R109" s="63"/>
      <c r="S109" s="63"/>
      <c r="T109" s="63"/>
      <c r="U109" s="63"/>
      <c r="V109" s="63"/>
    </row>
    <row r="110" spans="1:22" x14ac:dyDescent="0.2">
      <c r="A110" s="31">
        <v>5806.0048828125</v>
      </c>
      <c r="B110" s="110">
        <v>1.125981954138715</v>
      </c>
      <c r="C110" s="27">
        <f t="shared" si="6"/>
        <v>1.1249199551393976</v>
      </c>
      <c r="D110" s="27">
        <f t="shared" si="1"/>
        <v>0.92633917425195034</v>
      </c>
      <c r="E110" s="27">
        <f t="shared" si="7"/>
        <v>0.92627476045497936</v>
      </c>
      <c r="F110" s="27">
        <f t="shared" si="3"/>
        <v>7.7782343011233435E-3</v>
      </c>
      <c r="G110" s="27"/>
      <c r="H110" s="123"/>
      <c r="I110" s="18"/>
      <c r="J110" s="18"/>
      <c r="K110" s="18"/>
      <c r="L110" s="18"/>
      <c r="M110" s="18"/>
      <c r="N110" s="142"/>
      <c r="O110" s="74"/>
      <c r="P110" s="104"/>
      <c r="Q110" s="63"/>
      <c r="R110" s="63"/>
      <c r="S110" s="63"/>
      <c r="T110" s="63"/>
      <c r="U110" s="63"/>
      <c r="V110" s="63"/>
    </row>
    <row r="111" spans="1:22" x14ac:dyDescent="0.2">
      <c r="A111" s="31">
        <v>6353.31787109375</v>
      </c>
      <c r="B111" s="110">
        <v>1.1346083803288529</v>
      </c>
      <c r="C111" s="27">
        <f t="shared" si="6"/>
        <v>1.1335463813295354</v>
      </c>
      <c r="D111" s="27">
        <f t="shared" si="1"/>
        <v>0.93343608773652764</v>
      </c>
      <c r="E111" s="27">
        <f t="shared" si="7"/>
        <v>0.93337787994036747</v>
      </c>
      <c r="F111" s="27">
        <f t="shared" si="3"/>
        <v>7.1031194853881097E-3</v>
      </c>
      <c r="G111" s="27"/>
      <c r="H111" s="123"/>
      <c r="I111" s="18"/>
      <c r="J111" s="18"/>
      <c r="K111" s="18"/>
      <c r="L111" s="18"/>
      <c r="M111" s="18"/>
      <c r="N111" s="142"/>
      <c r="O111" s="74"/>
      <c r="P111" s="104"/>
      <c r="Q111" s="63"/>
      <c r="R111" s="63"/>
      <c r="S111" s="63"/>
      <c r="T111" s="63"/>
      <c r="U111" s="63"/>
      <c r="V111" s="63"/>
    </row>
    <row r="112" spans="1:22" x14ac:dyDescent="0.2">
      <c r="A112" s="31">
        <v>6944.16162109375</v>
      </c>
      <c r="B112" s="110">
        <v>1.1429484015442322</v>
      </c>
      <c r="C112" s="27">
        <f t="shared" si="6"/>
        <v>1.1418864025449147</v>
      </c>
      <c r="D112" s="27">
        <f t="shared" si="1"/>
        <v>0.94029737742016883</v>
      </c>
      <c r="E112" s="27">
        <f t="shared" si="7"/>
        <v>0.94024516958010684</v>
      </c>
      <c r="F112" s="27">
        <f t="shared" si="3"/>
        <v>6.8672896397393712E-3</v>
      </c>
      <c r="G112" s="27"/>
      <c r="H112" s="123"/>
      <c r="I112" s="18"/>
      <c r="J112" s="18"/>
      <c r="K112" s="18"/>
      <c r="L112" s="18"/>
      <c r="M112" s="18"/>
      <c r="N112" s="142"/>
      <c r="O112" s="74"/>
      <c r="P112" s="104"/>
      <c r="Q112" s="63"/>
      <c r="R112" s="63"/>
      <c r="S112" s="63"/>
      <c r="T112" s="63"/>
      <c r="U112" s="63"/>
      <c r="V112" s="63"/>
    </row>
    <row r="113" spans="1:22" x14ac:dyDescent="0.2">
      <c r="A113" s="31">
        <v>7602.1083984375</v>
      </c>
      <c r="B113" s="110">
        <v>1.1503768759183477</v>
      </c>
      <c r="C113" s="27">
        <f t="shared" si="6"/>
        <v>1.1493148769190302</v>
      </c>
      <c r="D113" s="27">
        <f t="shared" si="1"/>
        <v>0.94640874252009499</v>
      </c>
      <c r="E113" s="27">
        <f t="shared" si="7"/>
        <v>0.9463618788535032</v>
      </c>
      <c r="F113" s="27">
        <f t="shared" si="3"/>
        <v>6.1167092733963591E-3</v>
      </c>
      <c r="G113" s="27"/>
      <c r="H113" s="123"/>
      <c r="I113" s="18"/>
      <c r="J113" s="18"/>
      <c r="K113" s="18"/>
      <c r="L113" s="18"/>
      <c r="M113" s="18"/>
      <c r="N113" s="142"/>
      <c r="O113" s="74"/>
      <c r="P113" s="104"/>
      <c r="Q113" s="63"/>
      <c r="R113" s="63"/>
      <c r="S113" s="63"/>
      <c r="T113" s="63"/>
      <c r="U113" s="63"/>
      <c r="V113" s="63"/>
    </row>
    <row r="114" spans="1:22" x14ac:dyDescent="0.2">
      <c r="A114" s="31">
        <v>8312.9404296875</v>
      </c>
      <c r="B114" s="110">
        <v>1.1584105125479291</v>
      </c>
      <c r="C114" s="27">
        <f t="shared" ref="C114:C136" si="8">IF(B114-I$27&lt;0,0,B114-I$27)</f>
        <v>1.1573485135486117</v>
      </c>
      <c r="D114" s="27">
        <f t="shared" si="1"/>
        <v>0.95301797128644683</v>
      </c>
      <c r="E114" s="27">
        <f t="shared" ref="E114:E136" si="9">C114/$H$23</f>
        <v>0.95297688715756146</v>
      </c>
      <c r="F114" s="27">
        <f t="shared" si="3"/>
        <v>6.6150083040582563E-3</v>
      </c>
      <c r="G114" s="27"/>
      <c r="H114" s="123"/>
      <c r="I114" s="18"/>
      <c r="J114" s="18"/>
      <c r="K114" s="18"/>
      <c r="L114" s="18"/>
      <c r="M114" s="18"/>
      <c r="N114" s="142"/>
      <c r="O114" s="74"/>
      <c r="P114" s="104"/>
      <c r="Q114" s="63"/>
      <c r="R114" s="63"/>
      <c r="S114" s="63"/>
      <c r="T114" s="63"/>
      <c r="U114" s="63"/>
      <c r="V114" s="63"/>
    </row>
    <row r="115" spans="1:22" x14ac:dyDescent="0.2">
      <c r="A115" s="31">
        <v>9092.2890625</v>
      </c>
      <c r="B115" s="110">
        <v>1.1651047820411513</v>
      </c>
      <c r="C115" s="27">
        <f t="shared" si="8"/>
        <v>1.1640427830418338</v>
      </c>
      <c r="D115" s="27">
        <f t="shared" si="1"/>
        <v>0.95852531006019726</v>
      </c>
      <c r="E115" s="27">
        <f t="shared" si="9"/>
        <v>0.95848904190504036</v>
      </c>
      <c r="F115" s="27">
        <f t="shared" si="3"/>
        <v>5.5121547474789034E-3</v>
      </c>
      <c r="G115" s="27"/>
      <c r="H115" s="123"/>
      <c r="I115" s="18"/>
      <c r="J115" s="18"/>
      <c r="K115" s="18"/>
      <c r="L115" s="18"/>
      <c r="M115" s="18"/>
      <c r="N115" s="142"/>
      <c r="O115" s="74"/>
      <c r="P115" s="104"/>
      <c r="Q115" s="63"/>
      <c r="R115" s="63"/>
      <c r="S115" s="63"/>
      <c r="T115" s="63"/>
      <c r="U115" s="63"/>
      <c r="V115" s="63"/>
    </row>
    <row r="116" spans="1:22" x14ac:dyDescent="0.2">
      <c r="A116" s="31">
        <v>9953.4697265625</v>
      </c>
      <c r="B116" s="110">
        <v>1.1708842053078006</v>
      </c>
      <c r="C116" s="27">
        <f t="shared" si="8"/>
        <v>1.1698222063084831</v>
      </c>
      <c r="D116" s="27">
        <f t="shared" si="1"/>
        <v>0.96328000986404583</v>
      </c>
      <c r="E116" s="27">
        <f t="shared" si="9"/>
        <v>0.96324789952635448</v>
      </c>
      <c r="F116" s="27">
        <f t="shared" si="3"/>
        <v>4.7588576213141165E-3</v>
      </c>
      <c r="G116" s="27"/>
      <c r="H116" s="123"/>
      <c r="I116" s="18"/>
      <c r="J116" s="18"/>
      <c r="K116" s="18"/>
      <c r="L116" s="18"/>
      <c r="M116" s="18"/>
      <c r="N116" s="142"/>
      <c r="O116" s="74"/>
      <c r="P116" s="104"/>
      <c r="Q116" s="63"/>
      <c r="R116" s="63"/>
      <c r="S116" s="63"/>
      <c r="T116" s="63"/>
      <c r="U116" s="63"/>
      <c r="V116" s="63"/>
    </row>
    <row r="117" spans="1:22" x14ac:dyDescent="0.2">
      <c r="A117" s="31">
        <v>10893.1201171875</v>
      </c>
      <c r="B117" s="110">
        <v>1.1766052477843951</v>
      </c>
      <c r="C117" s="27">
        <f t="shared" si="8"/>
        <v>1.1755432487850777</v>
      </c>
      <c r="D117" s="27">
        <f t="shared" si="1"/>
        <v>0.9679866801123117</v>
      </c>
      <c r="E117" s="27">
        <f t="shared" si="9"/>
        <v>0.96795868559193166</v>
      </c>
      <c r="F117" s="27">
        <f t="shared" si="3"/>
        <v>4.7107860655771772E-3</v>
      </c>
      <c r="G117" s="27"/>
      <c r="H117" s="123"/>
      <c r="I117" s="18"/>
      <c r="J117" s="18"/>
      <c r="K117" s="18"/>
      <c r="L117" s="18"/>
      <c r="M117" s="18"/>
      <c r="N117" s="142"/>
      <c r="O117" s="74"/>
      <c r="P117" s="104"/>
      <c r="Q117" s="63"/>
      <c r="R117" s="63"/>
      <c r="S117" s="63"/>
      <c r="T117" s="63"/>
      <c r="U117" s="63"/>
      <c r="V117" s="63"/>
    </row>
    <row r="118" spans="1:22" x14ac:dyDescent="0.2">
      <c r="A118" s="31">
        <v>11893.9716796875</v>
      </c>
      <c r="B118" s="110">
        <v>1.1815111587904286</v>
      </c>
      <c r="C118" s="27">
        <f t="shared" si="8"/>
        <v>1.1804491597911111</v>
      </c>
      <c r="D118" s="27">
        <f t="shared" si="1"/>
        <v>0.97202274617320938</v>
      </c>
      <c r="E118" s="27">
        <f t="shared" si="9"/>
        <v>0.97199828105040498</v>
      </c>
      <c r="F118" s="27">
        <f t="shared" si="3"/>
        <v>4.0395954584733218E-3</v>
      </c>
      <c r="G118" s="27"/>
      <c r="H118" s="123"/>
      <c r="I118" s="18"/>
      <c r="J118" s="18"/>
      <c r="K118" s="18"/>
      <c r="L118" s="18"/>
      <c r="M118" s="18"/>
      <c r="N118" s="142"/>
      <c r="O118" s="74"/>
      <c r="P118" s="104"/>
      <c r="Q118" s="63"/>
      <c r="R118" s="63"/>
      <c r="S118" s="63"/>
      <c r="T118" s="63"/>
      <c r="U118" s="63"/>
      <c r="V118" s="63"/>
    </row>
    <row r="119" spans="1:22" x14ac:dyDescent="0.2">
      <c r="A119" s="31">
        <v>12992.8955078125</v>
      </c>
      <c r="B119" s="110">
        <v>1.186753882046778</v>
      </c>
      <c r="C119" s="27">
        <f t="shared" si="8"/>
        <v>1.1856918830474605</v>
      </c>
      <c r="D119" s="27">
        <f t="shared" si="1"/>
        <v>0.97633590582400787</v>
      </c>
      <c r="E119" s="27">
        <f t="shared" si="9"/>
        <v>0.97631521240736097</v>
      </c>
      <c r="F119" s="27">
        <f t="shared" si="3"/>
        <v>4.3169313569559886E-3</v>
      </c>
      <c r="G119" s="27"/>
      <c r="H119" s="123"/>
      <c r="I119" s="18"/>
      <c r="J119" s="18"/>
      <c r="K119" s="18"/>
      <c r="L119" s="18"/>
      <c r="M119" s="18"/>
      <c r="N119" s="142"/>
      <c r="O119" s="74"/>
      <c r="P119" s="104"/>
      <c r="Q119" s="63"/>
      <c r="R119" s="63"/>
      <c r="S119" s="63"/>
      <c r="T119" s="63"/>
      <c r="U119" s="63"/>
      <c r="V119" s="63"/>
    </row>
    <row r="120" spans="1:22" x14ac:dyDescent="0.2">
      <c r="A120" s="31">
        <v>14293.09375</v>
      </c>
      <c r="B120" s="110">
        <v>1.1914108727611492</v>
      </c>
      <c r="C120" s="27">
        <f t="shared" si="8"/>
        <v>1.1903488737618317</v>
      </c>
      <c r="D120" s="27">
        <f t="shared" si="1"/>
        <v>0.98016718652703605</v>
      </c>
      <c r="E120" s="27">
        <f t="shared" si="9"/>
        <v>0.98014984343038403</v>
      </c>
      <c r="F120" s="27">
        <f t="shared" si="3"/>
        <v>3.8346310230230607E-3</v>
      </c>
      <c r="G120" s="27"/>
      <c r="H120" s="123"/>
      <c r="I120" s="18"/>
      <c r="J120" s="18"/>
      <c r="K120" s="18"/>
      <c r="L120" s="18"/>
      <c r="M120" s="18"/>
      <c r="N120" s="142"/>
      <c r="O120" s="74"/>
      <c r="P120" s="104"/>
      <c r="Q120" s="63"/>
      <c r="R120" s="63"/>
      <c r="S120" s="63"/>
      <c r="T120" s="63"/>
      <c r="U120" s="63"/>
      <c r="V120" s="63"/>
    </row>
    <row r="121" spans="1:22" x14ac:dyDescent="0.2">
      <c r="A121" s="31">
        <v>15594.1298828125</v>
      </c>
      <c r="B121" s="110">
        <v>1.1953179865144083</v>
      </c>
      <c r="C121" s="27">
        <f t="shared" si="8"/>
        <v>1.1942559875150909</v>
      </c>
      <c r="D121" s="27">
        <f t="shared" si="1"/>
        <v>0.98338154756950136</v>
      </c>
      <c r="E121" s="27">
        <f t="shared" si="9"/>
        <v>0.98336701531833592</v>
      </c>
      <c r="F121" s="27">
        <f t="shared" si="3"/>
        <v>3.2171718879518973E-3</v>
      </c>
      <c r="G121" s="27"/>
      <c r="H121" s="123"/>
      <c r="I121" s="18"/>
      <c r="J121" s="18"/>
      <c r="K121" s="18"/>
      <c r="L121" s="18"/>
      <c r="M121" s="18"/>
      <c r="N121" s="142"/>
      <c r="O121" s="74"/>
      <c r="P121" s="104"/>
      <c r="Q121" s="63"/>
      <c r="R121" s="63"/>
      <c r="S121" s="63"/>
      <c r="T121" s="63"/>
      <c r="U121" s="63"/>
      <c r="V121" s="63"/>
    </row>
    <row r="122" spans="1:22" x14ac:dyDescent="0.2">
      <c r="A122" s="31">
        <v>17094.009765625</v>
      </c>
      <c r="B122" s="110">
        <v>1.198746322799463</v>
      </c>
      <c r="C122" s="27">
        <f t="shared" si="8"/>
        <v>1.1976843238001456</v>
      </c>
      <c r="D122" s="27">
        <f t="shared" si="1"/>
        <v>0.98620202101641796</v>
      </c>
      <c r="E122" s="27">
        <f t="shared" si="9"/>
        <v>0.9861899551699137</v>
      </c>
      <c r="F122" s="27">
        <f t="shared" si="3"/>
        <v>2.822939851577777E-3</v>
      </c>
      <c r="G122" s="27"/>
      <c r="H122" s="123"/>
      <c r="I122" s="18"/>
      <c r="J122" s="18"/>
      <c r="K122" s="18"/>
      <c r="L122" s="18"/>
      <c r="M122" s="18"/>
      <c r="N122" s="142"/>
      <c r="O122" s="74"/>
      <c r="P122" s="104"/>
      <c r="Q122" s="63"/>
      <c r="R122" s="63"/>
      <c r="S122" s="63"/>
      <c r="T122" s="63"/>
      <c r="U122" s="63"/>
      <c r="V122" s="63"/>
    </row>
    <row r="123" spans="1:22" x14ac:dyDescent="0.2">
      <c r="A123" s="31">
        <v>18693.4921875</v>
      </c>
      <c r="B123" s="110">
        <v>1.2021120624132346</v>
      </c>
      <c r="C123" s="27">
        <f t="shared" si="8"/>
        <v>1.2010500634139172</v>
      </c>
      <c r="D123" s="27">
        <f t="shared" si="1"/>
        <v>0.98897099652540221</v>
      </c>
      <c r="E123" s="27">
        <f t="shared" si="9"/>
        <v>0.98896135205042668</v>
      </c>
      <c r="F123" s="27">
        <f t="shared" si="3"/>
        <v>2.7713968805129774E-3</v>
      </c>
      <c r="G123" s="27"/>
      <c r="H123" s="123"/>
      <c r="I123" s="18"/>
      <c r="J123" s="18"/>
      <c r="K123" s="18"/>
      <c r="L123" s="18"/>
      <c r="M123" s="18"/>
      <c r="N123" s="142"/>
      <c r="O123" s="74"/>
      <c r="P123" s="104"/>
      <c r="Q123" s="63"/>
      <c r="R123" s="63"/>
      <c r="S123" s="63"/>
      <c r="T123" s="63"/>
      <c r="U123" s="63"/>
      <c r="V123" s="63"/>
    </row>
    <row r="124" spans="1:22" x14ac:dyDescent="0.2">
      <c r="A124" s="31">
        <v>20393.2109375</v>
      </c>
      <c r="B124" s="110">
        <v>1.2051101038642118</v>
      </c>
      <c r="C124" s="27">
        <f t="shared" si="8"/>
        <v>1.2040481048648943</v>
      </c>
      <c r="D124" s="27">
        <f t="shared" si="1"/>
        <v>0.99143746877379235</v>
      </c>
      <c r="E124" s="27">
        <f t="shared" si="9"/>
        <v>0.99142998114190173</v>
      </c>
      <c r="F124" s="27">
        <f t="shared" si="3"/>
        <v>2.4686290914750497E-3</v>
      </c>
      <c r="G124" s="27"/>
      <c r="H124" s="123"/>
      <c r="I124" s="18"/>
      <c r="J124" s="18"/>
      <c r="K124" s="18"/>
      <c r="L124" s="18"/>
      <c r="M124" s="18"/>
      <c r="N124" s="142"/>
      <c r="O124" s="74"/>
      <c r="P124" s="104"/>
      <c r="Q124" s="63"/>
      <c r="R124" s="63"/>
      <c r="S124" s="63"/>
      <c r="T124" s="63"/>
      <c r="U124" s="63"/>
      <c r="V124" s="63"/>
    </row>
    <row r="125" spans="1:22" x14ac:dyDescent="0.2">
      <c r="A125" s="31">
        <v>22293.62890625</v>
      </c>
      <c r="B125" s="110">
        <v>1.2069846129678081</v>
      </c>
      <c r="C125" s="27">
        <f t="shared" si="8"/>
        <v>1.2059226139684907</v>
      </c>
      <c r="D125" s="27">
        <f t="shared" si="1"/>
        <v>0.99297961712596683</v>
      </c>
      <c r="E125" s="27">
        <f t="shared" si="9"/>
        <v>0.99297347804847869</v>
      </c>
      <c r="F125" s="27">
        <f t="shared" si="3"/>
        <v>1.5434969065769577E-3</v>
      </c>
      <c r="G125" s="27"/>
      <c r="H125" s="123"/>
      <c r="I125" s="18"/>
      <c r="J125" s="18"/>
      <c r="K125" s="18"/>
      <c r="L125" s="18"/>
      <c r="M125" s="18"/>
      <c r="N125" s="142"/>
      <c r="O125" s="74"/>
      <c r="P125" s="104"/>
      <c r="Q125" s="63"/>
      <c r="R125" s="63"/>
      <c r="S125" s="63"/>
      <c r="T125" s="63"/>
      <c r="U125" s="63"/>
      <c r="V125" s="63"/>
    </row>
    <row r="126" spans="1:22" x14ac:dyDescent="0.2">
      <c r="A126" s="31">
        <v>24394.32421875</v>
      </c>
      <c r="B126" s="110">
        <v>1.2084891326688121</v>
      </c>
      <c r="C126" s="27">
        <f t="shared" si="8"/>
        <v>1.2074271336694946</v>
      </c>
      <c r="D126" s="27">
        <f t="shared" si="1"/>
        <v>0.99421737722713988</v>
      </c>
      <c r="E126" s="27">
        <f t="shared" si="9"/>
        <v>0.99421232052725272</v>
      </c>
      <c r="F126" s="27">
        <f t="shared" si="3"/>
        <v>1.2388424787740382E-3</v>
      </c>
      <c r="G126" s="27"/>
      <c r="H126" s="123"/>
      <c r="I126" s="18"/>
      <c r="J126" s="18"/>
      <c r="K126" s="18"/>
      <c r="L126" s="18"/>
      <c r="M126" s="18"/>
      <c r="N126" s="142"/>
      <c r="O126" s="74"/>
      <c r="P126" s="104"/>
      <c r="Q126" s="63"/>
      <c r="R126" s="63"/>
      <c r="S126" s="63"/>
      <c r="T126" s="63"/>
      <c r="U126" s="63"/>
      <c r="V126" s="63"/>
    </row>
    <row r="127" spans="1:22" x14ac:dyDescent="0.2">
      <c r="A127" s="31">
        <v>26695.080078125</v>
      </c>
      <c r="B127" s="110">
        <v>1.209340007480223</v>
      </c>
      <c r="C127" s="27">
        <f t="shared" si="8"/>
        <v>1.2082780084809055</v>
      </c>
      <c r="D127" s="27">
        <f t="shared" si="1"/>
        <v>0.99491738726486478</v>
      </c>
      <c r="E127" s="27">
        <f t="shared" si="9"/>
        <v>0.99491294269909347</v>
      </c>
      <c r="F127" s="27">
        <f t="shared" si="3"/>
        <v>7.0062217184074793E-4</v>
      </c>
      <c r="G127" s="27"/>
      <c r="H127" s="123"/>
      <c r="I127" s="18"/>
      <c r="J127" s="18"/>
      <c r="K127" s="18"/>
      <c r="L127" s="18"/>
      <c r="M127" s="18"/>
      <c r="N127" s="142"/>
      <c r="O127" s="74"/>
      <c r="P127" s="104"/>
      <c r="Q127" s="63"/>
      <c r="R127" s="63"/>
      <c r="S127" s="63"/>
      <c r="T127" s="63"/>
      <c r="U127" s="63"/>
      <c r="V127" s="63"/>
    </row>
    <row r="128" spans="1:22" x14ac:dyDescent="0.2">
      <c r="A128" s="31">
        <v>29295.568359375</v>
      </c>
      <c r="B128" s="110">
        <v>1.2106249347589801</v>
      </c>
      <c r="C128" s="27">
        <f t="shared" si="8"/>
        <v>1.2095629357596627</v>
      </c>
      <c r="D128" s="27">
        <f t="shared" si="1"/>
        <v>0.99597448988538428</v>
      </c>
      <c r="E128" s="27">
        <f t="shared" si="9"/>
        <v>0.99597096971861188</v>
      </c>
      <c r="F128" s="27">
        <f t="shared" si="3"/>
        <v>1.0580270195184038E-3</v>
      </c>
      <c r="G128" s="27"/>
      <c r="H128" s="123"/>
      <c r="I128" s="18"/>
      <c r="J128" s="18"/>
      <c r="K128" s="18"/>
      <c r="L128" s="18"/>
      <c r="M128" s="18"/>
      <c r="N128" s="142"/>
      <c r="O128" s="74"/>
      <c r="P128" s="104"/>
      <c r="Q128" s="63"/>
      <c r="R128" s="63"/>
      <c r="S128" s="63"/>
      <c r="T128" s="63"/>
      <c r="U128" s="63"/>
      <c r="V128" s="63"/>
    </row>
    <row r="129" spans="1:23" x14ac:dyDescent="0.2">
      <c r="A129" s="31">
        <v>31995.552734375</v>
      </c>
      <c r="B129" s="110">
        <v>1.2116664407215902</v>
      </c>
      <c r="C129" s="27">
        <f t="shared" si="8"/>
        <v>1.2106044417222728</v>
      </c>
      <c r="D129" s="27">
        <f t="shared" si="1"/>
        <v>0.9968313311250121</v>
      </c>
      <c r="E129" s="27">
        <f t="shared" si="9"/>
        <v>0.99682856023571631</v>
      </c>
      <c r="F129" s="27">
        <f t="shared" si="3"/>
        <v>8.5759051710443401E-4</v>
      </c>
      <c r="G129" s="27"/>
      <c r="H129" s="123"/>
      <c r="I129" s="18"/>
      <c r="J129" s="18"/>
      <c r="K129" s="18"/>
      <c r="L129" s="18"/>
      <c r="M129" s="18"/>
      <c r="N129" s="142"/>
      <c r="O129" s="74"/>
      <c r="P129" s="104"/>
      <c r="Q129" s="63"/>
      <c r="R129" s="63"/>
      <c r="S129" s="63"/>
      <c r="T129" s="63"/>
      <c r="U129" s="63"/>
      <c r="V129" s="63"/>
    </row>
    <row r="130" spans="1:23" x14ac:dyDescent="0.2">
      <c r="A130" s="31">
        <v>34995.55078125</v>
      </c>
      <c r="B130" s="110">
        <v>1.2124993522129843</v>
      </c>
      <c r="C130" s="27">
        <f t="shared" si="8"/>
        <v>1.2114373532136669</v>
      </c>
      <c r="D130" s="27">
        <f t="shared" si="1"/>
        <v>0.99751656283794232</v>
      </c>
      <c r="E130" s="27">
        <f t="shared" si="9"/>
        <v>0.99751439115963803</v>
      </c>
      <c r="F130" s="27">
        <f t="shared" si="3"/>
        <v>6.858309239217153E-4</v>
      </c>
      <c r="G130" s="27"/>
      <c r="H130" s="123"/>
      <c r="I130" s="18"/>
      <c r="J130" s="18"/>
      <c r="K130" s="18"/>
      <c r="L130" s="18"/>
      <c r="M130" s="18"/>
      <c r="N130" s="142"/>
      <c r="O130" s="74"/>
      <c r="P130" s="104"/>
      <c r="Q130" s="63"/>
      <c r="R130" s="63"/>
      <c r="S130" s="63"/>
      <c r="T130" s="63"/>
      <c r="U130" s="63"/>
      <c r="V130" s="63"/>
    </row>
    <row r="131" spans="1:23" x14ac:dyDescent="0.2">
      <c r="A131" s="31">
        <v>38296.70703125</v>
      </c>
      <c r="B131" s="110">
        <v>1.2125824783928583</v>
      </c>
      <c r="C131" s="27">
        <f t="shared" si="8"/>
        <v>1.2115204793935408</v>
      </c>
      <c r="D131" s="27">
        <f t="shared" si="1"/>
        <v>0.997584950289926</v>
      </c>
      <c r="E131" s="27">
        <f t="shared" si="9"/>
        <v>0.99758283841403916</v>
      </c>
      <c r="F131" s="27">
        <f t="shared" si="3"/>
        <v>6.8447254401138302E-5</v>
      </c>
      <c r="G131" s="27"/>
      <c r="H131" s="123"/>
      <c r="I131" s="18"/>
      <c r="J131" s="18"/>
      <c r="K131" s="18"/>
      <c r="L131" s="18"/>
      <c r="M131" s="18"/>
      <c r="N131" s="142"/>
      <c r="O131" s="74"/>
      <c r="P131" s="104"/>
      <c r="Q131" s="63"/>
      <c r="R131" s="63"/>
      <c r="S131" s="63"/>
      <c r="T131" s="63"/>
      <c r="U131" s="63"/>
      <c r="V131" s="63"/>
    </row>
    <row r="132" spans="1:23" x14ac:dyDescent="0.2">
      <c r="A132" s="31">
        <v>41892.23828125</v>
      </c>
      <c r="B132" s="110">
        <v>1.2125824783928583</v>
      </c>
      <c r="C132" s="27">
        <f t="shared" si="8"/>
        <v>1.2115204793935408</v>
      </c>
      <c r="D132" s="27">
        <f t="shared" si="1"/>
        <v>0.997584950289926</v>
      </c>
      <c r="E132" s="27">
        <f t="shared" si="9"/>
        <v>0.99758283841403916</v>
      </c>
      <c r="F132" s="27">
        <f t="shared" si="3"/>
        <v>0</v>
      </c>
      <c r="G132" s="27"/>
      <c r="H132" s="123"/>
      <c r="I132" s="18"/>
      <c r="J132" s="18"/>
      <c r="K132" s="18"/>
      <c r="L132" s="18"/>
      <c r="M132" s="18"/>
      <c r="N132" s="142"/>
      <c r="O132" s="74"/>
      <c r="P132" s="104"/>
      <c r="Q132" s="63"/>
      <c r="R132" s="63"/>
      <c r="S132" s="63"/>
      <c r="T132" s="63"/>
      <c r="U132" s="63"/>
      <c r="V132" s="63"/>
    </row>
    <row r="133" spans="1:23" x14ac:dyDescent="0.2">
      <c r="A133" s="31">
        <v>45790.60546875</v>
      </c>
      <c r="B133" s="110">
        <v>1.2142044928707074</v>
      </c>
      <c r="C133" s="27">
        <f t="shared" si="8"/>
        <v>1.2131424938713899</v>
      </c>
      <c r="D133" s="27">
        <f t="shared" si="1"/>
        <v>0.99891937269919517</v>
      </c>
      <c r="E133" s="27">
        <f t="shared" si="9"/>
        <v>0.99891842772869222</v>
      </c>
      <c r="F133" s="27">
        <f t="shared" si="3"/>
        <v>1.3355893146530518E-3</v>
      </c>
      <c r="G133" s="27"/>
      <c r="H133" s="123"/>
      <c r="I133" s="18"/>
      <c r="J133" s="18"/>
      <c r="K133" s="18"/>
      <c r="L133" s="18"/>
      <c r="M133" s="18"/>
      <c r="N133" s="142"/>
      <c r="O133" s="74"/>
      <c r="P133" s="104"/>
      <c r="Q133" s="63"/>
      <c r="R133" s="63"/>
      <c r="S133" s="63"/>
      <c r="T133" s="63"/>
      <c r="U133" s="63"/>
      <c r="V133" s="63"/>
    </row>
    <row r="134" spans="1:23" x14ac:dyDescent="0.2">
      <c r="A134" s="31">
        <v>50084.66796875</v>
      </c>
      <c r="B134" s="110">
        <v>1.2155180148221443</v>
      </c>
      <c r="C134" s="27">
        <f t="shared" si="8"/>
        <v>1.2144560158228268</v>
      </c>
      <c r="D134" s="27">
        <f t="shared" si="1"/>
        <v>1</v>
      </c>
      <c r="E134" s="27">
        <f t="shared" si="9"/>
        <v>1</v>
      </c>
      <c r="F134" s="27">
        <f t="shared" si="3"/>
        <v>1.0815722713077847E-3</v>
      </c>
      <c r="G134" s="27"/>
      <c r="H134" s="123"/>
      <c r="I134" s="18"/>
      <c r="J134" s="18"/>
      <c r="K134" s="18"/>
      <c r="L134" s="18"/>
      <c r="M134" s="18"/>
      <c r="N134" s="142"/>
      <c r="O134" s="74"/>
      <c r="P134" s="104"/>
      <c r="Q134" s="63"/>
      <c r="R134" s="63"/>
      <c r="S134" s="63"/>
      <c r="T134" s="63"/>
      <c r="U134" s="63"/>
      <c r="V134" s="63"/>
    </row>
    <row r="135" spans="1:23" x14ac:dyDescent="0.2">
      <c r="A135" s="31">
        <v>54780.1484375</v>
      </c>
      <c r="B135" s="110">
        <v>1.2155180148221443</v>
      </c>
      <c r="C135" s="27">
        <f t="shared" si="8"/>
        <v>1.2144560158228268</v>
      </c>
      <c r="D135" s="27">
        <f t="shared" si="1"/>
        <v>1</v>
      </c>
      <c r="E135" s="27">
        <f t="shared" si="9"/>
        <v>1</v>
      </c>
      <c r="F135" s="27">
        <f t="shared" si="3"/>
        <v>0</v>
      </c>
      <c r="G135" s="27"/>
      <c r="H135" s="123"/>
      <c r="I135" s="18"/>
      <c r="J135" s="18"/>
      <c r="K135" s="18"/>
      <c r="L135" s="18"/>
      <c r="M135" s="18"/>
      <c r="N135" s="142"/>
      <c r="O135" s="74"/>
      <c r="P135" s="104"/>
      <c r="Q135" s="63"/>
      <c r="R135" s="63"/>
      <c r="S135" s="63"/>
      <c r="T135" s="63"/>
      <c r="U135" s="63"/>
      <c r="V135" s="63"/>
    </row>
    <row r="136" spans="1:23" x14ac:dyDescent="0.2">
      <c r="A136" s="31">
        <v>59479.92578125</v>
      </c>
      <c r="B136" s="110">
        <v>1.2155180148221443</v>
      </c>
      <c r="C136" s="27">
        <f t="shared" si="8"/>
        <v>1.2144560158228268</v>
      </c>
      <c r="D136" s="27">
        <f t="shared" si="1"/>
        <v>1</v>
      </c>
      <c r="E136" s="27">
        <f t="shared" si="9"/>
        <v>1</v>
      </c>
      <c r="F136" s="27">
        <f t="shared" si="3"/>
        <v>0</v>
      </c>
      <c r="G136" s="27"/>
      <c r="H136" s="71"/>
      <c r="I136" s="31"/>
      <c r="J136" s="31"/>
      <c r="K136" s="31"/>
      <c r="L136" s="31"/>
      <c r="M136" s="31"/>
      <c r="P136" s="104"/>
      <c r="Q136" s="63"/>
      <c r="R136" s="63"/>
      <c r="S136" s="63"/>
      <c r="T136" s="63"/>
      <c r="U136" s="63"/>
      <c r="V136" s="63"/>
    </row>
    <row r="137" spans="1:23" x14ac:dyDescent="0.2">
      <c r="A137" s="31"/>
      <c r="B137" s="110"/>
      <c r="C137" s="27"/>
      <c r="D137" s="27"/>
      <c r="E137" s="27"/>
      <c r="F137" s="27"/>
      <c r="G137" s="27"/>
      <c r="H137" s="71"/>
      <c r="I137" s="31"/>
      <c r="J137" s="31"/>
      <c r="K137" s="31"/>
      <c r="L137" s="31"/>
      <c r="M137" s="31"/>
      <c r="P137" s="119"/>
      <c r="Q137" s="63"/>
      <c r="R137" s="63"/>
      <c r="S137" s="63"/>
      <c r="T137" s="63"/>
      <c r="U137" s="63"/>
      <c r="V137" s="63"/>
    </row>
    <row r="138" spans="1:23" x14ac:dyDescent="0.2">
      <c r="A138" s="31"/>
      <c r="B138" s="110"/>
      <c r="C138" s="27"/>
      <c r="D138" s="27"/>
      <c r="E138" s="27"/>
      <c r="F138" s="27"/>
      <c r="G138" s="27"/>
      <c r="H138" s="71"/>
      <c r="I138" s="31"/>
      <c r="J138" s="31"/>
      <c r="K138" s="31"/>
      <c r="L138" s="31"/>
      <c r="M138" s="31"/>
      <c r="P138" s="119"/>
      <c r="Q138" s="63"/>
      <c r="R138" s="63"/>
      <c r="S138" s="63"/>
      <c r="T138" s="63"/>
      <c r="U138" s="63"/>
      <c r="V138" s="63"/>
    </row>
    <row r="139" spans="1:23" x14ac:dyDescent="0.2">
      <c r="A139" s="31"/>
      <c r="B139" s="110"/>
      <c r="C139" s="27"/>
      <c r="D139" s="27"/>
      <c r="E139" s="27"/>
      <c r="F139" s="27"/>
      <c r="G139" s="27"/>
      <c r="H139" s="71"/>
      <c r="I139" s="31"/>
      <c r="J139" s="31"/>
      <c r="K139" s="31"/>
      <c r="L139" s="31"/>
      <c r="M139" s="31"/>
      <c r="P139" s="119"/>
      <c r="Q139" s="63"/>
      <c r="R139" s="63"/>
      <c r="S139" s="63"/>
      <c r="T139" s="63"/>
      <c r="U139" s="63"/>
      <c r="V139" s="63"/>
    </row>
    <row r="140" spans="1:23" x14ac:dyDescent="0.2">
      <c r="A140" s="31"/>
      <c r="B140" s="110"/>
      <c r="C140" s="27"/>
      <c r="D140" s="27"/>
      <c r="E140" s="27"/>
      <c r="F140" s="27"/>
      <c r="G140" s="27"/>
      <c r="H140" s="71"/>
      <c r="I140" s="31"/>
      <c r="J140" s="31"/>
      <c r="K140" s="31"/>
      <c r="L140" s="31"/>
      <c r="M140" s="31"/>
      <c r="P140" s="119"/>
      <c r="Q140" s="63"/>
      <c r="R140" s="63"/>
      <c r="S140" s="63"/>
      <c r="T140" s="63"/>
      <c r="U140" s="63"/>
      <c r="V140" s="63"/>
    </row>
    <row r="141" spans="1:23" x14ac:dyDescent="0.2">
      <c r="A141" s="31"/>
      <c r="B141" s="110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71"/>
      <c r="P141" s="31"/>
      <c r="Q141" s="31"/>
      <c r="R141" s="31"/>
      <c r="S141" s="31"/>
      <c r="T141" s="31"/>
      <c r="W141" s="119"/>
    </row>
  </sheetData>
  <mergeCells count="5">
    <mergeCell ref="A5:M5"/>
    <mergeCell ref="I25:J25"/>
    <mergeCell ref="I26:J26"/>
    <mergeCell ref="K25:L25"/>
    <mergeCell ref="K26:L26"/>
  </mergeCells>
  <printOptions horizontalCentered="1"/>
  <pageMargins left="0.5" right="0.5" top="0.1" bottom="0.25" header="0" footer="0"/>
  <pageSetup scale="65" orientation="portrait"/>
  <rowBreaks count="2" manualBreakCount="2">
    <brk id="86" max="12" man="1"/>
    <brk id="16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60"/>
  <sheetViews>
    <sheetView showGridLines="0" workbookViewId="0">
      <selection activeCell="C6" sqref="C6"/>
    </sheetView>
  </sheetViews>
  <sheetFormatPr defaultColWidth="8.85546875" defaultRowHeight="12.75" x14ac:dyDescent="0.2"/>
  <cols>
    <col min="1" max="17" width="8.140625" style="143" customWidth="1"/>
    <col min="18" max="16384" width="8.85546875" style="143"/>
  </cols>
  <sheetData>
    <row r="1" spans="1:15" ht="15.75" x14ac:dyDescent="0.25">
      <c r="C1" s="163" t="s">
        <v>11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20"/>
      <c r="O1" s="20"/>
    </row>
    <row r="2" spans="1:15" x14ac:dyDescent="0.2">
      <c r="C2" s="158" t="str">
        <f>Table!A7</f>
        <v>Shell Exploration &amp; Production Company</v>
      </c>
      <c r="K2" s="50" t="str">
        <f>Table!L7</f>
        <v>Sample Number:</v>
      </c>
      <c r="N2" s="62"/>
      <c r="O2" s="127" t="str">
        <f>Table!$P$7</f>
        <v>MC 39</v>
      </c>
    </row>
    <row r="3" spans="1:15" x14ac:dyDescent="0.2">
      <c r="C3" s="158" t="str">
        <f>Table!A8</f>
        <v>OCS-Y-2321 Burger J 001</v>
      </c>
      <c r="K3" s="50" t="str">
        <f>Table!L8</f>
        <v>Sample Depth, feet:</v>
      </c>
      <c r="N3" s="153"/>
      <c r="O3" s="4">
        <f>Table!$P$8</f>
        <v>0</v>
      </c>
    </row>
    <row r="4" spans="1:15" x14ac:dyDescent="0.2">
      <c r="C4" s="158" t="str">
        <f>Table!A9</f>
        <v>Offshore</v>
      </c>
      <c r="K4" s="50" t="str">
        <f>Table!L9</f>
        <v>Permeability to Air (calc), mD:</v>
      </c>
      <c r="M4" s="47"/>
      <c r="N4" s="25"/>
      <c r="O4" s="84">
        <f>Table!$P$9</f>
        <v>8.874245638097225</v>
      </c>
    </row>
    <row r="5" spans="1:15" x14ac:dyDescent="0.2">
      <c r="C5" s="158" t="str">
        <f>Table!A10</f>
        <v>HH-77445</v>
      </c>
      <c r="D5" s="30"/>
      <c r="E5" s="30"/>
      <c r="F5" s="84"/>
      <c r="G5" s="30"/>
      <c r="K5" s="50" t="str">
        <f>Table!L10</f>
        <v>Porosity, fraction:</v>
      </c>
      <c r="M5" s="47"/>
      <c r="N5" s="25"/>
      <c r="O5" s="77">
        <f>Table!$P$10</f>
        <v>0.20667681609127561</v>
      </c>
    </row>
    <row r="6" spans="1:15" ht="15" x14ac:dyDescent="0.2">
      <c r="A6" s="47"/>
      <c r="C6" s="173" t="s">
        <v>95</v>
      </c>
      <c r="D6" s="60"/>
      <c r="E6" s="60"/>
      <c r="F6" s="60"/>
      <c r="G6" s="47"/>
      <c r="K6" s="50" t="str">
        <f>Table!L11</f>
        <v>Grain Density, grams/cc:</v>
      </c>
      <c r="M6" s="60"/>
      <c r="N6" s="43"/>
      <c r="O6" s="84">
        <f>Table!$P$11</f>
        <v>2.6387621396910372</v>
      </c>
    </row>
    <row r="7" spans="1:15" x14ac:dyDescent="0.2">
      <c r="B7" s="158"/>
      <c r="D7" s="47"/>
      <c r="E7" s="47"/>
      <c r="I7" s="50"/>
      <c r="K7" s="60"/>
      <c r="L7" s="10"/>
      <c r="M7" s="95"/>
    </row>
    <row r="8" spans="1:15" x14ac:dyDescent="0.2">
      <c r="B8" s="158"/>
      <c r="D8" s="47"/>
      <c r="E8" s="47"/>
      <c r="I8" s="50"/>
      <c r="K8" s="60"/>
      <c r="L8" s="10"/>
      <c r="M8" s="95"/>
    </row>
    <row r="9" spans="1:15" ht="12" customHeight="1" x14ac:dyDescent="0.2">
      <c r="B9" s="47"/>
      <c r="C9" s="47"/>
      <c r="D9" s="47"/>
      <c r="E9" s="47"/>
      <c r="F9" s="47"/>
    </row>
    <row r="10" spans="1:15" x14ac:dyDescent="0.2">
      <c r="B10" s="47"/>
      <c r="C10" s="47"/>
      <c r="D10" s="47"/>
      <c r="E10" s="47"/>
      <c r="F10" s="47"/>
      <c r="K10" s="60"/>
      <c r="L10" s="10"/>
    </row>
    <row r="11" spans="1:15" x14ac:dyDescent="0.2">
      <c r="B11" s="47"/>
      <c r="C11" s="47"/>
      <c r="D11" s="60"/>
      <c r="E11" s="47"/>
      <c r="F11" s="47"/>
      <c r="K11" s="60"/>
      <c r="L11" s="10"/>
    </row>
    <row r="12" spans="1:15" x14ac:dyDescent="0.2">
      <c r="B12" s="47"/>
      <c r="C12" s="47"/>
      <c r="D12" s="60"/>
      <c r="E12" s="47"/>
      <c r="F12" s="47"/>
      <c r="G12" s="50"/>
      <c r="H12" s="47"/>
      <c r="I12" s="47"/>
      <c r="J12" s="77"/>
      <c r="K12" s="60"/>
      <c r="L12" s="10"/>
    </row>
    <row r="13" spans="1:15" x14ac:dyDescent="0.2">
      <c r="A13" s="158"/>
      <c r="B13" s="47"/>
      <c r="C13" s="47"/>
      <c r="D13" s="47"/>
      <c r="E13" s="47"/>
      <c r="F13" s="47"/>
      <c r="G13" s="47"/>
      <c r="H13" s="47"/>
      <c r="I13" s="25"/>
      <c r="J13" s="60"/>
      <c r="K13" s="60"/>
      <c r="L13" s="10"/>
    </row>
    <row r="14" spans="1:15" x14ac:dyDescent="0.2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60"/>
      <c r="L14" s="10"/>
    </row>
    <row r="15" spans="1:15" x14ac:dyDescent="0.2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47"/>
      <c r="L15" s="10"/>
    </row>
    <row r="16" spans="1:15" x14ac:dyDescent="0.2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47"/>
      <c r="L16" s="10"/>
    </row>
    <row r="17" spans="1:12" x14ac:dyDescent="0.2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47"/>
      <c r="L17" s="104"/>
    </row>
    <row r="18" spans="1:12" x14ac:dyDescent="0.2">
      <c r="A18" s="119"/>
      <c r="B18" s="32"/>
      <c r="C18" s="32"/>
      <c r="D18" s="116"/>
      <c r="E18" s="160"/>
      <c r="F18" s="96"/>
      <c r="G18" s="96"/>
      <c r="H18" s="96"/>
      <c r="I18" s="96"/>
      <c r="J18" s="96"/>
      <c r="K18" s="47"/>
      <c r="L18" s="104"/>
    </row>
    <row r="19" spans="1:12" x14ac:dyDescent="0.2">
      <c r="A19" s="106"/>
      <c r="B19" s="32"/>
      <c r="C19" s="32"/>
      <c r="D19" s="116"/>
      <c r="E19" s="160"/>
      <c r="F19" s="96"/>
      <c r="G19" s="96"/>
      <c r="H19" s="96"/>
      <c r="I19" s="96"/>
      <c r="J19" s="96"/>
      <c r="K19" s="47"/>
      <c r="L19" s="104"/>
    </row>
    <row r="20" spans="1:12" x14ac:dyDescent="0.2">
      <c r="A20" s="106"/>
      <c r="B20" s="32"/>
      <c r="C20" s="32"/>
      <c r="D20" s="116"/>
      <c r="E20" s="160"/>
      <c r="F20" s="96"/>
      <c r="G20" s="96"/>
      <c r="H20" s="96"/>
      <c r="I20" s="96"/>
      <c r="J20" s="96"/>
      <c r="K20" s="47"/>
      <c r="L20" s="147"/>
    </row>
    <row r="21" spans="1:12" x14ac:dyDescent="0.2">
      <c r="A21" s="106"/>
      <c r="B21" s="32"/>
      <c r="C21" s="32"/>
      <c r="D21" s="116"/>
      <c r="E21" s="160"/>
      <c r="F21" s="96"/>
      <c r="G21" s="96"/>
      <c r="H21" s="96"/>
      <c r="I21" s="96"/>
      <c r="J21" s="96"/>
      <c r="K21" s="47"/>
      <c r="L21" s="44"/>
    </row>
    <row r="22" spans="1:12" x14ac:dyDescent="0.2">
      <c r="A22" s="106"/>
      <c r="B22" s="32"/>
      <c r="C22" s="32"/>
      <c r="D22" s="116"/>
      <c r="E22" s="160"/>
      <c r="F22" s="96"/>
      <c r="G22" s="96"/>
      <c r="H22" s="96"/>
      <c r="I22" s="96"/>
      <c r="J22" s="96"/>
      <c r="K22" s="47"/>
      <c r="L22" s="44"/>
    </row>
    <row r="23" spans="1:12" x14ac:dyDescent="0.2">
      <c r="A23" s="106"/>
      <c r="B23" s="32"/>
      <c r="C23" s="32"/>
      <c r="D23" s="116"/>
      <c r="E23" s="160"/>
      <c r="F23" s="96"/>
      <c r="G23" s="96"/>
      <c r="H23" s="96"/>
      <c r="I23" s="96"/>
      <c r="J23" s="96"/>
      <c r="K23" s="47"/>
      <c r="L23" s="44"/>
    </row>
    <row r="24" spans="1:12" x14ac:dyDescent="0.2">
      <c r="A24" s="154"/>
      <c r="B24" s="32"/>
      <c r="C24" s="32"/>
      <c r="D24" s="116"/>
      <c r="E24" s="160"/>
      <c r="F24" s="96"/>
      <c r="G24" s="96"/>
      <c r="H24" s="96"/>
      <c r="I24" s="96"/>
      <c r="J24" s="96"/>
      <c r="K24" s="47"/>
      <c r="L24" s="44"/>
    </row>
    <row r="25" spans="1:12" x14ac:dyDescent="0.2">
      <c r="A25" s="154"/>
      <c r="B25" s="32"/>
      <c r="C25" s="32"/>
      <c r="D25" s="116"/>
      <c r="E25" s="160"/>
      <c r="F25" s="96"/>
      <c r="G25" s="96"/>
      <c r="H25" s="96"/>
      <c r="I25" s="96"/>
      <c r="J25" s="96"/>
      <c r="K25" s="47"/>
      <c r="L25" s="44"/>
    </row>
    <row r="26" spans="1:12" x14ac:dyDescent="0.2">
      <c r="A26" s="154"/>
      <c r="B26" s="32"/>
      <c r="C26" s="32"/>
      <c r="D26" s="116"/>
      <c r="E26" s="160"/>
      <c r="F26" s="96"/>
      <c r="G26" s="96"/>
      <c r="H26" s="96"/>
      <c r="I26" s="96"/>
      <c r="J26" s="96"/>
      <c r="K26" s="47"/>
      <c r="L26" s="44"/>
    </row>
    <row r="27" spans="1:12" ht="15.75" customHeight="1" x14ac:dyDescent="0.2">
      <c r="A27" s="154"/>
      <c r="B27" s="32"/>
      <c r="C27" s="32"/>
      <c r="D27" s="116"/>
      <c r="E27" s="160"/>
      <c r="F27" s="96"/>
      <c r="G27" s="96"/>
      <c r="H27" s="96"/>
      <c r="I27" s="96"/>
      <c r="J27" s="96"/>
      <c r="K27" s="47"/>
      <c r="L27" s="44"/>
    </row>
    <row r="28" spans="1:12" x14ac:dyDescent="0.2">
      <c r="A28" s="154"/>
      <c r="B28" s="32"/>
      <c r="C28" s="32"/>
      <c r="D28" s="116"/>
      <c r="E28" s="160"/>
      <c r="F28" s="96"/>
      <c r="G28" s="96"/>
      <c r="H28" s="96"/>
      <c r="I28" s="96"/>
      <c r="J28" s="96"/>
      <c r="K28" s="47"/>
      <c r="L28" s="44"/>
    </row>
    <row r="29" spans="1:12" x14ac:dyDescent="0.2">
      <c r="A29" s="102"/>
      <c r="B29" s="32"/>
      <c r="C29" s="32"/>
      <c r="D29" s="116"/>
      <c r="E29" s="160"/>
      <c r="F29" s="96"/>
      <c r="G29" s="96"/>
      <c r="H29" s="96"/>
      <c r="I29" s="96"/>
      <c r="J29" s="96"/>
      <c r="K29" s="47"/>
      <c r="L29" s="44"/>
    </row>
    <row r="30" spans="1:12" x14ac:dyDescent="0.2">
      <c r="A30" s="102"/>
      <c r="B30" s="32"/>
      <c r="C30" s="32"/>
      <c r="D30" s="116"/>
      <c r="E30" s="160"/>
      <c r="F30" s="96"/>
      <c r="G30" s="96"/>
      <c r="H30" s="96"/>
      <c r="I30" s="96"/>
      <c r="J30" s="96"/>
      <c r="K30" s="47"/>
      <c r="L30" s="44"/>
    </row>
    <row r="31" spans="1:12" x14ac:dyDescent="0.2">
      <c r="A31" s="102"/>
      <c r="B31" s="32"/>
      <c r="C31" s="32"/>
      <c r="D31" s="116"/>
      <c r="E31" s="160"/>
      <c r="F31" s="96"/>
      <c r="G31" s="96"/>
      <c r="H31" s="96"/>
      <c r="I31" s="96"/>
      <c r="J31" s="96"/>
      <c r="K31" s="47"/>
      <c r="L31" s="44"/>
    </row>
    <row r="32" spans="1:12" x14ac:dyDescent="0.2">
      <c r="A32" s="102"/>
      <c r="B32" s="32"/>
      <c r="C32" s="32"/>
      <c r="D32" s="116"/>
      <c r="E32" s="160"/>
      <c r="F32" s="96"/>
      <c r="G32" s="96"/>
      <c r="H32" s="96"/>
      <c r="I32" s="96"/>
      <c r="J32" s="96"/>
      <c r="K32" s="47"/>
      <c r="L32" s="44"/>
    </row>
    <row r="33" spans="1:12" x14ac:dyDescent="0.2">
      <c r="A33" s="102"/>
      <c r="B33" s="32"/>
      <c r="C33" s="32"/>
      <c r="D33" s="116"/>
      <c r="E33" s="160"/>
      <c r="F33" s="96"/>
      <c r="G33" s="96"/>
      <c r="H33" s="96"/>
      <c r="I33" s="96"/>
      <c r="J33" s="96"/>
      <c r="K33" s="47"/>
      <c r="L33" s="44"/>
    </row>
    <row r="34" spans="1:12" x14ac:dyDescent="0.2">
      <c r="A34" s="97"/>
      <c r="B34" s="32"/>
      <c r="C34" s="32"/>
      <c r="D34" s="116"/>
      <c r="E34" s="160"/>
      <c r="F34" s="96"/>
      <c r="G34" s="96"/>
      <c r="H34" s="96"/>
      <c r="I34" s="96"/>
      <c r="J34" s="96"/>
      <c r="K34" s="47"/>
      <c r="L34" s="44"/>
    </row>
    <row r="35" spans="1:12" x14ac:dyDescent="0.2">
      <c r="A35" s="97"/>
      <c r="B35" s="32"/>
      <c r="C35" s="32"/>
      <c r="D35" s="116"/>
      <c r="E35" s="160"/>
      <c r="F35" s="96"/>
      <c r="G35" s="96"/>
      <c r="H35" s="96"/>
      <c r="I35" s="96"/>
      <c r="J35" s="96"/>
      <c r="K35" s="47"/>
      <c r="L35" s="44"/>
    </row>
    <row r="36" spans="1:12" x14ac:dyDescent="0.2">
      <c r="A36" s="97"/>
      <c r="B36" s="32"/>
      <c r="C36" s="32"/>
      <c r="D36" s="116"/>
      <c r="E36" s="160"/>
      <c r="F36" s="96"/>
      <c r="G36" s="96"/>
      <c r="H36" s="96"/>
      <c r="I36" s="96"/>
      <c r="J36" s="96"/>
      <c r="K36" s="47"/>
      <c r="L36" s="44"/>
    </row>
    <row r="37" spans="1:12" x14ac:dyDescent="0.2">
      <c r="A37" s="97"/>
      <c r="B37" s="32"/>
      <c r="C37" s="32"/>
      <c r="D37" s="116"/>
      <c r="E37" s="160"/>
      <c r="F37" s="96"/>
      <c r="G37" s="96"/>
      <c r="H37" s="96"/>
      <c r="I37" s="96"/>
      <c r="J37" s="96"/>
      <c r="K37" s="47"/>
      <c r="L37" s="44"/>
    </row>
    <row r="38" spans="1:12" x14ac:dyDescent="0.2">
      <c r="A38" s="97"/>
      <c r="B38" s="32"/>
      <c r="C38" s="32"/>
      <c r="D38" s="116"/>
      <c r="E38" s="160"/>
      <c r="F38" s="96"/>
      <c r="G38" s="96"/>
      <c r="H38" s="96"/>
      <c r="I38" s="96"/>
      <c r="J38" s="96"/>
      <c r="K38" s="47"/>
      <c r="L38" s="44"/>
    </row>
    <row r="39" spans="1:12" x14ac:dyDescent="0.2">
      <c r="A39" s="97"/>
      <c r="B39" s="32"/>
      <c r="C39" s="32"/>
      <c r="D39" s="116"/>
      <c r="E39" s="160"/>
      <c r="F39" s="96"/>
      <c r="G39" s="96"/>
      <c r="H39" s="96"/>
      <c r="I39" s="96"/>
      <c r="J39" s="96"/>
      <c r="K39" s="47"/>
      <c r="L39" s="44"/>
    </row>
    <row r="40" spans="1:12" x14ac:dyDescent="0.2">
      <c r="A40" s="97"/>
      <c r="B40" s="32"/>
      <c r="C40" s="32"/>
      <c r="D40" s="116"/>
      <c r="E40" s="160"/>
      <c r="F40" s="96"/>
      <c r="G40" s="96"/>
      <c r="H40" s="96"/>
      <c r="I40" s="96"/>
      <c r="J40" s="96"/>
      <c r="K40" s="47"/>
      <c r="L40" s="44"/>
    </row>
    <row r="41" spans="1:12" x14ac:dyDescent="0.2">
      <c r="A41" s="97"/>
      <c r="B41" s="32"/>
      <c r="C41" s="32"/>
      <c r="D41" s="116"/>
      <c r="E41" s="160"/>
      <c r="F41" s="96"/>
      <c r="G41" s="96"/>
      <c r="H41" s="96"/>
      <c r="I41" s="96"/>
      <c r="J41" s="96"/>
      <c r="K41" s="47"/>
      <c r="L41" s="44"/>
    </row>
    <row r="42" spans="1:12" x14ac:dyDescent="0.2">
      <c r="A42" s="97"/>
      <c r="B42" s="32"/>
      <c r="C42" s="32"/>
      <c r="D42" s="116"/>
      <c r="E42" s="160"/>
      <c r="F42" s="96"/>
      <c r="G42" s="96"/>
      <c r="H42" s="96"/>
      <c r="I42" s="96"/>
      <c r="J42" s="96"/>
      <c r="K42" s="47"/>
      <c r="L42" s="44"/>
    </row>
    <row r="43" spans="1:12" x14ac:dyDescent="0.2">
      <c r="A43" s="97"/>
      <c r="B43" s="32"/>
      <c r="C43" s="32"/>
      <c r="D43" s="116"/>
      <c r="E43" s="160"/>
      <c r="F43" s="96"/>
      <c r="G43" s="96"/>
      <c r="H43" s="96"/>
      <c r="I43" s="96"/>
      <c r="J43" s="96"/>
      <c r="K43" s="47"/>
      <c r="L43" s="44"/>
    </row>
    <row r="44" spans="1:12" x14ac:dyDescent="0.2">
      <c r="A44" s="63"/>
      <c r="B44" s="63"/>
      <c r="C44" s="63"/>
      <c r="D44" s="63"/>
      <c r="E44" s="63"/>
      <c r="F44" s="63"/>
      <c r="G44" s="63"/>
      <c r="H44" s="63"/>
      <c r="I44" s="63"/>
      <c r="J44" s="63"/>
    </row>
    <row r="45" spans="1:12" ht="17.25" customHeight="1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</row>
    <row r="46" spans="1:12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</row>
    <row r="47" spans="1:12" x14ac:dyDescent="0.2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2" ht="15" x14ac:dyDescent="0.2">
      <c r="A48" s="63"/>
      <c r="B48" s="63"/>
      <c r="C48" s="63"/>
      <c r="D48" s="63"/>
      <c r="E48" s="63"/>
      <c r="F48" s="63"/>
      <c r="G48" s="63"/>
      <c r="H48" s="59"/>
      <c r="I48" s="111"/>
      <c r="J48" s="139"/>
      <c r="K48" s="63"/>
    </row>
    <row r="49" spans="1:12" x14ac:dyDescent="0.2">
      <c r="A49" s="63"/>
      <c r="B49" s="63"/>
      <c r="C49" s="63"/>
      <c r="D49" s="63"/>
      <c r="E49" s="63"/>
      <c r="F49" s="63"/>
      <c r="G49" s="63"/>
      <c r="H49" s="111"/>
      <c r="I49" s="111"/>
      <c r="J49" s="139"/>
      <c r="K49" s="63"/>
    </row>
    <row r="50" spans="1:12" x14ac:dyDescent="0.2">
      <c r="G50" s="63"/>
      <c r="H50" s="111"/>
      <c r="I50" s="111"/>
      <c r="J50" s="139"/>
      <c r="K50" s="63"/>
    </row>
    <row r="51" spans="1:12" x14ac:dyDescent="0.2">
      <c r="G51" s="63"/>
      <c r="H51" s="111"/>
      <c r="I51" s="111"/>
      <c r="J51" s="139"/>
      <c r="K51" s="63"/>
    </row>
    <row r="52" spans="1:12" x14ac:dyDescent="0.2">
      <c r="G52" s="63"/>
      <c r="H52" s="111"/>
      <c r="I52" s="111"/>
      <c r="J52" s="139"/>
      <c r="K52" s="63"/>
    </row>
    <row r="53" spans="1:12" x14ac:dyDescent="0.2">
      <c r="G53" s="63"/>
      <c r="H53" s="63"/>
      <c r="I53" s="63"/>
      <c r="J53" s="63"/>
      <c r="K53" s="63"/>
    </row>
    <row r="54" spans="1:12" x14ac:dyDescent="0.2">
      <c r="G54" s="63"/>
      <c r="H54" s="63"/>
      <c r="I54" s="63"/>
      <c r="J54" s="63"/>
      <c r="K54" s="63"/>
    </row>
    <row r="56" spans="1:12" x14ac:dyDescent="0.2">
      <c r="J56"/>
      <c r="K56"/>
      <c r="L56"/>
    </row>
    <row r="57" spans="1:12" x14ac:dyDescent="0.2">
      <c r="J57"/>
      <c r="K57"/>
      <c r="L57"/>
    </row>
    <row r="58" spans="1:12" x14ac:dyDescent="0.2">
      <c r="J58"/>
      <c r="K58"/>
      <c r="L58"/>
    </row>
    <row r="59" spans="1:12" x14ac:dyDescent="0.2">
      <c r="J59"/>
      <c r="K59"/>
      <c r="L59"/>
    </row>
    <row r="60" spans="1:12" x14ac:dyDescent="0.2">
      <c r="J60"/>
      <c r="K60"/>
      <c r="L60"/>
    </row>
  </sheetData>
  <mergeCells count="1">
    <mergeCell ref="C1:M1"/>
  </mergeCells>
  <printOptions horizontalCentered="1"/>
  <pageMargins left="0.5" right="0.5" top="0.5" bottom="0.5" header="0" footer="0"/>
  <pageSetup scale="9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59"/>
  <sheetViews>
    <sheetView showGridLines="0" workbookViewId="0">
      <selection activeCell="C6" sqref="C6"/>
    </sheetView>
  </sheetViews>
  <sheetFormatPr defaultColWidth="8.85546875" defaultRowHeight="12.75" x14ac:dyDescent="0.2"/>
  <cols>
    <col min="1" max="7" width="8.28515625" style="143" customWidth="1"/>
    <col min="8" max="8" width="4.85546875" style="143" customWidth="1"/>
    <col min="9" max="14" width="8.28515625" style="143" customWidth="1"/>
    <col min="15" max="15" width="13.140625" style="143" customWidth="1"/>
    <col min="16" max="19" width="8.28515625" style="143" customWidth="1"/>
    <col min="20" max="16384" width="8.85546875" style="143"/>
  </cols>
  <sheetData>
    <row r="1" spans="1:15" ht="15.75" x14ac:dyDescent="0.25">
      <c r="C1" s="163" t="s">
        <v>11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5" x14ac:dyDescent="0.2">
      <c r="C2" s="158" t="str">
        <f>Table!A7</f>
        <v>Shell Exploration &amp; Production Company</v>
      </c>
      <c r="K2" s="50" t="str">
        <f>Table!L7</f>
        <v>Sample Number:</v>
      </c>
      <c r="O2" s="127" t="str">
        <f>Table!$P$7</f>
        <v>MC 39</v>
      </c>
    </row>
    <row r="3" spans="1:15" x14ac:dyDescent="0.2">
      <c r="C3" s="158" t="str">
        <f>Table!A8</f>
        <v>OCS-Y-2321 Burger J 001</v>
      </c>
      <c r="K3" s="50" t="str">
        <f>Table!L8</f>
        <v>Sample Depth, feet:</v>
      </c>
      <c r="O3" s="4">
        <f>Table!$P$8</f>
        <v>0</v>
      </c>
    </row>
    <row r="4" spans="1:15" x14ac:dyDescent="0.2">
      <c r="C4" s="158" t="str">
        <f>Table!A9</f>
        <v>Offshore</v>
      </c>
      <c r="K4" s="50" t="str">
        <f>Table!L9</f>
        <v>Permeability to Air (calc), mD:</v>
      </c>
      <c r="M4" s="47"/>
      <c r="N4" s="47"/>
      <c r="O4" s="84">
        <f>Table!$P$9</f>
        <v>8.874245638097225</v>
      </c>
    </row>
    <row r="5" spans="1:15" x14ac:dyDescent="0.2">
      <c r="C5" s="158" t="str">
        <f>Table!A10</f>
        <v>HH-77445</v>
      </c>
      <c r="D5" s="15"/>
      <c r="E5" s="15"/>
      <c r="F5" s="84"/>
      <c r="G5" s="15"/>
      <c r="K5" s="50" t="str">
        <f>Table!L10</f>
        <v>Porosity, fraction:</v>
      </c>
      <c r="M5" s="47"/>
      <c r="N5" s="47"/>
      <c r="O5" s="77">
        <f>Table!$P$10</f>
        <v>0.20667681609127561</v>
      </c>
    </row>
    <row r="6" spans="1:15" ht="15" x14ac:dyDescent="0.2">
      <c r="A6" s="47"/>
      <c r="C6" s="173" t="s">
        <v>95</v>
      </c>
      <c r="D6" s="60"/>
      <c r="E6" s="60"/>
      <c r="F6" s="60"/>
      <c r="G6" s="47"/>
      <c r="K6" s="50" t="str">
        <f>Table!L11</f>
        <v>Grain Density, grams/cc:</v>
      </c>
      <c r="M6" s="60"/>
      <c r="N6" s="60"/>
      <c r="O6" s="84">
        <f>Table!$P$11</f>
        <v>2.6387621396910372</v>
      </c>
    </row>
    <row r="7" spans="1:15" x14ac:dyDescent="0.2">
      <c r="B7" s="158"/>
      <c r="D7" s="47"/>
      <c r="E7" s="47"/>
      <c r="I7" s="50"/>
      <c r="K7" s="60"/>
      <c r="L7" s="10"/>
      <c r="M7" s="95"/>
    </row>
    <row r="8" spans="1:15" x14ac:dyDescent="0.2">
      <c r="B8" s="47"/>
      <c r="C8" s="47"/>
      <c r="D8" s="47"/>
      <c r="E8" s="47"/>
      <c r="F8" s="47"/>
    </row>
    <row r="9" spans="1:15" x14ac:dyDescent="0.2">
      <c r="B9" s="47"/>
      <c r="C9" s="47"/>
      <c r="D9" s="47"/>
      <c r="E9" s="47"/>
      <c r="F9" s="47"/>
      <c r="K9" s="60"/>
      <c r="L9" s="10"/>
    </row>
    <row r="10" spans="1:15" x14ac:dyDescent="0.2">
      <c r="B10" s="47"/>
      <c r="C10" s="47"/>
      <c r="D10" s="60"/>
      <c r="E10" s="47"/>
      <c r="F10" s="47"/>
      <c r="K10" s="60"/>
      <c r="L10" s="10"/>
    </row>
    <row r="11" spans="1:15" x14ac:dyDescent="0.2">
      <c r="B11" s="47"/>
      <c r="C11" s="47"/>
      <c r="D11" s="60"/>
      <c r="E11" s="47"/>
      <c r="F11" s="47"/>
      <c r="G11" s="50"/>
      <c r="H11" s="47"/>
      <c r="I11" s="47"/>
      <c r="J11" s="77"/>
      <c r="K11" s="60"/>
      <c r="L11" s="10"/>
    </row>
    <row r="12" spans="1:15" x14ac:dyDescent="0.2">
      <c r="A12" s="158"/>
      <c r="B12" s="47"/>
      <c r="C12" s="47"/>
      <c r="D12" s="47"/>
      <c r="E12" s="47"/>
      <c r="F12" s="47"/>
      <c r="G12" s="47"/>
      <c r="H12" s="47"/>
      <c r="I12" s="25"/>
      <c r="J12" s="60"/>
      <c r="K12" s="60"/>
      <c r="L12" s="10"/>
    </row>
    <row r="13" spans="1:15" x14ac:dyDescent="0.2">
      <c r="A13" s="135"/>
      <c r="B13" s="135"/>
      <c r="C13" s="135"/>
      <c r="D13" s="135"/>
      <c r="E13" s="135"/>
      <c r="F13" s="124"/>
      <c r="G13" s="124"/>
      <c r="H13" s="124"/>
      <c r="I13" s="124"/>
      <c r="J13" s="124"/>
      <c r="K13" s="60"/>
      <c r="L13" s="10"/>
    </row>
    <row r="14" spans="1:15" x14ac:dyDescent="0.2">
      <c r="A14" s="135"/>
      <c r="B14" s="135"/>
      <c r="C14" s="135"/>
      <c r="D14" s="135"/>
      <c r="E14" s="135"/>
      <c r="F14" s="135"/>
      <c r="G14" s="135"/>
      <c r="H14" s="135"/>
      <c r="I14" s="124"/>
      <c r="J14" s="124"/>
      <c r="K14" s="47"/>
      <c r="L14" s="10"/>
    </row>
    <row r="15" spans="1:15" x14ac:dyDescent="0.2">
      <c r="A15" s="135"/>
      <c r="B15" s="135"/>
      <c r="C15" s="135"/>
      <c r="D15" s="135"/>
      <c r="E15" s="135"/>
      <c r="F15" s="135"/>
      <c r="G15" s="135"/>
      <c r="H15" s="135"/>
      <c r="I15" s="124"/>
      <c r="J15" s="124"/>
      <c r="K15" s="47"/>
      <c r="L15" s="10"/>
    </row>
    <row r="16" spans="1:15" x14ac:dyDescent="0.2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47"/>
      <c r="L16" s="104"/>
    </row>
    <row r="17" spans="1:12" x14ac:dyDescent="0.2">
      <c r="A17" s="119"/>
      <c r="B17" s="32"/>
      <c r="C17" s="32"/>
      <c r="D17" s="116"/>
      <c r="E17" s="160"/>
      <c r="F17" s="96"/>
      <c r="G17" s="96"/>
      <c r="H17" s="96"/>
      <c r="I17" s="96"/>
      <c r="J17" s="96"/>
      <c r="K17" s="47"/>
      <c r="L17" s="104"/>
    </row>
    <row r="18" spans="1:12" x14ac:dyDescent="0.2">
      <c r="A18" s="106"/>
      <c r="B18" s="32"/>
      <c r="C18" s="32"/>
      <c r="D18" s="116"/>
      <c r="E18" s="160"/>
      <c r="F18" s="96"/>
      <c r="G18" s="96"/>
      <c r="H18" s="96"/>
      <c r="I18" s="96"/>
      <c r="J18" s="96"/>
      <c r="K18" s="47"/>
      <c r="L18" s="104"/>
    </row>
    <row r="19" spans="1:12" x14ac:dyDescent="0.2">
      <c r="A19" s="106"/>
      <c r="B19" s="32"/>
      <c r="C19" s="32"/>
      <c r="D19" s="116"/>
      <c r="E19" s="160"/>
      <c r="F19" s="96"/>
      <c r="G19" s="96"/>
      <c r="H19" s="96"/>
      <c r="I19" s="96"/>
      <c r="J19" s="96"/>
      <c r="K19" s="47"/>
      <c r="L19" s="147"/>
    </row>
    <row r="20" spans="1:12" x14ac:dyDescent="0.2">
      <c r="A20" s="106"/>
      <c r="B20" s="32"/>
      <c r="C20" s="32"/>
      <c r="D20" s="116"/>
      <c r="E20" s="160"/>
      <c r="F20" s="96"/>
      <c r="G20" s="96"/>
      <c r="H20" s="96"/>
      <c r="I20" s="96"/>
      <c r="J20" s="96"/>
      <c r="K20" s="47"/>
      <c r="L20" s="44"/>
    </row>
    <row r="21" spans="1:12" x14ac:dyDescent="0.2">
      <c r="A21" s="106"/>
      <c r="B21" s="32"/>
      <c r="C21" s="32"/>
      <c r="D21" s="116"/>
      <c r="E21" s="160"/>
      <c r="F21" s="96"/>
      <c r="G21" s="96"/>
      <c r="H21" s="96"/>
      <c r="I21" s="96"/>
      <c r="J21" s="96"/>
      <c r="K21" s="47"/>
      <c r="L21" s="44"/>
    </row>
    <row r="22" spans="1:12" x14ac:dyDescent="0.2">
      <c r="A22" s="106"/>
      <c r="B22" s="32"/>
      <c r="C22" s="32"/>
      <c r="D22" s="116"/>
      <c r="E22" s="160"/>
      <c r="F22" s="96"/>
      <c r="G22" s="96"/>
      <c r="H22" s="96"/>
      <c r="I22" s="96"/>
      <c r="J22" s="96"/>
      <c r="K22" s="47"/>
      <c r="L22" s="44"/>
    </row>
    <row r="23" spans="1:12" x14ac:dyDescent="0.2">
      <c r="A23" s="154"/>
      <c r="B23" s="32"/>
      <c r="C23" s="32"/>
      <c r="D23" s="116"/>
      <c r="E23" s="160"/>
      <c r="F23" s="96"/>
      <c r="G23" s="96"/>
      <c r="H23" s="96"/>
      <c r="I23" s="96"/>
      <c r="J23" s="96"/>
      <c r="K23" s="47"/>
      <c r="L23" s="44"/>
    </row>
    <row r="24" spans="1:12" x14ac:dyDescent="0.2">
      <c r="A24" s="154"/>
      <c r="B24" s="32"/>
      <c r="C24" s="32"/>
      <c r="D24" s="116"/>
      <c r="E24" s="160"/>
      <c r="F24" s="96"/>
      <c r="G24" s="96"/>
      <c r="H24" s="96"/>
      <c r="I24" s="96"/>
      <c r="J24" s="96"/>
      <c r="K24" s="47"/>
      <c r="L24" s="44"/>
    </row>
    <row r="25" spans="1:12" x14ac:dyDescent="0.2">
      <c r="A25" s="154"/>
      <c r="B25" s="32"/>
      <c r="C25" s="32"/>
      <c r="D25" s="116"/>
      <c r="E25" s="160"/>
      <c r="F25" s="96"/>
      <c r="G25" s="96"/>
      <c r="H25" s="96"/>
      <c r="I25" s="96"/>
      <c r="J25" s="96"/>
      <c r="K25" s="47"/>
      <c r="L25" s="44"/>
    </row>
    <row r="26" spans="1:12" x14ac:dyDescent="0.2">
      <c r="A26" s="154"/>
      <c r="B26" s="32"/>
      <c r="C26" s="32"/>
      <c r="D26" s="116"/>
      <c r="E26" s="160"/>
      <c r="F26" s="96"/>
      <c r="G26" s="96"/>
      <c r="H26" s="96"/>
      <c r="I26" s="96"/>
      <c r="J26" s="96"/>
      <c r="K26" s="47"/>
      <c r="L26" s="44"/>
    </row>
    <row r="27" spans="1:12" x14ac:dyDescent="0.2">
      <c r="A27" s="154"/>
      <c r="B27" s="32"/>
      <c r="C27" s="32"/>
      <c r="D27" s="116"/>
      <c r="E27" s="160"/>
      <c r="F27" s="96"/>
      <c r="G27" s="96"/>
      <c r="H27" s="96"/>
      <c r="I27" s="96"/>
      <c r="J27" s="96"/>
      <c r="K27" s="47"/>
      <c r="L27" s="44"/>
    </row>
    <row r="28" spans="1:12" x14ac:dyDescent="0.2">
      <c r="A28" s="102"/>
      <c r="B28" s="32"/>
      <c r="C28" s="32"/>
      <c r="D28" s="116"/>
      <c r="E28" s="160"/>
      <c r="F28" s="96"/>
      <c r="G28" s="96"/>
      <c r="H28" s="96"/>
      <c r="I28" s="96"/>
      <c r="J28" s="96"/>
      <c r="K28" s="47"/>
      <c r="L28" s="44"/>
    </row>
    <row r="29" spans="1:12" x14ac:dyDescent="0.2">
      <c r="A29" s="102"/>
      <c r="B29" s="32"/>
      <c r="C29" s="32"/>
      <c r="D29" s="116"/>
      <c r="E29" s="160"/>
      <c r="F29" s="96"/>
      <c r="G29" s="96"/>
      <c r="H29" s="96"/>
      <c r="I29" s="96"/>
      <c r="J29" s="96"/>
      <c r="K29" s="47"/>
      <c r="L29" s="44"/>
    </row>
    <row r="30" spans="1:12" x14ac:dyDescent="0.2">
      <c r="A30" s="102"/>
      <c r="B30" s="32"/>
      <c r="C30" s="32"/>
      <c r="D30" s="116"/>
      <c r="E30" s="160"/>
      <c r="F30" s="96"/>
      <c r="G30" s="96"/>
      <c r="H30" s="96"/>
      <c r="I30" s="96"/>
      <c r="J30" s="96"/>
      <c r="K30" s="47"/>
      <c r="L30" s="44"/>
    </row>
    <row r="31" spans="1:12" x14ac:dyDescent="0.2">
      <c r="A31" s="102"/>
      <c r="B31" s="32"/>
      <c r="C31" s="32"/>
      <c r="D31" s="116"/>
      <c r="E31" s="160"/>
      <c r="F31" s="96"/>
      <c r="G31" s="96"/>
      <c r="H31" s="96"/>
      <c r="I31" s="96"/>
      <c r="J31" s="96"/>
      <c r="K31" s="47"/>
      <c r="L31" s="44"/>
    </row>
    <row r="32" spans="1:12" x14ac:dyDescent="0.2">
      <c r="A32" s="102"/>
      <c r="B32" s="32"/>
      <c r="C32" s="32"/>
      <c r="D32" s="116"/>
      <c r="E32" s="160"/>
      <c r="F32" s="96"/>
      <c r="G32" s="96"/>
      <c r="H32" s="96"/>
      <c r="I32" s="96"/>
      <c r="J32" s="96"/>
      <c r="K32" s="47"/>
      <c r="L32" s="44"/>
    </row>
    <row r="33" spans="1:13" x14ac:dyDescent="0.2">
      <c r="A33" s="97"/>
      <c r="B33" s="32"/>
      <c r="C33" s="32"/>
      <c r="D33" s="116"/>
      <c r="E33" s="160"/>
      <c r="F33" s="96"/>
      <c r="G33" s="96"/>
      <c r="H33" s="96"/>
      <c r="I33" s="96"/>
      <c r="J33" s="96"/>
      <c r="K33" s="47"/>
      <c r="L33" s="44"/>
    </row>
    <row r="34" spans="1:13" x14ac:dyDescent="0.2">
      <c r="A34" s="97"/>
      <c r="B34" s="32"/>
      <c r="C34" s="32"/>
      <c r="D34" s="116"/>
      <c r="E34" s="160"/>
      <c r="F34" s="96"/>
      <c r="G34" s="96"/>
      <c r="H34" s="96"/>
      <c r="I34" s="96"/>
      <c r="J34" s="96"/>
      <c r="K34" s="47"/>
      <c r="L34" s="44"/>
    </row>
    <row r="35" spans="1:13" x14ac:dyDescent="0.2">
      <c r="A35" s="97"/>
      <c r="B35" s="32"/>
      <c r="C35" s="32"/>
      <c r="D35" s="116"/>
      <c r="E35" s="160"/>
      <c r="F35" s="96"/>
      <c r="G35" s="96"/>
      <c r="H35" s="96"/>
      <c r="I35" s="96"/>
      <c r="J35" s="96"/>
      <c r="K35" s="47"/>
      <c r="L35" s="44"/>
    </row>
    <row r="36" spans="1:13" x14ac:dyDescent="0.2">
      <c r="A36" s="97"/>
      <c r="B36" s="32"/>
      <c r="C36" s="32"/>
      <c r="D36" s="116"/>
      <c r="E36" s="160"/>
      <c r="F36" s="96"/>
      <c r="G36" s="96"/>
      <c r="H36" s="96"/>
      <c r="I36" s="96"/>
      <c r="J36" s="96"/>
      <c r="K36" s="47"/>
      <c r="L36" s="44"/>
    </row>
    <row r="37" spans="1:13" x14ac:dyDescent="0.2">
      <c r="A37" s="97"/>
      <c r="B37" s="32"/>
      <c r="C37" s="32"/>
      <c r="D37" s="116"/>
      <c r="E37" s="160"/>
      <c r="F37" s="96"/>
      <c r="G37" s="96"/>
      <c r="H37" s="96"/>
      <c r="I37" s="96"/>
      <c r="J37" s="96"/>
      <c r="K37"/>
      <c r="L37"/>
      <c r="M37"/>
    </row>
    <row r="38" spans="1:13" x14ac:dyDescent="0.2">
      <c r="A38" s="97"/>
      <c r="B38" s="32"/>
      <c r="C38" s="32"/>
      <c r="D38" s="116"/>
      <c r="E38" s="160"/>
      <c r="F38" s="96"/>
      <c r="G38" s="96"/>
      <c r="H38" s="96"/>
      <c r="I38" s="96"/>
      <c r="J38" s="96"/>
      <c r="K38"/>
      <c r="L38"/>
      <c r="M38"/>
    </row>
    <row r="39" spans="1:13" x14ac:dyDescent="0.2">
      <c r="A39" s="97"/>
      <c r="B39" s="32"/>
      <c r="C39" s="32"/>
      <c r="D39" s="116"/>
      <c r="E39" s="160"/>
      <c r="F39" s="96"/>
      <c r="G39" s="96"/>
      <c r="H39" s="96"/>
      <c r="I39" s="96"/>
      <c r="J39" s="96"/>
      <c r="K39"/>
      <c r="L39"/>
      <c r="M39"/>
    </row>
    <row r="40" spans="1:13" x14ac:dyDescent="0.2">
      <c r="A40" s="97"/>
      <c r="B40" s="32"/>
      <c r="C40" s="32"/>
      <c r="D40" s="116"/>
      <c r="E40" s="160"/>
      <c r="F40" s="96"/>
      <c r="G40" s="96"/>
      <c r="H40" s="96"/>
      <c r="I40" s="96"/>
      <c r="J40" s="96"/>
      <c r="K40"/>
      <c r="L40"/>
      <c r="M40"/>
    </row>
    <row r="41" spans="1:13" x14ac:dyDescent="0.2">
      <c r="A41" s="97"/>
      <c r="B41" s="32"/>
      <c r="C41" s="32"/>
      <c r="D41" s="116"/>
      <c r="E41" s="160"/>
      <c r="F41" s="96"/>
      <c r="G41" s="96"/>
      <c r="H41" s="96"/>
      <c r="I41" s="96"/>
      <c r="J41" s="96"/>
      <c r="K41"/>
      <c r="L41"/>
      <c r="M41"/>
    </row>
    <row r="42" spans="1:13" x14ac:dyDescent="0.2">
      <c r="A42" s="97"/>
      <c r="B42" s="32"/>
      <c r="C42" s="32"/>
      <c r="D42" s="116"/>
      <c r="E42" s="160"/>
      <c r="F42" s="96"/>
      <c r="G42" s="96"/>
      <c r="H42" s="96"/>
      <c r="I42" s="96"/>
      <c r="J42" s="96"/>
      <c r="K42" s="47"/>
      <c r="L42" s="44"/>
    </row>
    <row r="43" spans="1:13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</row>
    <row r="44" spans="1:13" x14ac:dyDescent="0.2">
      <c r="A44" s="63"/>
      <c r="B44" s="63"/>
      <c r="C44" s="63"/>
      <c r="D44" s="63"/>
      <c r="E44" s="63"/>
      <c r="F44" s="63"/>
      <c r="G44" s="63"/>
      <c r="H44" s="63"/>
      <c r="I44" s="63"/>
      <c r="J44" s="63"/>
    </row>
    <row r="45" spans="1:13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</row>
    <row r="46" spans="1:13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</row>
    <row r="47" spans="1:13" x14ac:dyDescent="0.2">
      <c r="A47" s="63"/>
      <c r="B47" s="63"/>
      <c r="C47" s="63"/>
      <c r="D47" s="63"/>
      <c r="E47" s="63"/>
      <c r="F47" s="63"/>
      <c r="G47" s="63"/>
    </row>
    <row r="48" spans="1:13" x14ac:dyDescent="0.2">
      <c r="A48" s="63"/>
      <c r="B48" s="63"/>
      <c r="C48" s="63"/>
      <c r="D48" s="63"/>
      <c r="E48" s="63"/>
      <c r="F48" s="63"/>
      <c r="G48" s="63"/>
    </row>
    <row r="55" spans="10:12" x14ac:dyDescent="0.2">
      <c r="J55"/>
      <c r="K55"/>
      <c r="L55"/>
    </row>
    <row r="56" spans="10:12" x14ac:dyDescent="0.2">
      <c r="J56"/>
      <c r="K56"/>
      <c r="L56"/>
    </row>
    <row r="57" spans="10:12" x14ac:dyDescent="0.2">
      <c r="J57"/>
      <c r="K57"/>
      <c r="L57"/>
    </row>
    <row r="58" spans="10:12" x14ac:dyDescent="0.2">
      <c r="J58"/>
      <c r="K58"/>
      <c r="L58"/>
    </row>
    <row r="59" spans="10:12" x14ac:dyDescent="0.2">
      <c r="J59"/>
      <c r="K59"/>
      <c r="L59"/>
    </row>
  </sheetData>
  <mergeCells count="1">
    <mergeCell ref="C1:M1"/>
  </mergeCells>
  <printOptions horizontalCentered="1"/>
  <pageMargins left="0.5" right="0.5" top="0.5" bottom="0.5" header="0" footer="0"/>
  <pageSetup scale="74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6"/>
  <dimension ref="A1:AV190"/>
  <sheetViews>
    <sheetView showGridLines="0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A7" sqref="A7"/>
    </sheetView>
  </sheetViews>
  <sheetFormatPr defaultColWidth="8.85546875" defaultRowHeight="12.75" x14ac:dyDescent="0.2"/>
  <cols>
    <col min="1" max="2" width="8.85546875" style="143"/>
    <col min="3" max="3" width="11.140625" style="143" customWidth="1"/>
    <col min="4" max="4" width="16.28515625" style="143" customWidth="1"/>
    <col min="5" max="8" width="10.85546875" style="143" customWidth="1"/>
    <col min="9" max="9" width="11.140625" style="143" customWidth="1"/>
    <col min="10" max="10" width="11.85546875" style="143" customWidth="1"/>
    <col min="11" max="11" width="9.85546875" style="143" bestFit="1" customWidth="1"/>
    <col min="12" max="12" width="10.5703125" style="143" customWidth="1"/>
    <col min="13" max="14" width="10.5703125" style="143" bestFit="1" customWidth="1"/>
    <col min="15" max="15" width="8.85546875" style="143" customWidth="1"/>
    <col min="16" max="16" width="10.5703125" style="143" bestFit="1" customWidth="1"/>
    <col min="17" max="17" width="9.5703125" style="143" customWidth="1"/>
    <col min="18" max="18" width="8.85546875" style="143" customWidth="1"/>
    <col min="19" max="19" width="10.85546875" style="143" customWidth="1"/>
    <col min="20" max="20" width="11.140625" style="143" customWidth="1"/>
    <col min="21" max="21" width="9.28515625" style="143" customWidth="1"/>
    <col min="22" max="22" width="10.7109375" style="143" customWidth="1"/>
    <col min="23" max="23" width="10.5703125" style="143" customWidth="1"/>
    <col min="24" max="24" width="11" style="143" customWidth="1"/>
    <col min="25" max="25" width="9.140625"/>
    <col min="26" max="26" width="13" style="143" customWidth="1"/>
    <col min="27" max="28" width="8.85546875" style="143"/>
    <col min="29" max="29" width="12.140625" style="143" bestFit="1" customWidth="1"/>
    <col min="30" max="39" width="8.85546875" style="143"/>
    <col min="40" max="40" width="15.85546875" style="143" customWidth="1"/>
    <col min="41" max="43" width="8.85546875" style="143"/>
    <col min="44" max="48" width="8.85546875" style="63"/>
    <col min="49" max="16384" width="8.85546875" style="143"/>
  </cols>
  <sheetData>
    <row r="1" spans="1:48" x14ac:dyDescent="0.2">
      <c r="P1" s="13"/>
      <c r="Q1" s="13"/>
      <c r="Z1" s="1" t="s">
        <v>49</v>
      </c>
      <c r="AA1" s="155"/>
      <c r="AB1" s="155"/>
      <c r="AC1" s="162"/>
      <c r="AD1" s="162"/>
    </row>
    <row r="2" spans="1:48" x14ac:dyDescent="0.2">
      <c r="Z2" s="117"/>
      <c r="AA2" s="82"/>
      <c r="AB2" s="46" t="s">
        <v>65</v>
      </c>
      <c r="AC2" s="46" t="s">
        <v>50</v>
      </c>
      <c r="AD2" s="58" t="s">
        <v>0</v>
      </c>
      <c r="AE2" s="81" t="s">
        <v>27</v>
      </c>
      <c r="AJ2" s="143">
        <v>80.481999999999999</v>
      </c>
    </row>
    <row r="3" spans="1:48" x14ac:dyDescent="0.2">
      <c r="P3" s="150"/>
      <c r="Q3" s="150"/>
      <c r="Z3" s="23" t="s">
        <v>82</v>
      </c>
      <c r="AA3" s="147"/>
      <c r="AB3" s="69">
        <v>140</v>
      </c>
      <c r="AC3" s="104"/>
      <c r="AD3" s="101"/>
      <c r="AE3" s="92"/>
      <c r="AJ3" s="143">
        <v>13.5512</v>
      </c>
    </row>
    <row r="4" spans="1:48" x14ac:dyDescent="0.2">
      <c r="Z4" s="23" t="s">
        <v>21</v>
      </c>
      <c r="AA4" s="147"/>
      <c r="AB4" s="69">
        <v>485</v>
      </c>
      <c r="AC4" s="104"/>
      <c r="AD4" s="101"/>
      <c r="AE4" s="92"/>
      <c r="AJ4" s="143">
        <v>231.072</v>
      </c>
      <c r="AN4" s="169" t="s">
        <v>29</v>
      </c>
      <c r="AO4" s="170"/>
      <c r="AP4" s="171"/>
      <c r="AR4" s="168"/>
      <c r="AS4" s="168"/>
      <c r="AT4" s="168"/>
    </row>
    <row r="5" spans="1:48" ht="15.75" x14ac:dyDescent="0.25">
      <c r="A5" s="163" t="s">
        <v>11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55"/>
      <c r="R5" s="60"/>
      <c r="S5" s="60"/>
      <c r="T5" s="60"/>
      <c r="U5" s="60"/>
      <c r="V5" s="60"/>
      <c r="W5" s="60"/>
      <c r="X5" s="60"/>
      <c r="Z5" s="23" t="s">
        <v>30</v>
      </c>
      <c r="AA5" s="147"/>
      <c r="AB5" s="104"/>
      <c r="AC5" s="75">
        <v>0</v>
      </c>
      <c r="AD5" s="75">
        <v>0</v>
      </c>
      <c r="AE5" s="45">
        <v>30</v>
      </c>
      <c r="AJ5" s="143">
        <v>16.082100000000001</v>
      </c>
      <c r="AN5" s="76" t="s">
        <v>43</v>
      </c>
      <c r="AO5" s="76" t="s">
        <v>32</v>
      </c>
      <c r="AP5" s="76" t="s">
        <v>54</v>
      </c>
      <c r="AR5" s="91"/>
      <c r="AS5" s="91"/>
      <c r="AT5" s="91"/>
    </row>
    <row r="6" spans="1:48" x14ac:dyDescent="0.2">
      <c r="A6" s="47"/>
      <c r="B6" s="60"/>
      <c r="C6" s="60"/>
      <c r="D6" s="47"/>
      <c r="E6" s="47"/>
      <c r="F6" s="47"/>
      <c r="G6" s="47"/>
      <c r="H6" s="47"/>
      <c r="I6" s="47"/>
      <c r="J6" s="47"/>
      <c r="K6" s="60"/>
      <c r="L6" s="60"/>
      <c r="M6" s="60"/>
      <c r="N6" s="47"/>
      <c r="O6" s="60"/>
      <c r="P6" s="60"/>
      <c r="Q6" s="60"/>
      <c r="R6" s="60"/>
      <c r="S6" s="60"/>
      <c r="T6" s="60"/>
      <c r="U6" s="60"/>
      <c r="V6" s="60"/>
      <c r="W6" s="60"/>
      <c r="X6" s="60"/>
      <c r="Z6" s="23" t="s">
        <v>28</v>
      </c>
      <c r="AA6" s="147"/>
      <c r="AB6" s="104"/>
      <c r="AC6" s="146">
        <v>70</v>
      </c>
      <c r="AD6" s="69">
        <v>24</v>
      </c>
      <c r="AE6" s="38">
        <v>35</v>
      </c>
      <c r="AN6" s="132" t="s">
        <v>45</v>
      </c>
      <c r="AO6" s="132" t="s">
        <v>24</v>
      </c>
      <c r="AP6" s="132" t="s">
        <v>24</v>
      </c>
      <c r="AR6" s="91"/>
      <c r="AS6" s="91"/>
      <c r="AT6" s="91"/>
    </row>
    <row r="7" spans="1:48" ht="12.4" customHeight="1" x14ac:dyDescent="0.2">
      <c r="A7" s="6" t="s">
        <v>91</v>
      </c>
      <c r="B7" s="47"/>
      <c r="C7" s="47"/>
      <c r="D7" s="60"/>
      <c r="E7" s="60"/>
      <c r="F7" s="60"/>
      <c r="G7" s="60"/>
      <c r="H7" s="60"/>
      <c r="I7" s="60"/>
      <c r="J7" s="60"/>
      <c r="K7" s="47"/>
      <c r="L7" s="143" t="s">
        <v>39</v>
      </c>
      <c r="P7" s="127" t="s">
        <v>80</v>
      </c>
      <c r="Q7" s="127"/>
      <c r="R7" s="60"/>
      <c r="S7" s="60"/>
      <c r="T7" s="60"/>
      <c r="U7" s="60"/>
      <c r="V7" s="60"/>
      <c r="W7" s="60"/>
      <c r="X7" s="60"/>
      <c r="Z7" s="21" t="s">
        <v>23</v>
      </c>
      <c r="AA7" s="131"/>
      <c r="AB7" s="80"/>
      <c r="AC7" s="146">
        <v>0</v>
      </c>
      <c r="AD7" s="134"/>
      <c r="AE7" s="38">
        <v>30</v>
      </c>
      <c r="AN7" s="56" t="s">
        <v>81</v>
      </c>
      <c r="AO7" s="105">
        <v>1</v>
      </c>
      <c r="AP7" s="105">
        <f t="shared" ref="AP7:AP27" si="0">AO7-AO8</f>
        <v>0</v>
      </c>
      <c r="AR7" s="140" t="s">
        <v>81</v>
      </c>
      <c r="AS7" s="19"/>
      <c r="AT7" s="19"/>
      <c r="AU7" s="53"/>
      <c r="AV7" s="53"/>
    </row>
    <row r="8" spans="1:48" ht="12.4" customHeight="1" x14ac:dyDescent="0.2">
      <c r="A8" s="172" t="s">
        <v>96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143" t="s">
        <v>92</v>
      </c>
      <c r="P8" s="4">
        <v>0</v>
      </c>
      <c r="Q8" s="22"/>
      <c r="R8" s="60"/>
      <c r="S8" s="60"/>
      <c r="T8" s="60"/>
      <c r="U8" s="60"/>
      <c r="V8" s="60"/>
      <c r="W8" s="60"/>
      <c r="X8" s="60"/>
      <c r="Z8" s="73" t="s">
        <v>79</v>
      </c>
      <c r="AA8" s="137"/>
      <c r="AB8" s="90"/>
      <c r="AC8" s="151">
        <v>50</v>
      </c>
      <c r="AD8" s="78"/>
      <c r="AE8" s="100">
        <v>25</v>
      </c>
      <c r="AN8" s="118">
        <f>E135</f>
        <v>1.9939755597588151E-3</v>
      </c>
      <c r="AO8" s="105">
        <f>B135</f>
        <v>1</v>
      </c>
      <c r="AP8" s="105">
        <f t="shared" si="0"/>
        <v>1.0815722713077847E-3</v>
      </c>
      <c r="AR8" s="40">
        <v>1.8387307309880479E-3</v>
      </c>
      <c r="AS8" s="19"/>
      <c r="AT8" s="19"/>
      <c r="AU8" s="55"/>
      <c r="AV8" s="107"/>
    </row>
    <row r="9" spans="1:48" ht="12.4" customHeight="1" x14ac:dyDescent="0.2">
      <c r="A9" s="158" t="s">
        <v>93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50" t="s">
        <v>73</v>
      </c>
      <c r="N9" s="47"/>
      <c r="O9" s="47"/>
      <c r="P9" s="4">
        <f>MAX(V18:V136)</f>
        <v>8.874245638097225</v>
      </c>
      <c r="Q9" s="14"/>
      <c r="R9" s="60"/>
      <c r="S9" s="60"/>
      <c r="T9" s="60"/>
      <c r="U9" s="60"/>
      <c r="V9" s="60"/>
      <c r="W9" s="60"/>
      <c r="X9" s="60"/>
      <c r="Z9" s="39" t="s">
        <v>10</v>
      </c>
      <c r="AA9" s="131"/>
      <c r="AB9" s="131"/>
      <c r="AC9" s="37">
        <f>ABS($AC$6*COS($AC$5*PI()/180))</f>
        <v>70</v>
      </c>
      <c r="AD9" s="37">
        <f>ABS($AD$6*COS($AD$5*PI()/180))</f>
        <v>24</v>
      </c>
      <c r="AE9" s="52">
        <f>ABS($AE$6*COS($AE$5*PI()/180))</f>
        <v>30.310889132455355</v>
      </c>
      <c r="AN9" s="118">
        <f>E133</f>
        <v>2.3854298502097712E-3</v>
      </c>
      <c r="AO9" s="105">
        <f>B133</f>
        <v>0.99891842772869222</v>
      </c>
      <c r="AP9" s="105">
        <f t="shared" si="0"/>
        <v>5.9449496802135293E-3</v>
      </c>
      <c r="AR9" s="40">
        <v>2.3796891258599209E-3</v>
      </c>
      <c r="AS9" s="19"/>
      <c r="AT9" s="19"/>
      <c r="AU9" s="55"/>
      <c r="AV9" s="107"/>
    </row>
    <row r="10" spans="1:48" ht="12.4" customHeight="1" x14ac:dyDescent="0.2">
      <c r="A10" s="161" t="s">
        <v>94</v>
      </c>
      <c r="B10" s="47"/>
      <c r="C10" s="47"/>
      <c r="D10" s="60"/>
      <c r="E10" s="60"/>
      <c r="F10" s="60"/>
      <c r="G10" s="60"/>
      <c r="H10" s="60"/>
      <c r="I10" s="60"/>
      <c r="J10" s="60"/>
      <c r="K10" s="47"/>
      <c r="L10" s="50" t="s">
        <v>51</v>
      </c>
      <c r="N10" s="47"/>
      <c r="O10" s="47"/>
      <c r="P10" s="77">
        <f>'Raw Data'!M10</f>
        <v>0.20667681609127561</v>
      </c>
      <c r="Q10" s="77"/>
      <c r="R10" s="60"/>
      <c r="S10" s="60"/>
      <c r="T10" s="60"/>
      <c r="U10" s="60"/>
      <c r="V10" s="60"/>
      <c r="W10" s="60"/>
      <c r="X10" s="60"/>
      <c r="Z10" s="87" t="s">
        <v>59</v>
      </c>
      <c r="AA10" s="137"/>
      <c r="AB10" s="137"/>
      <c r="AC10" s="41">
        <f>ABS($AC$8*COS($AC$7*PI()/180))</f>
        <v>50</v>
      </c>
      <c r="AD10" s="90"/>
      <c r="AE10" s="5">
        <f>ABS($AE$8*COS($AE$7*PI()/180))</f>
        <v>21.650635094610969</v>
      </c>
      <c r="AN10" s="118">
        <f>E125</f>
        <v>4.8996185234657973E-3</v>
      </c>
      <c r="AO10" s="105">
        <f>$B125</f>
        <v>0.99297347804847869</v>
      </c>
      <c r="AP10" s="105">
        <f t="shared" si="0"/>
        <v>1.2823634618094659E-2</v>
      </c>
      <c r="AR10" s="40">
        <v>4.918869133300207E-3</v>
      </c>
      <c r="AS10" s="19"/>
      <c r="AT10" s="19"/>
      <c r="AU10" s="55"/>
      <c r="AV10" s="107"/>
    </row>
    <row r="11" spans="1:48" ht="12.4" customHeight="1" x14ac:dyDescent="0.2">
      <c r="A11" s="173" t="s">
        <v>95</v>
      </c>
      <c r="B11" s="47"/>
      <c r="C11" s="47"/>
      <c r="D11" s="60"/>
      <c r="E11" s="60"/>
      <c r="F11" s="60"/>
      <c r="G11" s="60"/>
      <c r="H11" s="60"/>
      <c r="I11" s="60"/>
      <c r="J11" s="60"/>
      <c r="K11" s="47"/>
      <c r="L11" s="143" t="s">
        <v>22</v>
      </c>
      <c r="P11" s="84">
        <f>'Raw Data'!M11</f>
        <v>2.6387621396910372</v>
      </c>
      <c r="Q11" s="84"/>
      <c r="R11" s="60"/>
      <c r="V11" s="60"/>
      <c r="W11" s="60"/>
      <c r="X11" s="60"/>
      <c r="Z11" s="47"/>
      <c r="AA11" s="88" t="s">
        <v>46</v>
      </c>
      <c r="AB11" s="72"/>
      <c r="AC11" s="72"/>
      <c r="AD11" s="2"/>
      <c r="AN11" s="118">
        <f>E120</f>
        <v>7.6421717407636151E-3</v>
      </c>
      <c r="AO11" s="105">
        <f>$B120</f>
        <v>0.98014984343038403</v>
      </c>
      <c r="AP11" s="105">
        <f t="shared" si="0"/>
        <v>1.2191157838452371E-2</v>
      </c>
      <c r="AR11" s="40">
        <v>7.6659819593601552E-3</v>
      </c>
      <c r="AS11" s="19"/>
      <c r="AT11" s="19"/>
      <c r="AU11" s="55"/>
      <c r="AV11" s="107"/>
    </row>
    <row r="12" spans="1:48" ht="12.4" customHeight="1" x14ac:dyDescent="0.2">
      <c r="B12" s="47"/>
      <c r="C12" s="47"/>
      <c r="D12" s="54"/>
      <c r="E12" s="47"/>
      <c r="F12" s="47"/>
      <c r="G12" s="47"/>
      <c r="H12" s="47"/>
      <c r="I12" s="47"/>
      <c r="J12" s="47"/>
      <c r="K12" s="47"/>
      <c r="L12" s="47"/>
      <c r="M12" s="50"/>
      <c r="N12" s="47"/>
      <c r="O12" s="47"/>
      <c r="P12" s="95"/>
      <c r="Q12" s="95"/>
      <c r="R12" s="60"/>
      <c r="S12" s="60"/>
      <c r="T12" s="60"/>
      <c r="U12" s="60"/>
      <c r="V12" s="60"/>
      <c r="W12" s="60"/>
      <c r="X12" s="60"/>
      <c r="Z12" s="47"/>
      <c r="AA12" s="70" t="s">
        <v>70</v>
      </c>
      <c r="AB12" s="82"/>
      <c r="AC12" s="93">
        <v>0.433</v>
      </c>
      <c r="AD12" s="60"/>
      <c r="AN12" s="105">
        <f>E117</f>
        <v>1.002745549202089E-2</v>
      </c>
      <c r="AO12" s="105">
        <f>$B117</f>
        <v>0.96795868559193166</v>
      </c>
      <c r="AP12" s="105">
        <f t="shared" si="0"/>
        <v>6.7564382924518829E-2</v>
      </c>
      <c r="AR12" s="19">
        <v>1.0017670706649362E-2</v>
      </c>
      <c r="AS12" s="19"/>
      <c r="AT12" s="19"/>
      <c r="AU12" s="55"/>
      <c r="AV12" s="107"/>
    </row>
    <row r="13" spans="1:48" ht="12.4" customHeight="1" x14ac:dyDescent="0.2">
      <c r="Z13" s="47"/>
      <c r="AA13" s="21" t="s">
        <v>14</v>
      </c>
      <c r="AB13" s="131"/>
      <c r="AC13" s="34">
        <v>0.34599999999999997</v>
      </c>
      <c r="AD13" s="47"/>
      <c r="AN13" s="105">
        <f>E107</f>
        <v>2.4633787011100791E-2</v>
      </c>
      <c r="AO13" s="105">
        <f>$B107</f>
        <v>0.90039430266741283</v>
      </c>
      <c r="AP13" s="105">
        <f t="shared" si="0"/>
        <v>0.10796290333797209</v>
      </c>
      <c r="AR13" s="19">
        <v>2.4302503920103202E-2</v>
      </c>
      <c r="AS13" s="19"/>
      <c r="AT13" s="19"/>
      <c r="AU13" s="55"/>
      <c r="AV13" s="107"/>
    </row>
    <row r="14" spans="1:48" ht="12.4" customHeight="1" x14ac:dyDescent="0.2">
      <c r="A14" s="121" t="s">
        <v>84</v>
      </c>
      <c r="B14" s="121" t="s">
        <v>61</v>
      </c>
      <c r="C14" s="121" t="s">
        <v>44</v>
      </c>
      <c r="D14" s="66" t="s">
        <v>90</v>
      </c>
      <c r="E14" s="121" t="s">
        <v>88</v>
      </c>
      <c r="F14" s="121" t="s">
        <v>88</v>
      </c>
      <c r="G14" s="121" t="s">
        <v>13</v>
      </c>
      <c r="H14" s="121" t="s">
        <v>16</v>
      </c>
      <c r="I14" s="121" t="s">
        <v>66</v>
      </c>
      <c r="J14" s="121" t="s">
        <v>78</v>
      </c>
      <c r="K14" s="121"/>
      <c r="L14" s="48" t="s">
        <v>85</v>
      </c>
      <c r="M14" s="11"/>
      <c r="N14" s="26"/>
      <c r="O14" s="48" t="s">
        <v>17</v>
      </c>
      <c r="P14" s="26"/>
      <c r="Q14" s="26" t="s">
        <v>7</v>
      </c>
      <c r="R14" s="121" t="s">
        <v>61</v>
      </c>
      <c r="S14" s="121" t="s">
        <v>36</v>
      </c>
      <c r="T14" s="121" t="s">
        <v>57</v>
      </c>
      <c r="U14" s="121"/>
      <c r="V14" s="121" t="s">
        <v>26</v>
      </c>
      <c r="W14" s="121" t="s">
        <v>86</v>
      </c>
      <c r="X14" s="121" t="s">
        <v>86</v>
      </c>
      <c r="Z14" s="47"/>
      <c r="AA14" s="73" t="s">
        <v>12</v>
      </c>
      <c r="AB14" s="137"/>
      <c r="AC14" s="157">
        <v>0.1</v>
      </c>
      <c r="AD14" s="47"/>
      <c r="AN14" s="105">
        <f>E99</f>
        <v>5.0677459165964459E-2</v>
      </c>
      <c r="AO14" s="105">
        <f>$B99</f>
        <v>0.79243139932944073</v>
      </c>
      <c r="AP14" s="105">
        <f t="shared" si="0"/>
        <v>7.8288867786912908E-2</v>
      </c>
      <c r="AR14" s="19">
        <v>4.9484801750667114E-2</v>
      </c>
      <c r="AS14" s="19"/>
      <c r="AT14" s="19"/>
      <c r="AU14" s="55"/>
      <c r="AV14" s="107"/>
    </row>
    <row r="15" spans="1:48" ht="12.4" customHeight="1" x14ac:dyDescent="0.2">
      <c r="A15" s="128" t="s">
        <v>76</v>
      </c>
      <c r="B15" s="128" t="s">
        <v>5</v>
      </c>
      <c r="C15" s="128" t="s">
        <v>5</v>
      </c>
      <c r="D15" s="130" t="s">
        <v>68</v>
      </c>
      <c r="E15" s="128" t="s">
        <v>77</v>
      </c>
      <c r="F15" s="128" t="s">
        <v>52</v>
      </c>
      <c r="G15" s="128" t="s">
        <v>31</v>
      </c>
      <c r="H15" s="128" t="s">
        <v>31</v>
      </c>
      <c r="I15" s="128" t="s">
        <v>74</v>
      </c>
      <c r="J15" s="128" t="s">
        <v>74</v>
      </c>
      <c r="K15" s="128" t="s">
        <v>87</v>
      </c>
      <c r="L15" s="121" t="s">
        <v>72</v>
      </c>
      <c r="M15" s="121" t="s">
        <v>4</v>
      </c>
      <c r="N15" s="121" t="s">
        <v>40</v>
      </c>
      <c r="O15" s="9" t="s">
        <v>1</v>
      </c>
      <c r="P15" s="28"/>
      <c r="Q15" s="28" t="s">
        <v>8</v>
      </c>
      <c r="R15" s="128" t="s">
        <v>32</v>
      </c>
      <c r="S15" s="128" t="s">
        <v>42</v>
      </c>
      <c r="T15" s="128" t="s">
        <v>86</v>
      </c>
      <c r="U15" s="128" t="s">
        <v>26</v>
      </c>
      <c r="V15" s="128" t="s">
        <v>86</v>
      </c>
      <c r="W15" s="128" t="s">
        <v>41</v>
      </c>
      <c r="X15" s="128" t="s">
        <v>41</v>
      </c>
      <c r="Z15" s="60"/>
      <c r="AN15" s="105">
        <f>E95</f>
        <v>7.2455348966830979E-2</v>
      </c>
      <c r="AO15" s="105">
        <f>$B95</f>
        <v>0.71414253154252783</v>
      </c>
      <c r="AP15" s="105">
        <f t="shared" si="0"/>
        <v>5.9769093408958085E-2</v>
      </c>
      <c r="AR15" s="19">
        <v>7.1632047862346573E-2</v>
      </c>
      <c r="AS15" s="19"/>
      <c r="AT15" s="19"/>
      <c r="AU15" s="55"/>
      <c r="AV15" s="107"/>
    </row>
    <row r="16" spans="1:48" ht="12.4" customHeight="1" x14ac:dyDescent="0.2">
      <c r="A16" s="115" t="s">
        <v>47</v>
      </c>
      <c r="B16" s="115" t="s">
        <v>24</v>
      </c>
      <c r="C16" s="115" t="s">
        <v>24</v>
      </c>
      <c r="D16" s="125" t="s">
        <v>24</v>
      </c>
      <c r="E16" s="115" t="s">
        <v>53</v>
      </c>
      <c r="F16" s="115" t="s">
        <v>62</v>
      </c>
      <c r="G16" s="115" t="s">
        <v>58</v>
      </c>
      <c r="H16" s="115" t="s">
        <v>58</v>
      </c>
      <c r="I16" s="115" t="s">
        <v>53</v>
      </c>
      <c r="J16" s="115" t="s">
        <v>53</v>
      </c>
      <c r="K16" s="115" t="s">
        <v>67</v>
      </c>
      <c r="L16" s="115" t="s">
        <v>47</v>
      </c>
      <c r="M16" s="115" t="s">
        <v>47</v>
      </c>
      <c r="N16" s="115" t="s">
        <v>47</v>
      </c>
      <c r="O16" s="51" t="s">
        <v>64</v>
      </c>
      <c r="P16" s="51" t="s">
        <v>33</v>
      </c>
      <c r="Q16" s="115" t="s">
        <v>69</v>
      </c>
      <c r="R16" s="115" t="s">
        <v>20</v>
      </c>
      <c r="S16" s="115" t="s">
        <v>19</v>
      </c>
      <c r="T16" s="115"/>
      <c r="U16" s="115"/>
      <c r="V16" s="49"/>
      <c r="W16" s="125" t="s">
        <v>6</v>
      </c>
      <c r="X16" s="125" t="s">
        <v>89</v>
      </c>
      <c r="Z16" s="50" t="s">
        <v>71</v>
      </c>
      <c r="AA16" s="60"/>
      <c r="AB16" s="60"/>
      <c r="AC16" s="67">
        <f>ABS(Table!$AB$4*COS(Table!$AB$3*PI()/180))</f>
        <v>371.53155491270428</v>
      </c>
      <c r="AN16" s="105">
        <f>E91</f>
        <v>0.10429766717183542</v>
      </c>
      <c r="AO16" s="105">
        <f>$B91</f>
        <v>0.65437343813356974</v>
      </c>
      <c r="AP16" s="105">
        <f t="shared" si="0"/>
        <v>5.6863745176116698E-2</v>
      </c>
      <c r="AR16" s="19">
        <v>9.9921582517046942E-2</v>
      </c>
      <c r="AS16" s="19"/>
      <c r="AT16" s="19"/>
      <c r="AU16" s="55"/>
      <c r="AV16" s="107"/>
    </row>
    <row r="17" spans="1:48" ht="12.4" customHeight="1" x14ac:dyDescent="0.2">
      <c r="A17" s="31"/>
      <c r="B17" s="110"/>
      <c r="C17" s="60"/>
      <c r="D17" s="68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47"/>
      <c r="S17" s="47"/>
      <c r="T17" s="47"/>
      <c r="U17" s="47"/>
      <c r="V17" s="47"/>
      <c r="W17" s="47"/>
      <c r="X17" s="47"/>
      <c r="AC17" s="133">
        <f ca="1">FORECAST(200,OFFSET(L$17,MATCH(200,L$18:L136, 1),-9,2,1),OFFSET(L$17,MATCH(200,L$18:L136, 1),0,2,1))</f>
        <v>0.34421731409519674</v>
      </c>
      <c r="AD17" s="143">
        <f ca="1">LOOKUP('Raw Data'!K27,Table!A18:A136,OFFSET(Table!S18:S136,-1,0))</f>
        <v>0</v>
      </c>
      <c r="AE17" s="143">
        <f ca="1">IF('Raw Data'!$I$27=0,Table!$E$18,OFFSET(INDEX($E$18:$E$136,MATCH('Raw Data'!$K$27,Table!$A$18:$A$136,0)),-1,0))</f>
        <v>3.7712097026223792</v>
      </c>
      <c r="AN17" s="105">
        <f>E81</f>
        <v>0.25516587949007363</v>
      </c>
      <c r="AO17" s="105">
        <f>$B81</f>
        <v>0.59750969295745304</v>
      </c>
      <c r="AP17" s="105">
        <f t="shared" si="0"/>
        <v>4.8076310066717975E-2</v>
      </c>
      <c r="AR17" s="19">
        <v>0.25452110435346964</v>
      </c>
      <c r="AS17" s="19"/>
      <c r="AT17" s="19"/>
      <c r="AU17" s="55"/>
      <c r="AV17" s="107"/>
    </row>
    <row r="18" spans="1:48" ht="12.4" customHeight="1" x14ac:dyDescent="0.2">
      <c r="A18" s="31">
        <f>'Raw Data'!A18</f>
        <v>1.4870243072509766</v>
      </c>
      <c r="B18" s="110">
        <f>'Raw Data'!E18</f>
        <v>0</v>
      </c>
      <c r="C18" s="110">
        <f t="shared" ref="C18:C136" si="1">1-B18</f>
        <v>1</v>
      </c>
      <c r="D18" s="99">
        <f t="shared" ref="D18:D136" si="2">B18-B17</f>
        <v>0</v>
      </c>
      <c r="E18" s="86">
        <f>(2*Table!$AC$16*0.147)/A18</f>
        <v>73.455609711092237</v>
      </c>
      <c r="F18" s="86">
        <f t="shared" ref="F18:F136" si="3">E18*2</f>
        <v>146.91121942218447</v>
      </c>
      <c r="G18" s="31">
        <f>IF((('Raw Data'!C18)/('Raw Data'!C$136)*100)&lt;0,0,('Raw Data'!C18)/('Raw Data'!C$136)*100)</f>
        <v>0</v>
      </c>
      <c r="H18" s="31">
        <f t="shared" ref="H18:H136" si="4">G18-G17</f>
        <v>0</v>
      </c>
      <c r="I18" s="8">
        <f t="shared" ref="I18:I136" si="5">IF(E17&gt;0,LOG(E17)-LOG(E18), LOG(E18))</f>
        <v>1.866024967907661</v>
      </c>
      <c r="J18" s="86">
        <f>'Raw Data'!F18/I18</f>
        <v>0</v>
      </c>
      <c r="K18" s="123">
        <f t="shared" ref="K18:K136" si="6">(0.217*A18*(SQRT(P$9/P$10)))/($AB$4*-COS(RADIANS($AB$3)))</f>
        <v>5.6911749723619039E-3</v>
      </c>
      <c r="L18" s="31">
        <f>A18*Table!$AC$9/$AC$16</f>
        <v>0.28016920805562784</v>
      </c>
      <c r="M18" s="31">
        <f>A18*Table!$AD$9/$AC$16</f>
        <v>9.6058014190500973E-2</v>
      </c>
      <c r="N18" s="31">
        <f>ABS(A18*Table!$AE$9/$AC$16)</f>
        <v>0.12131682576717076</v>
      </c>
      <c r="O18" s="31">
        <f>($L18*(Table!$AC$10/Table!$AC$9)/(Table!$AC$12-Table!$AC$14))</f>
        <v>0.60096355224287401</v>
      </c>
      <c r="P18" s="31">
        <f>$N18*(Table!$AE$10/Table!$AE$9)/(Table!$AC$12-Table!$AC$13)</f>
        <v>0.99603305227562178</v>
      </c>
      <c r="Q18" s="31">
        <f>'Raw Data'!C18</f>
        <v>0</v>
      </c>
      <c r="R18" s="31">
        <f>'Raw Data'!C18/'Raw Data'!I$23*100</f>
        <v>0</v>
      </c>
      <c r="S18" s="36">
        <f t="shared" ref="S18:S136" si="7">D18/MAX($D$18:$D$136)</f>
        <v>0</v>
      </c>
      <c r="T18" s="36">
        <f t="shared" ref="T18:T136" si="8">1-(X18/$X$136)</f>
        <v>1</v>
      </c>
      <c r="U18" s="3">
        <f t="shared" ref="U18:U136" si="9">R18/A18</f>
        <v>0</v>
      </c>
      <c r="V18" s="3">
        <f t="shared" ref="V18:V136" si="10">(U18^1.691)*399</f>
        <v>0</v>
      </c>
      <c r="W18" s="3">
        <f t="shared" ref="W18:W136" si="11">((E18*E18)/8)*S18</f>
        <v>0</v>
      </c>
      <c r="X18" s="148">
        <f t="shared" ref="X18:X136" si="12">W18+X17</f>
        <v>0</v>
      </c>
      <c r="Z18" s="17"/>
      <c r="AA18" s="60"/>
      <c r="AB18" s="60"/>
      <c r="AC18" s="152"/>
      <c r="AN18" s="105">
        <f>E73</f>
        <v>0.52809120011932775</v>
      </c>
      <c r="AO18" s="105">
        <f>$B73</f>
        <v>0.54943338289073507</v>
      </c>
      <c r="AP18" s="105">
        <f t="shared" si="0"/>
        <v>4.8399340356093834E-2</v>
      </c>
      <c r="AR18" s="19">
        <v>0.47874420207019219</v>
      </c>
      <c r="AS18" s="19"/>
      <c r="AT18" s="19"/>
      <c r="AU18" s="55"/>
      <c r="AV18" s="107"/>
    </row>
    <row r="19" spans="1:48" ht="12.4" customHeight="1" x14ac:dyDescent="0.2">
      <c r="A19" s="31">
        <f>'Raw Data'!A19</f>
        <v>1.5743272304534912</v>
      </c>
      <c r="B19" s="110">
        <f>'Raw Data'!E19</f>
        <v>0</v>
      </c>
      <c r="C19" s="110">
        <f t="shared" si="1"/>
        <v>1</v>
      </c>
      <c r="D19" s="99">
        <f t="shared" si="2"/>
        <v>0</v>
      </c>
      <c r="E19" s="86">
        <f>(2*Table!$AC$16*0.147)/A19</f>
        <v>69.382193886636159</v>
      </c>
      <c r="F19" s="86">
        <f t="shared" si="3"/>
        <v>138.76438777327232</v>
      </c>
      <c r="G19" s="31">
        <f>IF((('Raw Data'!C19)/('Raw Data'!C$136)*100)&lt;0,0,('Raw Data'!C19)/('Raw Data'!C$136)*100)</f>
        <v>0</v>
      </c>
      <c r="H19" s="31">
        <f t="shared" si="4"/>
        <v>0</v>
      </c>
      <c r="I19" s="8">
        <f t="shared" si="5"/>
        <v>2.4776939657370267E-2</v>
      </c>
      <c r="J19" s="86">
        <f>'Raw Data'!F19/I19</f>
        <v>0</v>
      </c>
      <c r="K19" s="123">
        <f t="shared" si="6"/>
        <v>6.0253028068037702E-3</v>
      </c>
      <c r="L19" s="31">
        <f>A19*Table!$AC$9/$AC$16</f>
        <v>0.29661789065975258</v>
      </c>
      <c r="M19" s="31">
        <f>A19*Table!$AD$9/$AC$16</f>
        <v>0.10169756251191517</v>
      </c>
      <c r="N19" s="31">
        <f>ABS(A19*Table!$AE$9/$AC$16)</f>
        <v>0.12843931426415037</v>
      </c>
      <c r="O19" s="31">
        <f>($L19*(Table!$AC$10/Table!$AC$9)/(Table!$AC$12-Table!$AC$14))</f>
        <v>0.63624601171118111</v>
      </c>
      <c r="P19" s="31">
        <f>$N19*(Table!$AE$10/Table!$AE$9)/(Table!$AC$12-Table!$AC$13)</f>
        <v>1.0545099693279996</v>
      </c>
      <c r="Q19" s="31">
        <f>'Raw Data'!C19</f>
        <v>0</v>
      </c>
      <c r="R19" s="31">
        <f>'Raw Data'!C19/'Raw Data'!I$23*100</f>
        <v>0</v>
      </c>
      <c r="S19" s="36">
        <f t="shared" si="7"/>
        <v>0</v>
      </c>
      <c r="T19" s="36">
        <f t="shared" si="8"/>
        <v>1</v>
      </c>
      <c r="U19" s="3">
        <f t="shared" si="9"/>
        <v>0</v>
      </c>
      <c r="V19" s="3">
        <f t="shared" si="10"/>
        <v>0</v>
      </c>
      <c r="W19" s="3">
        <f t="shared" si="11"/>
        <v>0</v>
      </c>
      <c r="X19" s="148">
        <f t="shared" si="12"/>
        <v>0</v>
      </c>
      <c r="AN19" s="105">
        <f>E68</f>
        <v>0.82604609311460209</v>
      </c>
      <c r="AO19" s="105">
        <f>$B68</f>
        <v>0.50103404253464123</v>
      </c>
      <c r="AP19" s="105">
        <f t="shared" si="0"/>
        <v>6.6921567364443435E-2</v>
      </c>
      <c r="AR19" s="19">
        <v>0.74938444802644799</v>
      </c>
      <c r="AS19" s="19"/>
      <c r="AT19" s="19"/>
      <c r="AU19" s="55"/>
      <c r="AV19" s="107"/>
    </row>
    <row r="20" spans="1:48" ht="12.4" customHeight="1" x14ac:dyDescent="0.2">
      <c r="A20" s="31">
        <f>'Raw Data'!A20</f>
        <v>1.7827692031860352</v>
      </c>
      <c r="B20" s="110">
        <f>'Raw Data'!E20</f>
        <v>0</v>
      </c>
      <c r="C20" s="110">
        <f t="shared" si="1"/>
        <v>1</v>
      </c>
      <c r="D20" s="99">
        <f t="shared" si="2"/>
        <v>0</v>
      </c>
      <c r="E20" s="86">
        <f>(2*Table!$AC$16*0.147)/A20</f>
        <v>61.270004523932016</v>
      </c>
      <c r="F20" s="86">
        <f t="shared" si="3"/>
        <v>122.54000904786403</v>
      </c>
      <c r="G20" s="31">
        <f>IF((('Raw Data'!C20)/('Raw Data'!C$136)*100)&lt;0,0,('Raw Data'!C20)/('Raw Data'!C$136)*100)</f>
        <v>0</v>
      </c>
      <c r="H20" s="31">
        <f t="shared" si="4"/>
        <v>0</v>
      </c>
      <c r="I20" s="8">
        <f t="shared" si="5"/>
        <v>5.4000115851768449E-2</v>
      </c>
      <c r="J20" s="86">
        <f>'Raw Data'!F20/I20</f>
        <v>0</v>
      </c>
      <c r="K20" s="123">
        <f t="shared" si="6"/>
        <v>6.8230569071373688E-3</v>
      </c>
      <c r="L20" s="31">
        <f>A20*Table!$AC$9/$AC$16</f>
        <v>0.33589029672686682</v>
      </c>
      <c r="M20" s="31">
        <f>A20*Table!$AD$9/$AC$16</f>
        <v>0.11516238744921149</v>
      </c>
      <c r="N20" s="31">
        <f>ABS(A20*Table!$AE$9/$AC$16)</f>
        <v>0.14544476492507991</v>
      </c>
      <c r="O20" s="31">
        <f>($L20*(Table!$AC$10/Table!$AC$9)/(Table!$AC$12-Table!$AC$14))</f>
        <v>0.72048540696453645</v>
      </c>
      <c r="P20" s="31">
        <f>$N20*(Table!$AE$10/Table!$AE$9)/(Table!$AC$12-Table!$AC$13)</f>
        <v>1.1941277908463044</v>
      </c>
      <c r="Q20" s="31">
        <f>'Raw Data'!C20</f>
        <v>0</v>
      </c>
      <c r="R20" s="31">
        <f>'Raw Data'!C20/'Raw Data'!I$23*100</f>
        <v>0</v>
      </c>
      <c r="S20" s="36">
        <f t="shared" si="7"/>
        <v>0</v>
      </c>
      <c r="T20" s="36">
        <f t="shared" si="8"/>
        <v>1</v>
      </c>
      <c r="U20" s="3">
        <f t="shared" si="9"/>
        <v>0</v>
      </c>
      <c r="V20" s="3">
        <f t="shared" si="10"/>
        <v>0</v>
      </c>
      <c r="W20" s="3">
        <f t="shared" si="11"/>
        <v>0</v>
      </c>
      <c r="X20" s="148">
        <f t="shared" si="12"/>
        <v>0</v>
      </c>
      <c r="AN20" s="113">
        <f>E64</f>
        <v>1.1890384203722433</v>
      </c>
      <c r="AO20" s="105">
        <f>$B64</f>
        <v>0.4341124751701978</v>
      </c>
      <c r="AP20" s="105">
        <f t="shared" si="0"/>
        <v>0.34866815371769971</v>
      </c>
      <c r="AR20" s="138">
        <v>1.0742552826940897</v>
      </c>
      <c r="AS20" s="19"/>
      <c r="AT20" s="19"/>
      <c r="AU20" s="55"/>
      <c r="AV20" s="107"/>
    </row>
    <row r="21" spans="1:48" ht="12.4" customHeight="1" x14ac:dyDescent="0.2">
      <c r="A21" s="31">
        <f>'Raw Data'!A21</f>
        <v>1.9782832860946655</v>
      </c>
      <c r="B21" s="110">
        <f>'Raw Data'!E21</f>
        <v>0</v>
      </c>
      <c r="C21" s="110">
        <f t="shared" si="1"/>
        <v>1</v>
      </c>
      <c r="D21" s="99">
        <f t="shared" si="2"/>
        <v>0</v>
      </c>
      <c r="E21" s="86">
        <f>(2*Table!$AC$16*0.147)/A21</f>
        <v>55.214679268694042</v>
      </c>
      <c r="F21" s="86">
        <f t="shared" si="3"/>
        <v>110.42935853738808</v>
      </c>
      <c r="G21" s="31">
        <f>IF((('Raw Data'!C21)/('Raw Data'!C$136)*100)&lt;0,0,('Raw Data'!C21)/('Raw Data'!C$136)*100)</f>
        <v>0</v>
      </c>
      <c r="H21" s="31">
        <f t="shared" si="4"/>
        <v>0</v>
      </c>
      <c r="I21" s="8">
        <f t="shared" si="5"/>
        <v>4.5193358620812862E-2</v>
      </c>
      <c r="J21" s="86">
        <f>'Raw Data'!F21/I21</f>
        <v>0</v>
      </c>
      <c r="K21" s="123">
        <f t="shared" si="6"/>
        <v>7.5713330785275434E-3</v>
      </c>
      <c r="L21" s="31">
        <f>A21*Table!$AC$9/$AC$16</f>
        <v>0.37272696812835737</v>
      </c>
      <c r="M21" s="31">
        <f>A21*Table!$AD$9/$AC$16</f>
        <v>0.12779210335829397</v>
      </c>
      <c r="N21" s="31">
        <f>ABS(A21*Table!$AE$9/$AC$16)</f>
        <v>0.16139551153735515</v>
      </c>
      <c r="O21" s="31">
        <f>($L21*(Table!$AC$10/Table!$AC$9)/(Table!$AC$12-Table!$AC$14))</f>
        <v>0.79950014613547293</v>
      </c>
      <c r="P21" s="31">
        <f>$N21*(Table!$AE$10/Table!$AE$9)/(Table!$AC$12-Table!$AC$13)</f>
        <v>1.3250863016203211</v>
      </c>
      <c r="Q21" s="31">
        <f>'Raw Data'!C21</f>
        <v>0</v>
      </c>
      <c r="R21" s="31">
        <f>'Raw Data'!C21/'Raw Data'!I$23*100</f>
        <v>0</v>
      </c>
      <c r="S21" s="36">
        <f t="shared" si="7"/>
        <v>0</v>
      </c>
      <c r="T21" s="36">
        <f t="shared" si="8"/>
        <v>1</v>
      </c>
      <c r="U21" s="3">
        <f t="shared" si="9"/>
        <v>0</v>
      </c>
      <c r="V21" s="3">
        <f t="shared" si="10"/>
        <v>0</v>
      </c>
      <c r="W21" s="3">
        <f t="shared" si="11"/>
        <v>0</v>
      </c>
      <c r="X21" s="148">
        <f t="shared" si="12"/>
        <v>0</v>
      </c>
      <c r="AN21" s="113">
        <f>$E55</f>
        <v>2.7280795197855428</v>
      </c>
      <c r="AO21" s="105">
        <f>$B55</f>
        <v>8.5444321452498098E-2</v>
      </c>
      <c r="AP21" s="105">
        <f t="shared" si="0"/>
        <v>8.5444321452498098E-2</v>
      </c>
      <c r="AR21" s="138">
        <v>2.3818202604521379</v>
      </c>
      <c r="AS21" s="19"/>
      <c r="AT21" s="19"/>
      <c r="AU21" s="55"/>
      <c r="AV21" s="107"/>
    </row>
    <row r="22" spans="1:48" ht="12.4" customHeight="1" x14ac:dyDescent="0.2">
      <c r="A22" s="31">
        <f>'Raw Data'!A22</f>
        <v>2.1413979530334473</v>
      </c>
      <c r="B22" s="110">
        <f>'Raw Data'!E22</f>
        <v>0</v>
      </c>
      <c r="C22" s="110">
        <f t="shared" si="1"/>
        <v>1</v>
      </c>
      <c r="D22" s="99">
        <f t="shared" si="2"/>
        <v>0</v>
      </c>
      <c r="E22" s="86">
        <f>(2*Table!$AC$16*0.147)/A22</f>
        <v>51.008864087874159</v>
      </c>
      <c r="F22" s="86">
        <f t="shared" si="3"/>
        <v>102.01772817574832</v>
      </c>
      <c r="G22" s="31">
        <f>IF((('Raw Data'!C22)/('Raw Data'!C$136)*100)&lt;0,0,('Raw Data'!C22)/('Raw Data'!C$136)*100)</f>
        <v>0</v>
      </c>
      <c r="H22" s="31">
        <f t="shared" si="4"/>
        <v>0</v>
      </c>
      <c r="I22" s="8">
        <f t="shared" si="5"/>
        <v>3.4408901406314696E-2</v>
      </c>
      <c r="J22" s="86">
        <f>'Raw Data'!F22/I22</f>
        <v>0</v>
      </c>
      <c r="K22" s="123">
        <f t="shared" si="6"/>
        <v>8.1956094306897317E-3</v>
      </c>
      <c r="L22" s="31">
        <f>A22*Table!$AC$9/$AC$16</f>
        <v>0.40345928826304289</v>
      </c>
      <c r="M22" s="31">
        <f>A22*Table!$AD$9/$AC$16</f>
        <v>0.13832889883304328</v>
      </c>
      <c r="N22" s="31">
        <f>ABS(A22*Table!$AE$9/$AC$16)</f>
        <v>0.174702996514292</v>
      </c>
      <c r="O22" s="31">
        <f>($L22*(Table!$AC$10/Table!$AC$9)/(Table!$AC$12-Table!$AC$14))</f>
        <v>0.86542103874526588</v>
      </c>
      <c r="P22" s="31">
        <f>$N22*(Table!$AE$10/Table!$AE$9)/(Table!$AC$12-Table!$AC$13)</f>
        <v>1.4343431569317895</v>
      </c>
      <c r="Q22" s="31">
        <f>'Raw Data'!C22</f>
        <v>0</v>
      </c>
      <c r="R22" s="31">
        <f>'Raw Data'!C22/'Raw Data'!I$23*100</f>
        <v>0</v>
      </c>
      <c r="S22" s="36">
        <f t="shared" si="7"/>
        <v>0</v>
      </c>
      <c r="T22" s="36">
        <f t="shared" si="8"/>
        <v>1</v>
      </c>
      <c r="U22" s="3">
        <f t="shared" si="9"/>
        <v>0</v>
      </c>
      <c r="V22" s="3">
        <f t="shared" si="10"/>
        <v>0</v>
      </c>
      <c r="W22" s="3">
        <f t="shared" si="11"/>
        <v>0</v>
      </c>
      <c r="X22" s="148">
        <f t="shared" si="12"/>
        <v>0</v>
      </c>
      <c r="AN22" s="113">
        <f>$E47</f>
        <v>5.3844142232405154</v>
      </c>
      <c r="AO22" s="105">
        <f>$B47</f>
        <v>0</v>
      </c>
      <c r="AP22" s="105">
        <f t="shared" si="0"/>
        <v>0</v>
      </c>
      <c r="AR22" s="138">
        <v>4.9092259390712378</v>
      </c>
      <c r="AS22" s="19"/>
      <c r="AT22" s="19"/>
      <c r="AU22" s="55"/>
      <c r="AV22" s="107"/>
    </row>
    <row r="23" spans="1:48" ht="12.4" customHeight="1" x14ac:dyDescent="0.2">
      <c r="A23" s="31">
        <f>'Raw Data'!A23</f>
        <v>2.3331613540649414</v>
      </c>
      <c r="B23" s="110">
        <f>'Raw Data'!E23</f>
        <v>0</v>
      </c>
      <c r="C23" s="110">
        <f t="shared" si="1"/>
        <v>1</v>
      </c>
      <c r="D23" s="99">
        <f t="shared" si="2"/>
        <v>0</v>
      </c>
      <c r="E23" s="86">
        <f>(2*Table!$AC$16*0.147)/A23</f>
        <v>46.816426542480237</v>
      </c>
      <c r="F23" s="86">
        <f t="shared" si="3"/>
        <v>93.632853084960473</v>
      </c>
      <c r="G23" s="31">
        <f>IF((('Raw Data'!C23)/('Raw Data'!C$136)*100)&lt;0,0,('Raw Data'!C23)/('Raw Data'!C$136)*100)</f>
        <v>0</v>
      </c>
      <c r="H23" s="31">
        <f t="shared" si="4"/>
        <v>0</v>
      </c>
      <c r="I23" s="8">
        <f t="shared" si="5"/>
        <v>3.7247391069513913E-2</v>
      </c>
      <c r="J23" s="86">
        <f>'Raw Data'!F23/I23</f>
        <v>0</v>
      </c>
      <c r="K23" s="123">
        <f t="shared" si="6"/>
        <v>8.929530902748924E-3</v>
      </c>
      <c r="L23" s="31">
        <f>A23*Table!$AC$9/$AC$16</f>
        <v>0.43958929631944765</v>
      </c>
      <c r="M23" s="31">
        <f>A23*Table!$AD$9/$AC$16</f>
        <v>0.15071633016666777</v>
      </c>
      <c r="N23" s="31">
        <f>ABS(A23*Table!$AE$9/$AC$16)</f>
        <v>0.19034774892218348</v>
      </c>
      <c r="O23" s="31">
        <f>($L23*(Table!$AC$10/Table!$AC$9)/(Table!$AC$12-Table!$AC$14))</f>
        <v>0.9429199835251989</v>
      </c>
      <c r="P23" s="31">
        <f>$N23*(Table!$AE$10/Table!$AE$9)/(Table!$AC$12-Table!$AC$13)</f>
        <v>1.5627894000179263</v>
      </c>
      <c r="Q23" s="31">
        <f>'Raw Data'!C23</f>
        <v>0</v>
      </c>
      <c r="R23" s="31">
        <f>'Raw Data'!C23/'Raw Data'!I$23*100</f>
        <v>0</v>
      </c>
      <c r="S23" s="36">
        <f t="shared" si="7"/>
        <v>0</v>
      </c>
      <c r="T23" s="36">
        <f t="shared" si="8"/>
        <v>1</v>
      </c>
      <c r="U23" s="3">
        <f t="shared" si="9"/>
        <v>0</v>
      </c>
      <c r="V23" s="3">
        <f t="shared" si="10"/>
        <v>0</v>
      </c>
      <c r="W23" s="3">
        <f t="shared" si="11"/>
        <v>0</v>
      </c>
      <c r="X23" s="148">
        <f t="shared" si="12"/>
        <v>0</v>
      </c>
      <c r="AN23" s="113">
        <f>$E42</f>
        <v>8.4871394644018832</v>
      </c>
      <c r="AO23" s="105">
        <f>$B42</f>
        <v>0</v>
      </c>
      <c r="AP23" s="105">
        <f t="shared" si="0"/>
        <v>0</v>
      </c>
      <c r="AR23" s="138">
        <v>7.6545393934362336</v>
      </c>
      <c r="AS23" s="19"/>
      <c r="AT23" s="19"/>
      <c r="AU23" s="55"/>
      <c r="AV23" s="107"/>
    </row>
    <row r="24" spans="1:48" ht="12.4" customHeight="1" x14ac:dyDescent="0.2">
      <c r="A24" s="31">
        <f>'Raw Data'!A24</f>
        <v>2.5605959892272949</v>
      </c>
      <c r="B24" s="110">
        <f>'Raw Data'!E24</f>
        <v>0</v>
      </c>
      <c r="C24" s="110">
        <f t="shared" si="1"/>
        <v>1</v>
      </c>
      <c r="D24" s="99">
        <f t="shared" si="2"/>
        <v>0</v>
      </c>
      <c r="E24" s="86">
        <f>(2*Table!$AC$16*0.147)/A24</f>
        <v>42.658145839436862</v>
      </c>
      <c r="F24" s="86">
        <f t="shared" si="3"/>
        <v>85.316291678873725</v>
      </c>
      <c r="G24" s="31">
        <f>IF((('Raw Data'!C24)/('Raw Data'!C$136)*100)&lt;0,0,('Raw Data'!C24)/('Raw Data'!C$136)*100)</f>
        <v>0</v>
      </c>
      <c r="H24" s="31">
        <f t="shared" si="4"/>
        <v>0</v>
      </c>
      <c r="I24" s="8">
        <f t="shared" si="5"/>
        <v>4.0396286634819756E-2</v>
      </c>
      <c r="J24" s="86">
        <f>'Raw Data'!F24/I24</f>
        <v>0</v>
      </c>
      <c r="K24" s="123">
        <f t="shared" si="6"/>
        <v>9.7999741747066722E-3</v>
      </c>
      <c r="L24" s="31">
        <f>A24*Table!$AC$9/$AC$16</f>
        <v>0.48244009661043624</v>
      </c>
      <c r="M24" s="31">
        <f>A24*Table!$AD$9/$AC$16</f>
        <v>0.16540803312357813</v>
      </c>
      <c r="N24" s="31">
        <f>ABS(A24*Table!$AE$9/$AC$16)</f>
        <v>0.20890268973442833</v>
      </c>
      <c r="O24" s="31">
        <f>($L24*(Table!$AC$10/Table!$AC$9)/(Table!$AC$12-Table!$AC$14))</f>
        <v>1.0348350420644281</v>
      </c>
      <c r="P24" s="31">
        <f>$N24*(Table!$AE$10/Table!$AE$9)/(Table!$AC$12-Table!$AC$13)</f>
        <v>1.7151288155535984</v>
      </c>
      <c r="Q24" s="31">
        <f>'Raw Data'!C24</f>
        <v>0</v>
      </c>
      <c r="R24" s="31">
        <f>'Raw Data'!C24/'Raw Data'!I$23*100</f>
        <v>0</v>
      </c>
      <c r="S24" s="36">
        <f t="shared" si="7"/>
        <v>0</v>
      </c>
      <c r="T24" s="36">
        <f t="shared" si="8"/>
        <v>1</v>
      </c>
      <c r="U24" s="3">
        <f t="shared" si="9"/>
        <v>0</v>
      </c>
      <c r="V24" s="3">
        <f t="shared" si="10"/>
        <v>0</v>
      </c>
      <c r="W24" s="3">
        <f t="shared" si="11"/>
        <v>0</v>
      </c>
      <c r="X24" s="148">
        <f t="shared" si="12"/>
        <v>0</v>
      </c>
      <c r="AN24" s="7">
        <f>$E39</f>
        <v>11.073668323281876</v>
      </c>
      <c r="AO24" s="105">
        <f>$B39</f>
        <v>0</v>
      </c>
      <c r="AP24" s="105">
        <f t="shared" si="0"/>
        <v>0</v>
      </c>
      <c r="AR24" s="103">
        <v>10.01194107647434</v>
      </c>
      <c r="AS24" s="19"/>
      <c r="AT24" s="19"/>
      <c r="AU24" s="55"/>
      <c r="AV24" s="107"/>
    </row>
    <row r="25" spans="1:48" ht="12.4" customHeight="1" x14ac:dyDescent="0.2">
      <c r="A25" s="31">
        <f>'Raw Data'!A25</f>
        <v>2.8037517070770264</v>
      </c>
      <c r="B25" s="110">
        <f>'Raw Data'!E25</f>
        <v>0</v>
      </c>
      <c r="C25" s="110">
        <f t="shared" si="1"/>
        <v>1</v>
      </c>
      <c r="D25" s="99">
        <f t="shared" si="2"/>
        <v>0</v>
      </c>
      <c r="E25" s="86">
        <f>(2*Table!$AC$16*0.147)/A25</f>
        <v>38.958612800350302</v>
      </c>
      <c r="F25" s="86">
        <f t="shared" si="3"/>
        <v>77.917225600700604</v>
      </c>
      <c r="G25" s="31">
        <f>IF((('Raw Data'!C25)/('Raw Data'!C$136)*100)&lt;0,0,('Raw Data'!C25)/('Raw Data'!C$136)*100)</f>
        <v>0</v>
      </c>
      <c r="H25" s="31">
        <f t="shared" si="4"/>
        <v>0</v>
      </c>
      <c r="I25" s="8">
        <f t="shared" si="5"/>
        <v>3.9398490112403373E-2</v>
      </c>
      <c r="J25" s="86">
        <f>'Raw Data'!F25/I25</f>
        <v>0</v>
      </c>
      <c r="K25" s="123">
        <f t="shared" si="6"/>
        <v>1.0730585550099292E-2</v>
      </c>
      <c r="L25" s="31">
        <f>A25*Table!$AC$9/$AC$16</f>
        <v>0.52825289507779782</v>
      </c>
      <c r="M25" s="31">
        <f>A25*Table!$AD$9/$AC$16</f>
        <v>0.18111527831238783</v>
      </c>
      <c r="N25" s="31">
        <f>ABS(A25*Table!$AE$9/$AC$16)</f>
        <v>0.22874021338002432</v>
      </c>
      <c r="O25" s="31">
        <f>($L25*(Table!$AC$10/Table!$AC$9)/(Table!$AC$12-Table!$AC$14))</f>
        <v>1.1331035930454696</v>
      </c>
      <c r="P25" s="31">
        <f>$N25*(Table!$AE$10/Table!$AE$9)/(Table!$AC$12-Table!$AC$13)</f>
        <v>1.8779984678162911</v>
      </c>
      <c r="Q25" s="31">
        <f>'Raw Data'!C25</f>
        <v>0</v>
      </c>
      <c r="R25" s="31">
        <f>'Raw Data'!C25/'Raw Data'!I$23*100</f>
        <v>0</v>
      </c>
      <c r="S25" s="36">
        <f t="shared" si="7"/>
        <v>0</v>
      </c>
      <c r="T25" s="36">
        <f t="shared" si="8"/>
        <v>1</v>
      </c>
      <c r="U25" s="3">
        <f t="shared" si="9"/>
        <v>0</v>
      </c>
      <c r="V25" s="3">
        <f t="shared" si="10"/>
        <v>0</v>
      </c>
      <c r="W25" s="3">
        <f t="shared" si="11"/>
        <v>0</v>
      </c>
      <c r="X25" s="148">
        <f t="shared" si="12"/>
        <v>0</v>
      </c>
      <c r="AN25" s="7">
        <f>$E29</f>
        <v>27.189461871701909</v>
      </c>
      <c r="AO25" s="105">
        <f>$B29</f>
        <v>0</v>
      </c>
      <c r="AP25" s="105">
        <f t="shared" si="0"/>
        <v>0</v>
      </c>
      <c r="AR25" s="103">
        <v>23.954008145687514</v>
      </c>
      <c r="AS25" s="19"/>
      <c r="AT25" s="19"/>
      <c r="AU25" s="55"/>
      <c r="AV25" s="107"/>
    </row>
    <row r="26" spans="1:48" ht="12.4" customHeight="1" x14ac:dyDescent="0.2">
      <c r="A26" s="31">
        <f>'Raw Data'!A26</f>
        <v>3.0767531394958496</v>
      </c>
      <c r="B26" s="110">
        <f>'Raw Data'!E26</f>
        <v>0</v>
      </c>
      <c r="C26" s="110">
        <f t="shared" si="1"/>
        <v>1</v>
      </c>
      <c r="D26" s="99">
        <f t="shared" si="2"/>
        <v>0</v>
      </c>
      <c r="E26" s="86">
        <f>(2*Table!$AC$16*0.147)/A26</f>
        <v>35.501800824434454</v>
      </c>
      <c r="F26" s="86">
        <f t="shared" si="3"/>
        <v>71.003601648868909</v>
      </c>
      <c r="G26" s="31">
        <f>IF((('Raw Data'!C26)/('Raw Data'!C$136)*100)&lt;0,0,('Raw Data'!C26)/('Raw Data'!C$136)*100)</f>
        <v>0</v>
      </c>
      <c r="H26" s="31">
        <f t="shared" si="4"/>
        <v>0</v>
      </c>
      <c r="I26" s="8">
        <f t="shared" si="5"/>
        <v>4.0353101407204051E-2</v>
      </c>
      <c r="J26" s="86">
        <f>'Raw Data'!F26/I26</f>
        <v>0</v>
      </c>
      <c r="K26" s="123">
        <f t="shared" si="6"/>
        <v>1.1775423157678979E-2</v>
      </c>
      <c r="L26" s="31">
        <f>A26*Table!$AC$9/$AC$16</f>
        <v>0.57968890371993798</v>
      </c>
      <c r="M26" s="31">
        <f>A26*Table!$AD$9/$AC$16</f>
        <v>0.19875048127540729</v>
      </c>
      <c r="N26" s="31">
        <f>ABS(A26*Table!$AE$9/$AC$16)</f>
        <v>0.25101265845670895</v>
      </c>
      <c r="O26" s="31">
        <f>($L26*(Table!$AC$10/Table!$AC$9)/(Table!$AC$12-Table!$AC$14))</f>
        <v>1.243433941913209</v>
      </c>
      <c r="P26" s="31">
        <f>$N26*(Table!$AE$10/Table!$AE$9)/(Table!$AC$12-Table!$AC$13)</f>
        <v>2.0608592648334065</v>
      </c>
      <c r="Q26" s="31">
        <f>'Raw Data'!C26</f>
        <v>0</v>
      </c>
      <c r="R26" s="31">
        <f>'Raw Data'!C26/'Raw Data'!I$23*100</f>
        <v>0</v>
      </c>
      <c r="S26" s="36">
        <f t="shared" si="7"/>
        <v>0</v>
      </c>
      <c r="T26" s="36">
        <f t="shared" si="8"/>
        <v>1</v>
      </c>
      <c r="U26" s="3">
        <f t="shared" si="9"/>
        <v>0</v>
      </c>
      <c r="V26" s="3">
        <f t="shared" si="10"/>
        <v>0</v>
      </c>
      <c r="W26" s="3">
        <f t="shared" si="11"/>
        <v>0</v>
      </c>
      <c r="X26" s="148">
        <f t="shared" si="12"/>
        <v>0</v>
      </c>
      <c r="AN26" s="7">
        <f>$E21</f>
        <v>55.214679268694042</v>
      </c>
      <c r="AO26" s="105">
        <f>$B22</f>
        <v>0</v>
      </c>
      <c r="AP26" s="105">
        <f t="shared" si="0"/>
        <v>0</v>
      </c>
      <c r="AR26" s="103">
        <v>51.76790385987443</v>
      </c>
      <c r="AS26" s="19"/>
      <c r="AT26" s="19"/>
      <c r="AU26" s="55"/>
      <c r="AV26" s="107"/>
    </row>
    <row r="27" spans="1:48" ht="12.4" customHeight="1" x14ac:dyDescent="0.2">
      <c r="A27" s="31">
        <f>'Raw Data'!A27</f>
        <v>3.3686678409576416</v>
      </c>
      <c r="B27" s="110">
        <f>'Raw Data'!E27</f>
        <v>0</v>
      </c>
      <c r="C27" s="110">
        <f t="shared" si="1"/>
        <v>1</v>
      </c>
      <c r="D27" s="99">
        <f t="shared" si="2"/>
        <v>0</v>
      </c>
      <c r="E27" s="86">
        <f>(2*Table!$AC$16*0.147)/A27</f>
        <v>32.425362873794995</v>
      </c>
      <c r="F27" s="86">
        <f t="shared" si="3"/>
        <v>64.850725747589991</v>
      </c>
      <c r="G27" s="31">
        <f>IF((('Raw Data'!C27)/('Raw Data'!C$136)*100)&lt;0,0,('Raw Data'!C27)/('Raw Data'!C$136)*100)</f>
        <v>0</v>
      </c>
      <c r="H27" s="31">
        <f t="shared" si="4"/>
        <v>0</v>
      </c>
      <c r="I27" s="8">
        <f t="shared" si="5"/>
        <v>3.9365538153711688E-2</v>
      </c>
      <c r="J27" s="86">
        <f>'Raw Data'!F27/I27</f>
        <v>0</v>
      </c>
      <c r="K27" s="123">
        <f t="shared" si="6"/>
        <v>1.2892646080615001E-2</v>
      </c>
      <c r="L27" s="31">
        <f>A27*Table!$AC$9/$AC$16</f>
        <v>0.63468834813355357</v>
      </c>
      <c r="M27" s="31">
        <f>A27*Table!$AD$9/$AC$16</f>
        <v>0.21760743364578977</v>
      </c>
      <c r="N27" s="31">
        <f>ABS(A27*Table!$AE$9/$AC$16)</f>
        <v>0.27482811648481953</v>
      </c>
      <c r="O27" s="31">
        <f>($L27*(Table!$AC$10/Table!$AC$9)/(Table!$AC$12-Table!$AC$14))</f>
        <v>1.3614078681543407</v>
      </c>
      <c r="P27" s="31">
        <f>$N27*(Table!$AE$10/Table!$AE$9)/(Table!$AC$12-Table!$AC$13)</f>
        <v>2.2563884768868592</v>
      </c>
      <c r="Q27" s="31">
        <f>'Raw Data'!C27</f>
        <v>0</v>
      </c>
      <c r="R27" s="31">
        <f>'Raw Data'!C27/'Raw Data'!I$23*100</f>
        <v>0</v>
      </c>
      <c r="S27" s="36">
        <f t="shared" si="7"/>
        <v>0</v>
      </c>
      <c r="T27" s="36">
        <f t="shared" si="8"/>
        <v>1</v>
      </c>
      <c r="U27" s="3">
        <f t="shared" si="9"/>
        <v>0</v>
      </c>
      <c r="V27" s="3">
        <f t="shared" si="10"/>
        <v>0</v>
      </c>
      <c r="W27" s="3">
        <f t="shared" si="11"/>
        <v>0</v>
      </c>
      <c r="X27" s="148">
        <f t="shared" si="12"/>
        <v>0</v>
      </c>
      <c r="AN27" s="7">
        <f>$E18</f>
        <v>73.455609711092237</v>
      </c>
      <c r="AO27" s="105">
        <f>$B18</f>
        <v>0</v>
      </c>
      <c r="AP27" s="105">
        <f t="shared" si="0"/>
        <v>0</v>
      </c>
      <c r="AR27" s="103">
        <v>72.33793188366559</v>
      </c>
      <c r="AS27" s="19"/>
      <c r="AT27" s="19"/>
      <c r="AU27" s="55"/>
      <c r="AV27" s="107"/>
    </row>
    <row r="28" spans="1:48" ht="12.4" customHeight="1" x14ac:dyDescent="0.2">
      <c r="A28" s="31">
        <f>'Raw Data'!A28</f>
        <v>3.6739091873168945</v>
      </c>
      <c r="B28" s="110">
        <f>'Raw Data'!E28</f>
        <v>0</v>
      </c>
      <c r="C28" s="110">
        <f t="shared" si="1"/>
        <v>1</v>
      </c>
      <c r="D28" s="99">
        <f t="shared" si="2"/>
        <v>0</v>
      </c>
      <c r="E28" s="86">
        <f>(2*Table!$AC$16*0.147)/A28</f>
        <v>29.731349245490577</v>
      </c>
      <c r="F28" s="86">
        <f t="shared" si="3"/>
        <v>59.462698490981154</v>
      </c>
      <c r="G28" s="31">
        <f>IF((('Raw Data'!C28)/('Raw Data'!C$136)*100)&lt;0,0,('Raw Data'!C28)/('Raw Data'!C$136)*100)</f>
        <v>0</v>
      </c>
      <c r="H28" s="31">
        <f t="shared" si="4"/>
        <v>0</v>
      </c>
      <c r="I28" s="8">
        <f t="shared" si="5"/>
        <v>3.7670226519545214E-2</v>
      </c>
      <c r="J28" s="86">
        <f>'Raw Data'!F28/I28</f>
        <v>0</v>
      </c>
      <c r="K28" s="123">
        <f t="shared" si="6"/>
        <v>1.4060873057443184E-2</v>
      </c>
      <c r="L28" s="31">
        <f>A28*Table!$AC$9/$AC$16</f>
        <v>0.69219865637686839</v>
      </c>
      <c r="M28" s="31">
        <f>A28*Table!$AD$9/$AC$16</f>
        <v>0.23732525361492632</v>
      </c>
      <c r="N28" s="31">
        <f>ABS(A28*Table!$AE$9/$AC$16)</f>
        <v>0.2997308104439117</v>
      </c>
      <c r="O28" s="31">
        <f>($L28*(Table!$AC$10/Table!$AC$9)/(Table!$AC$12-Table!$AC$14))</f>
        <v>1.4847676026959857</v>
      </c>
      <c r="P28" s="31">
        <f>$N28*(Table!$AE$10/Table!$AE$9)/(Table!$AC$12-Table!$AC$13)</f>
        <v>2.4608440923145452</v>
      </c>
      <c r="Q28" s="31">
        <f>'Raw Data'!C28</f>
        <v>0</v>
      </c>
      <c r="R28" s="31">
        <f>'Raw Data'!C28/'Raw Data'!I$23*100</f>
        <v>0</v>
      </c>
      <c r="S28" s="36">
        <f t="shared" si="7"/>
        <v>0</v>
      </c>
      <c r="T28" s="36">
        <f t="shared" si="8"/>
        <v>1</v>
      </c>
      <c r="U28" s="3">
        <f t="shared" si="9"/>
        <v>0</v>
      </c>
      <c r="V28" s="3">
        <f t="shared" si="10"/>
        <v>0</v>
      </c>
      <c r="W28" s="3">
        <f t="shared" si="11"/>
        <v>0</v>
      </c>
      <c r="X28" s="148">
        <f t="shared" si="12"/>
        <v>0</v>
      </c>
      <c r="AN28" s="35"/>
      <c r="AO28" s="105"/>
      <c r="AP28" s="105"/>
      <c r="AS28" s="19"/>
      <c r="AT28" s="19"/>
      <c r="AU28" s="107"/>
      <c r="AV28" s="107"/>
    </row>
    <row r="29" spans="1:48" ht="12.4" customHeight="1" x14ac:dyDescent="0.2">
      <c r="A29" s="31">
        <f>'Raw Data'!A29</f>
        <v>4.0173754692077637</v>
      </c>
      <c r="B29" s="110">
        <f>'Raw Data'!E29</f>
        <v>0</v>
      </c>
      <c r="C29" s="110">
        <f t="shared" si="1"/>
        <v>1</v>
      </c>
      <c r="D29" s="99">
        <f t="shared" si="2"/>
        <v>0</v>
      </c>
      <c r="E29" s="86">
        <f>(2*Table!$AC$16*0.147)/A29</f>
        <v>27.189461871701909</v>
      </c>
      <c r="F29" s="86">
        <f t="shared" si="3"/>
        <v>54.378923743403817</v>
      </c>
      <c r="G29" s="31">
        <f>IF((('Raw Data'!C29)/('Raw Data'!C$136)*100)&lt;0,0,('Raw Data'!C29)/('Raw Data'!C$136)*100)</f>
        <v>0</v>
      </c>
      <c r="H29" s="31">
        <f t="shared" si="4"/>
        <v>0</v>
      </c>
      <c r="I29" s="8">
        <f t="shared" si="5"/>
        <v>3.8814006269673351E-2</v>
      </c>
      <c r="J29" s="86">
        <f>'Raw Data'!F29/I29</f>
        <v>0</v>
      </c>
      <c r="K29" s="123">
        <f t="shared" si="6"/>
        <v>1.5375395421210841E-2</v>
      </c>
      <c r="L29" s="31">
        <f>A29*Table!$AC$9/$AC$16</f>
        <v>0.75691089794679356</v>
      </c>
      <c r="M29" s="31">
        <f>A29*Table!$AD$9/$AC$16</f>
        <v>0.25951230786747209</v>
      </c>
      <c r="N29" s="31">
        <f>ABS(A29*Table!$AE$9/$AC$16)</f>
        <v>0.32775203301160699</v>
      </c>
      <c r="O29" s="31">
        <f>($L29*(Table!$AC$10/Table!$AC$9)/(Table!$AC$12-Table!$AC$14))</f>
        <v>1.623575499671372</v>
      </c>
      <c r="P29" s="31">
        <f>$N29*(Table!$AE$10/Table!$AE$9)/(Table!$AC$12-Table!$AC$13)</f>
        <v>2.6909033908998925</v>
      </c>
      <c r="Q29" s="31">
        <f>'Raw Data'!C29</f>
        <v>0</v>
      </c>
      <c r="R29" s="31">
        <f>'Raw Data'!C29/'Raw Data'!I$23*100</f>
        <v>0</v>
      </c>
      <c r="S29" s="36">
        <f t="shared" si="7"/>
        <v>0</v>
      </c>
      <c r="T29" s="36">
        <f t="shared" si="8"/>
        <v>1</v>
      </c>
      <c r="U29" s="3">
        <f t="shared" si="9"/>
        <v>0</v>
      </c>
      <c r="V29" s="3">
        <f t="shared" si="10"/>
        <v>0</v>
      </c>
      <c r="W29" s="3">
        <f t="shared" si="11"/>
        <v>0</v>
      </c>
      <c r="X29" s="148">
        <f t="shared" si="12"/>
        <v>0</v>
      </c>
      <c r="AS29" s="19"/>
      <c r="AT29" s="19"/>
    </row>
    <row r="30" spans="1:48" ht="12.4" customHeight="1" x14ac:dyDescent="0.2">
      <c r="A30" s="31">
        <f>'Raw Data'!A30</f>
        <v>4.3984284400939941</v>
      </c>
      <c r="B30" s="110">
        <f>'Raw Data'!E30</f>
        <v>0</v>
      </c>
      <c r="C30" s="110">
        <f t="shared" si="1"/>
        <v>1</v>
      </c>
      <c r="D30" s="99">
        <f t="shared" si="2"/>
        <v>0</v>
      </c>
      <c r="E30" s="86">
        <f>(2*Table!$AC$16*0.147)/A30</f>
        <v>24.83393299039345</v>
      </c>
      <c r="F30" s="86">
        <f t="shared" si="3"/>
        <v>49.6678659807869</v>
      </c>
      <c r="G30" s="31">
        <f>IF((('Raw Data'!C30)/('Raw Data'!C$136)*100)&lt;0,0,('Raw Data'!C30)/('Raw Data'!C$136)*100)</f>
        <v>0</v>
      </c>
      <c r="H30" s="31">
        <f t="shared" si="4"/>
        <v>0</v>
      </c>
      <c r="I30" s="8">
        <f t="shared" si="5"/>
        <v>3.9355107278927104E-2</v>
      </c>
      <c r="J30" s="86">
        <f>'Raw Data'!F30/I30</f>
        <v>0</v>
      </c>
      <c r="K30" s="123">
        <f t="shared" si="6"/>
        <v>1.6833770459518699E-2</v>
      </c>
      <c r="L30" s="31">
        <f>A30*Table!$AC$9/$AC$16</f>
        <v>0.82870482126053058</v>
      </c>
      <c r="M30" s="31">
        <f>A30*Table!$AD$9/$AC$16</f>
        <v>0.28412736728932475</v>
      </c>
      <c r="N30" s="31">
        <f>ABS(A30*Table!$AE$9/$AC$16)</f>
        <v>0.35883971372513102</v>
      </c>
      <c r="O30" s="31">
        <f>($L30*(Table!$AC$10/Table!$AC$9)/(Table!$AC$12-Table!$AC$14))</f>
        <v>1.7775736191774576</v>
      </c>
      <c r="P30" s="31">
        <f>$N30*(Table!$AE$10/Table!$AE$9)/(Table!$AC$12-Table!$AC$13)</f>
        <v>2.9461388647383489</v>
      </c>
      <c r="Q30" s="31">
        <f>'Raw Data'!C30</f>
        <v>0</v>
      </c>
      <c r="R30" s="31">
        <f>'Raw Data'!C30/'Raw Data'!I$23*100</f>
        <v>0</v>
      </c>
      <c r="S30" s="36">
        <f t="shared" si="7"/>
        <v>0</v>
      </c>
      <c r="T30" s="36">
        <f t="shared" si="8"/>
        <v>1</v>
      </c>
      <c r="U30" s="3">
        <f t="shared" si="9"/>
        <v>0</v>
      </c>
      <c r="V30" s="3">
        <f t="shared" si="10"/>
        <v>0</v>
      </c>
      <c r="W30" s="3">
        <f t="shared" si="11"/>
        <v>0</v>
      </c>
      <c r="X30" s="148">
        <f t="shared" si="12"/>
        <v>0</v>
      </c>
      <c r="AS30" s="19"/>
      <c r="AT30" s="19"/>
    </row>
    <row r="31" spans="1:48" ht="12.4" customHeight="1" x14ac:dyDescent="0.2">
      <c r="A31" s="31">
        <f>'Raw Data'!A31</f>
        <v>4.8054170608520508</v>
      </c>
      <c r="B31" s="110">
        <f>'Raw Data'!E31</f>
        <v>0</v>
      </c>
      <c r="C31" s="110">
        <f t="shared" si="1"/>
        <v>1</v>
      </c>
      <c r="D31" s="99">
        <f t="shared" si="2"/>
        <v>0</v>
      </c>
      <c r="E31" s="86">
        <f>(2*Table!$AC$16*0.147)/A31</f>
        <v>22.730654959003157</v>
      </c>
      <c r="F31" s="86">
        <f t="shared" si="3"/>
        <v>45.461309918006314</v>
      </c>
      <c r="G31" s="31">
        <f>IF((('Raw Data'!C31)/('Raw Data'!C$136)*100)&lt;0,0,('Raw Data'!C31)/('Raw Data'!C$136)*100)</f>
        <v>0</v>
      </c>
      <c r="H31" s="31">
        <f t="shared" si="4"/>
        <v>0</v>
      </c>
      <c r="I31" s="8">
        <f t="shared" si="5"/>
        <v>3.8433555299045352E-2</v>
      </c>
      <c r="J31" s="86">
        <f>'Raw Data'!F31/I31</f>
        <v>0</v>
      </c>
      <c r="K31" s="123">
        <f t="shared" si="6"/>
        <v>1.8391407036943801E-2</v>
      </c>
      <c r="L31" s="31">
        <f>A31*Table!$AC$9/$AC$16</f>
        <v>0.90538526219846871</v>
      </c>
      <c r="M31" s="31">
        <f>A31*Table!$AD$9/$AC$16</f>
        <v>0.31041780418233217</v>
      </c>
      <c r="N31" s="31">
        <f>ABS(A31*Table!$AE$9/$AC$16)</f>
        <v>0.39204331863795439</v>
      </c>
      <c r="O31" s="31">
        <f>($L31*(Table!$AC$10/Table!$AC$9)/(Table!$AC$12-Table!$AC$14))</f>
        <v>1.9420533294690452</v>
      </c>
      <c r="P31" s="31">
        <f>$N31*(Table!$AE$10/Table!$AE$9)/(Table!$AC$12-Table!$AC$13)</f>
        <v>3.2187464584396905</v>
      </c>
      <c r="Q31" s="31">
        <f>'Raw Data'!C31</f>
        <v>0</v>
      </c>
      <c r="R31" s="31">
        <f>'Raw Data'!C31/'Raw Data'!I$23*100</f>
        <v>0</v>
      </c>
      <c r="S31" s="36">
        <f t="shared" si="7"/>
        <v>0</v>
      </c>
      <c r="T31" s="36">
        <f t="shared" si="8"/>
        <v>1</v>
      </c>
      <c r="U31" s="3">
        <f t="shared" si="9"/>
        <v>0</v>
      </c>
      <c r="V31" s="3">
        <f t="shared" si="10"/>
        <v>0</v>
      </c>
      <c r="W31" s="3">
        <f t="shared" si="11"/>
        <v>0</v>
      </c>
      <c r="X31" s="148">
        <f t="shared" si="12"/>
        <v>0</v>
      </c>
      <c r="AS31" s="19"/>
      <c r="AT31" s="19"/>
    </row>
    <row r="32" spans="1:48" ht="12.4" customHeight="1" x14ac:dyDescent="0.2">
      <c r="A32" s="31">
        <f>'Raw Data'!A32</f>
        <v>5.2477574348449707</v>
      </c>
      <c r="B32" s="110">
        <f>'Raw Data'!E32</f>
        <v>0</v>
      </c>
      <c r="C32" s="110">
        <f t="shared" si="1"/>
        <v>1</v>
      </c>
      <c r="D32" s="99">
        <f t="shared" si="2"/>
        <v>0</v>
      </c>
      <c r="E32" s="86">
        <f>(2*Table!$AC$16*0.147)/A32</f>
        <v>20.814658165990846</v>
      </c>
      <c r="F32" s="86">
        <f t="shared" si="3"/>
        <v>41.629316331981691</v>
      </c>
      <c r="G32" s="31">
        <f>IF((('Raw Data'!C32)/('Raw Data'!C$136)*100)&lt;0,0,('Raw Data'!C32)/('Raw Data'!C$136)*100)</f>
        <v>0</v>
      </c>
      <c r="H32" s="31">
        <f t="shared" si="4"/>
        <v>0</v>
      </c>
      <c r="I32" s="8">
        <f t="shared" si="5"/>
        <v>3.8242666656597812E-2</v>
      </c>
      <c r="J32" s="86">
        <f>'Raw Data'!F32/I32</f>
        <v>0</v>
      </c>
      <c r="K32" s="123">
        <f t="shared" si="6"/>
        <v>2.0084342689345898E-2</v>
      </c>
      <c r="L32" s="31">
        <f>A32*Table!$AC$9/$AC$16</f>
        <v>0.98872630219917534</v>
      </c>
      <c r="M32" s="31">
        <f>A32*Table!$AD$9/$AC$16</f>
        <v>0.33899187503971723</v>
      </c>
      <c r="N32" s="31">
        <f>ABS(A32*Table!$AE$9/$AC$16)</f>
        <v>0.42813104754716785</v>
      </c>
      <c r="O32" s="31">
        <f>($L32*(Table!$AC$10/Table!$AC$9)/(Table!$AC$12-Table!$AC$14))</f>
        <v>2.1208200390372705</v>
      </c>
      <c r="P32" s="31">
        <f>$N32*(Table!$AE$10/Table!$AE$9)/(Table!$AC$12-Table!$AC$13)</f>
        <v>3.5150332310933314</v>
      </c>
      <c r="Q32" s="31">
        <f>'Raw Data'!C32</f>
        <v>0</v>
      </c>
      <c r="R32" s="31">
        <f>'Raw Data'!C32/'Raw Data'!I$23*100</f>
        <v>0</v>
      </c>
      <c r="S32" s="36">
        <f t="shared" si="7"/>
        <v>0</v>
      </c>
      <c r="T32" s="36">
        <f t="shared" si="8"/>
        <v>1</v>
      </c>
      <c r="U32" s="3">
        <f t="shared" si="9"/>
        <v>0</v>
      </c>
      <c r="V32" s="3">
        <f t="shared" si="10"/>
        <v>0</v>
      </c>
      <c r="W32" s="3">
        <f t="shared" si="11"/>
        <v>0</v>
      </c>
      <c r="X32" s="148">
        <f t="shared" si="12"/>
        <v>0</v>
      </c>
      <c r="AS32" s="19"/>
      <c r="AT32" s="19"/>
    </row>
    <row r="33" spans="1:46" ht="12.4" customHeight="1" x14ac:dyDescent="0.2">
      <c r="A33" s="31">
        <f>'Raw Data'!A33</f>
        <v>5.7544183731079102</v>
      </c>
      <c r="B33" s="110">
        <f>'Raw Data'!E33</f>
        <v>0</v>
      </c>
      <c r="C33" s="110">
        <f t="shared" si="1"/>
        <v>1</v>
      </c>
      <c r="D33" s="99">
        <f t="shared" si="2"/>
        <v>0</v>
      </c>
      <c r="E33" s="86">
        <f>(2*Table!$AC$16*0.147)/A33</f>
        <v>18.981983940340569</v>
      </c>
      <c r="F33" s="86">
        <f t="shared" si="3"/>
        <v>37.963967880681139</v>
      </c>
      <c r="G33" s="31">
        <f>IF((('Raw Data'!C33)/('Raw Data'!C$136)*100)&lt;0,0,('Raw Data'!C33)/('Raw Data'!C$136)*100)</f>
        <v>0</v>
      </c>
      <c r="H33" s="31">
        <f t="shared" si="4"/>
        <v>0</v>
      </c>
      <c r="I33" s="8">
        <f t="shared" si="5"/>
        <v>4.0027681342636789E-2</v>
      </c>
      <c r="J33" s="86">
        <f>'Raw Data'!F33/I33</f>
        <v>0</v>
      </c>
      <c r="K33" s="123">
        <f t="shared" si="6"/>
        <v>2.2023447542746773E-2</v>
      </c>
      <c r="L33" s="31">
        <f>A33*Table!$AC$9/$AC$16</f>
        <v>1.0841859346568785</v>
      </c>
      <c r="M33" s="31">
        <f>A33*Table!$AD$9/$AC$16</f>
        <v>0.37172089188235841</v>
      </c>
      <c r="N33" s="31">
        <f>ABS(A33*Table!$AE$9/$AC$16)</f>
        <v>0.46946628091931625</v>
      </c>
      <c r="O33" s="31">
        <f>($L33*(Table!$AC$10/Table!$AC$9)/(Table!$AC$12-Table!$AC$14))</f>
        <v>2.32558115542016</v>
      </c>
      <c r="P33" s="31">
        <f>$N33*(Table!$AE$10/Table!$AE$9)/(Table!$AC$12-Table!$AC$13)</f>
        <v>3.8544029632127761</v>
      </c>
      <c r="Q33" s="31">
        <f>'Raw Data'!C33</f>
        <v>0</v>
      </c>
      <c r="R33" s="31">
        <f>'Raw Data'!C33/'Raw Data'!I$23*100</f>
        <v>0</v>
      </c>
      <c r="S33" s="36">
        <f t="shared" si="7"/>
        <v>0</v>
      </c>
      <c r="T33" s="36">
        <f t="shared" si="8"/>
        <v>1</v>
      </c>
      <c r="U33" s="3">
        <f t="shared" si="9"/>
        <v>0</v>
      </c>
      <c r="V33" s="3">
        <f t="shared" si="10"/>
        <v>0</v>
      </c>
      <c r="W33" s="3">
        <f t="shared" si="11"/>
        <v>0</v>
      </c>
      <c r="X33" s="148">
        <f t="shared" si="12"/>
        <v>0</v>
      </c>
      <c r="AS33" s="19"/>
      <c r="AT33" s="19"/>
    </row>
    <row r="34" spans="1:46" ht="12.4" customHeight="1" x14ac:dyDescent="0.2">
      <c r="A34" s="31">
        <f>'Raw Data'!A34</f>
        <v>6.2851791381835938</v>
      </c>
      <c r="B34" s="110">
        <f>'Raw Data'!E34</f>
        <v>0</v>
      </c>
      <c r="C34" s="110">
        <f t="shared" si="1"/>
        <v>1</v>
      </c>
      <c r="D34" s="99">
        <f t="shared" si="2"/>
        <v>0</v>
      </c>
      <c r="E34" s="86">
        <f>(2*Table!$AC$16*0.147)/A34</f>
        <v>17.379023690946447</v>
      </c>
      <c r="F34" s="86">
        <f t="shared" si="3"/>
        <v>34.758047381892894</v>
      </c>
      <c r="G34" s="31">
        <f>IF((('Raw Data'!C34)/('Raw Data'!C$136)*100)&lt;0,0,('Raw Data'!C34)/('Raw Data'!C$136)*100)</f>
        <v>0</v>
      </c>
      <c r="H34" s="31">
        <f t="shared" si="4"/>
        <v>0</v>
      </c>
      <c r="I34" s="8">
        <f t="shared" si="5"/>
        <v>3.8316226381420293E-2</v>
      </c>
      <c r="J34" s="86">
        <f>'Raw Data'!F34/I34</f>
        <v>0</v>
      </c>
      <c r="K34" s="123">
        <f t="shared" si="6"/>
        <v>2.4054787829372343E-2</v>
      </c>
      <c r="L34" s="31">
        <f>A34*Table!$AC$9/$AC$16</f>
        <v>1.1841861986022317</v>
      </c>
      <c r="M34" s="31">
        <f>A34*Table!$AD$9/$AC$16</f>
        <v>0.40600669666362227</v>
      </c>
      <c r="N34" s="31">
        <f>ABS(A34*Table!$AE$9/$AC$16)</f>
        <v>0.51276766540022867</v>
      </c>
      <c r="O34" s="31">
        <f>($L34*(Table!$AC$10/Table!$AC$9)/(Table!$AC$12-Table!$AC$14))</f>
        <v>2.5400819360837232</v>
      </c>
      <c r="P34" s="31">
        <f>$N34*(Table!$AE$10/Table!$AE$9)/(Table!$AC$12-Table!$AC$13)</f>
        <v>4.2099151510691994</v>
      </c>
      <c r="Q34" s="31">
        <f>'Raw Data'!C34</f>
        <v>0</v>
      </c>
      <c r="R34" s="31">
        <f>'Raw Data'!C34/'Raw Data'!I$23*100</f>
        <v>0</v>
      </c>
      <c r="S34" s="36">
        <f t="shared" si="7"/>
        <v>0</v>
      </c>
      <c r="T34" s="36">
        <f t="shared" si="8"/>
        <v>1</v>
      </c>
      <c r="U34" s="3">
        <f t="shared" si="9"/>
        <v>0</v>
      </c>
      <c r="V34" s="3">
        <f t="shared" si="10"/>
        <v>0</v>
      </c>
      <c r="W34" s="3">
        <f t="shared" si="11"/>
        <v>0</v>
      </c>
      <c r="X34" s="148">
        <f t="shared" si="12"/>
        <v>0</v>
      </c>
      <c r="AS34" s="19"/>
      <c r="AT34" s="19"/>
    </row>
    <row r="35" spans="1:46" ht="12.4" customHeight="1" x14ac:dyDescent="0.2">
      <c r="A35" s="31">
        <f>'Raw Data'!A35</f>
        <v>6.876349925994873</v>
      </c>
      <c r="B35" s="110">
        <f>'Raw Data'!E35</f>
        <v>0</v>
      </c>
      <c r="C35" s="110">
        <f t="shared" si="1"/>
        <v>1</v>
      </c>
      <c r="D35" s="99">
        <f t="shared" si="2"/>
        <v>0</v>
      </c>
      <c r="E35" s="86">
        <f>(2*Table!$AC$16*0.147)/A35</f>
        <v>15.884921261992288</v>
      </c>
      <c r="F35" s="86">
        <f t="shared" si="3"/>
        <v>31.769842523984575</v>
      </c>
      <c r="G35" s="31">
        <f>IF((('Raw Data'!C35)/('Raw Data'!C$136)*100)&lt;0,0,('Raw Data'!C35)/('Raw Data'!C$136)*100)</f>
        <v>0</v>
      </c>
      <c r="H35" s="31">
        <f t="shared" si="4"/>
        <v>0</v>
      </c>
      <c r="I35" s="8">
        <f t="shared" si="5"/>
        <v>3.9040308778166777E-2</v>
      </c>
      <c r="J35" s="86">
        <f>'Raw Data'!F35/I35</f>
        <v>0</v>
      </c>
      <c r="K35" s="123">
        <f t="shared" si="6"/>
        <v>2.6317330798964287E-2</v>
      </c>
      <c r="L35" s="31">
        <f>A35*Table!$AC$9/$AC$16</f>
        <v>1.2955682726134492</v>
      </c>
      <c r="M35" s="31">
        <f>A35*Table!$AD$9/$AC$16</f>
        <v>0.44419483632461115</v>
      </c>
      <c r="N35" s="31">
        <f>ABS(A35*Table!$AE$9/$AC$16)</f>
        <v>0.56099751821018495</v>
      </c>
      <c r="O35" s="31">
        <f>($L35*(Table!$AC$10/Table!$AC$9)/(Table!$AC$12-Table!$AC$14))</f>
        <v>2.7789967237525728</v>
      </c>
      <c r="P35" s="31">
        <f>$N35*(Table!$AE$10/Table!$AE$9)/(Table!$AC$12-Table!$AC$13)</f>
        <v>4.6058909541066075</v>
      </c>
      <c r="Q35" s="31">
        <f>'Raw Data'!C35</f>
        <v>0</v>
      </c>
      <c r="R35" s="31">
        <f>'Raw Data'!C35/'Raw Data'!I$23*100</f>
        <v>0</v>
      </c>
      <c r="S35" s="36">
        <f t="shared" si="7"/>
        <v>0</v>
      </c>
      <c r="T35" s="36">
        <f t="shared" si="8"/>
        <v>1</v>
      </c>
      <c r="U35" s="3">
        <f t="shared" si="9"/>
        <v>0</v>
      </c>
      <c r="V35" s="3">
        <f t="shared" si="10"/>
        <v>0</v>
      </c>
      <c r="W35" s="3">
        <f t="shared" si="11"/>
        <v>0</v>
      </c>
      <c r="X35" s="148">
        <f t="shared" si="12"/>
        <v>0</v>
      </c>
      <c r="AS35" s="19"/>
      <c r="AT35" s="19"/>
    </row>
    <row r="36" spans="1:46" ht="12.4" customHeight="1" x14ac:dyDescent="0.2">
      <c r="A36" s="31">
        <f>'Raw Data'!A36</f>
        <v>7.5282497406005859</v>
      </c>
      <c r="B36" s="110">
        <f>'Raw Data'!E36</f>
        <v>0</v>
      </c>
      <c r="C36" s="110">
        <f t="shared" si="1"/>
        <v>1</v>
      </c>
      <c r="D36" s="99">
        <f t="shared" si="2"/>
        <v>0</v>
      </c>
      <c r="E36" s="86">
        <f>(2*Table!$AC$16*0.147)/A36</f>
        <v>14.509385435932803</v>
      </c>
      <c r="F36" s="86">
        <f t="shared" si="3"/>
        <v>29.018770871865605</v>
      </c>
      <c r="G36" s="31">
        <f>IF((('Raw Data'!C36)/('Raw Data'!C$136)*100)&lt;0,0,('Raw Data'!C36)/('Raw Data'!C$136)*100)</f>
        <v>0</v>
      </c>
      <c r="H36" s="31">
        <f t="shared" si="4"/>
        <v>0</v>
      </c>
      <c r="I36" s="8">
        <f t="shared" si="5"/>
        <v>3.9336048753326747E-2</v>
      </c>
      <c r="J36" s="86">
        <f>'Raw Data'!F36/I36</f>
        <v>0</v>
      </c>
      <c r="K36" s="123">
        <f t="shared" si="6"/>
        <v>2.8812297351481584E-2</v>
      </c>
      <c r="L36" s="31">
        <f>A36*Table!$AC$9/$AC$16</f>
        <v>1.4183922600217918</v>
      </c>
      <c r="M36" s="31">
        <f>A36*Table!$AD$9/$AC$16</f>
        <v>0.48630591772175713</v>
      </c>
      <c r="N36" s="31">
        <f>ABS(A36*Table!$AE$9/$AC$16)</f>
        <v>0.61418186485504733</v>
      </c>
      <c r="O36" s="31">
        <f>($L36*(Table!$AC$10/Table!$AC$9)/(Table!$AC$12-Table!$AC$14))</f>
        <v>3.0424544402011842</v>
      </c>
      <c r="P36" s="31">
        <f>$N36*(Table!$AE$10/Table!$AE$9)/(Table!$AC$12-Table!$AC$13)</f>
        <v>5.0425440464289588</v>
      </c>
      <c r="Q36" s="31">
        <f>'Raw Data'!C36</f>
        <v>0</v>
      </c>
      <c r="R36" s="31">
        <f>'Raw Data'!C36/'Raw Data'!I$23*100</f>
        <v>0</v>
      </c>
      <c r="S36" s="36">
        <f t="shared" si="7"/>
        <v>0</v>
      </c>
      <c r="T36" s="36">
        <f t="shared" si="8"/>
        <v>1</v>
      </c>
      <c r="U36" s="3">
        <f t="shared" si="9"/>
        <v>0</v>
      </c>
      <c r="V36" s="3">
        <f t="shared" si="10"/>
        <v>0</v>
      </c>
      <c r="W36" s="3">
        <f t="shared" si="11"/>
        <v>0</v>
      </c>
      <c r="X36" s="148">
        <f t="shared" si="12"/>
        <v>0</v>
      </c>
      <c r="AS36" s="19"/>
      <c r="AT36" s="19"/>
    </row>
    <row r="37" spans="1:46" ht="12.4" customHeight="1" x14ac:dyDescent="0.2">
      <c r="A37" s="31">
        <f>'Raw Data'!A37</f>
        <v>8.2390432357788086</v>
      </c>
      <c r="B37" s="110">
        <f>'Raw Data'!E37</f>
        <v>0</v>
      </c>
      <c r="C37" s="110">
        <f t="shared" si="1"/>
        <v>1</v>
      </c>
      <c r="D37" s="99">
        <f t="shared" si="2"/>
        <v>0</v>
      </c>
      <c r="E37" s="86">
        <f>(2*Table!$AC$16*0.147)/A37</f>
        <v>13.257640968552325</v>
      </c>
      <c r="F37" s="86">
        <f t="shared" si="3"/>
        <v>26.51528193710465</v>
      </c>
      <c r="G37" s="31">
        <f>IF((('Raw Data'!C37)/('Raw Data'!C$136)*100)&lt;0,0,('Raw Data'!C37)/('Raw Data'!C$136)*100)</f>
        <v>0</v>
      </c>
      <c r="H37" s="31">
        <f t="shared" si="4"/>
        <v>0</v>
      </c>
      <c r="I37" s="8">
        <f t="shared" si="5"/>
        <v>3.9182764044193741E-2</v>
      </c>
      <c r="J37" s="86">
        <f>'Raw Data'!F37/I37</f>
        <v>0</v>
      </c>
      <c r="K37" s="123">
        <f t="shared" si="6"/>
        <v>3.153266320599428E-2</v>
      </c>
      <c r="L37" s="31">
        <f>A37*Table!$AC$9/$AC$16</f>
        <v>1.5523123645312626</v>
      </c>
      <c r="M37" s="31">
        <f>A37*Table!$AD$9/$AC$16</f>
        <v>0.53222138212500436</v>
      </c>
      <c r="N37" s="31">
        <f>ABS(A37*Table!$AE$9/$AC$16)</f>
        <v>0.6721709711463818</v>
      </c>
      <c r="O37" s="31">
        <f>($L37*(Table!$AC$10/Table!$AC$9)/(Table!$AC$12-Table!$AC$14))</f>
        <v>3.3297133516329107</v>
      </c>
      <c r="P37" s="31">
        <f>$N37*(Table!$AE$10/Table!$AE$9)/(Table!$AC$12-Table!$AC$13)</f>
        <v>5.5186450833036256</v>
      </c>
      <c r="Q37" s="31">
        <f>'Raw Data'!C37</f>
        <v>0</v>
      </c>
      <c r="R37" s="31">
        <f>'Raw Data'!C37/'Raw Data'!I$23*100</f>
        <v>0</v>
      </c>
      <c r="S37" s="36">
        <f t="shared" si="7"/>
        <v>0</v>
      </c>
      <c r="T37" s="36">
        <f t="shared" si="8"/>
        <v>1</v>
      </c>
      <c r="U37" s="3">
        <f t="shared" si="9"/>
        <v>0</v>
      </c>
      <c r="V37" s="3">
        <f t="shared" si="10"/>
        <v>0</v>
      </c>
      <c r="W37" s="3">
        <f t="shared" si="11"/>
        <v>0</v>
      </c>
      <c r="X37" s="148">
        <f t="shared" si="12"/>
        <v>0</v>
      </c>
      <c r="AS37" s="19"/>
      <c r="AT37" s="19"/>
    </row>
    <row r="38" spans="1:46" ht="12.4" customHeight="1" x14ac:dyDescent="0.2">
      <c r="A38" s="31">
        <f>'Raw Data'!A38</f>
        <v>9.0206203460693359</v>
      </c>
      <c r="B38" s="110">
        <f>'Raw Data'!E38</f>
        <v>0</v>
      </c>
      <c r="C38" s="110">
        <f t="shared" si="1"/>
        <v>1</v>
      </c>
      <c r="D38" s="99">
        <f t="shared" si="2"/>
        <v>0</v>
      </c>
      <c r="E38" s="86">
        <f>(2*Table!$AC$16*0.147)/A38</f>
        <v>12.108954035731177</v>
      </c>
      <c r="F38" s="86">
        <f t="shared" si="3"/>
        <v>24.217908071462354</v>
      </c>
      <c r="G38" s="31">
        <f>IF((('Raw Data'!C38)/('Raw Data'!C$136)*100)&lt;0,0,('Raw Data'!C38)/('Raw Data'!C$136)*100)</f>
        <v>0</v>
      </c>
      <c r="H38" s="31">
        <f t="shared" si="4"/>
        <v>0</v>
      </c>
      <c r="I38" s="8">
        <f t="shared" si="5"/>
        <v>3.9359623006830935E-2</v>
      </c>
      <c r="J38" s="86">
        <f>'Raw Data'!F38/I38</f>
        <v>0</v>
      </c>
      <c r="K38" s="123">
        <f t="shared" si="6"/>
        <v>3.4523933804172631E-2</v>
      </c>
      <c r="L38" s="31">
        <f>A38*Table!$AC$9/$AC$16</f>
        <v>1.6995687603795016</v>
      </c>
      <c r="M38" s="31">
        <f>A38*Table!$AD$9/$AC$16</f>
        <v>0.58270928927297194</v>
      </c>
      <c r="N38" s="31">
        <f>ABS(A38*Table!$AE$9/$AC$16)</f>
        <v>0.73593486098353789</v>
      </c>
      <c r="O38" s="31">
        <f>($L38*(Table!$AC$10/Table!$AC$9)/(Table!$AC$12-Table!$AC$14))</f>
        <v>3.6455786365926683</v>
      </c>
      <c r="P38" s="31">
        <f>$N38*(Table!$AE$10/Table!$AE$9)/(Table!$AC$12-Table!$AC$13)</f>
        <v>6.0421581361538399</v>
      </c>
      <c r="Q38" s="31">
        <f>'Raw Data'!C38</f>
        <v>0</v>
      </c>
      <c r="R38" s="31">
        <f>'Raw Data'!C38/'Raw Data'!I$23*100</f>
        <v>0</v>
      </c>
      <c r="S38" s="36">
        <f t="shared" si="7"/>
        <v>0</v>
      </c>
      <c r="T38" s="36">
        <f t="shared" si="8"/>
        <v>1</v>
      </c>
      <c r="U38" s="3">
        <f t="shared" si="9"/>
        <v>0</v>
      </c>
      <c r="V38" s="3">
        <f t="shared" si="10"/>
        <v>0</v>
      </c>
      <c r="W38" s="3">
        <f t="shared" si="11"/>
        <v>0</v>
      </c>
      <c r="X38" s="148">
        <f t="shared" si="12"/>
        <v>0</v>
      </c>
      <c r="AS38" s="19"/>
      <c r="AT38" s="19"/>
    </row>
    <row r="39" spans="1:46" ht="12.4" customHeight="1" x14ac:dyDescent="0.2">
      <c r="A39" s="31">
        <f>'Raw Data'!A39</f>
        <v>9.8639650344848633</v>
      </c>
      <c r="B39" s="110">
        <f>'Raw Data'!E39</f>
        <v>0</v>
      </c>
      <c r="C39" s="110">
        <f t="shared" si="1"/>
        <v>1</v>
      </c>
      <c r="D39" s="99">
        <f t="shared" si="2"/>
        <v>0</v>
      </c>
      <c r="E39" s="86">
        <f>(2*Table!$AC$16*0.147)/A39</f>
        <v>11.073668323281876</v>
      </c>
      <c r="F39" s="86">
        <f t="shared" si="3"/>
        <v>22.147336646563751</v>
      </c>
      <c r="G39" s="31">
        <f>IF((('Raw Data'!C39)/('Raw Data'!C$136)*100)&lt;0,0,('Raw Data'!C39)/('Raw Data'!C$136)*100)</f>
        <v>0</v>
      </c>
      <c r="H39" s="31">
        <f t="shared" si="4"/>
        <v>0</v>
      </c>
      <c r="I39" s="8">
        <f t="shared" si="5"/>
        <v>3.8815119210566795E-2</v>
      </c>
      <c r="J39" s="86">
        <f>'Raw Data'!F39/I39</f>
        <v>0</v>
      </c>
      <c r="K39" s="123">
        <f t="shared" si="6"/>
        <v>3.7751602753752708E-2</v>
      </c>
      <c r="L39" s="31">
        <f>A39*Table!$AC$9/$AC$16</f>
        <v>1.8584627423535431</v>
      </c>
      <c r="M39" s="31">
        <f>A39*Table!$AD$9/$AC$16</f>
        <v>0.63718722594978627</v>
      </c>
      <c r="N39" s="31">
        <f>ABS(A39*Table!$AE$9/$AC$16)</f>
        <v>0.80473797343253128</v>
      </c>
      <c r="O39" s="31">
        <f>($L39*(Table!$AC$10/Table!$AC$9)/(Table!$AC$12-Table!$AC$14))</f>
        <v>3.9864065687549188</v>
      </c>
      <c r="P39" s="31">
        <f>$N39*(Table!$AE$10/Table!$AE$9)/(Table!$AC$12-Table!$AC$13)</f>
        <v>6.6070441168516503</v>
      </c>
      <c r="Q39" s="31">
        <f>'Raw Data'!C39</f>
        <v>0</v>
      </c>
      <c r="R39" s="31">
        <f>'Raw Data'!C39/'Raw Data'!I$23*100</f>
        <v>0</v>
      </c>
      <c r="S39" s="36">
        <f t="shared" si="7"/>
        <v>0</v>
      </c>
      <c r="T39" s="36">
        <f t="shared" si="8"/>
        <v>1</v>
      </c>
      <c r="U39" s="3">
        <f t="shared" si="9"/>
        <v>0</v>
      </c>
      <c r="V39" s="3">
        <f t="shared" si="10"/>
        <v>0</v>
      </c>
      <c r="W39" s="3">
        <f t="shared" si="11"/>
        <v>0</v>
      </c>
      <c r="X39" s="148">
        <f t="shared" si="12"/>
        <v>0</v>
      </c>
      <c r="AS39" s="19"/>
      <c r="AT39" s="19"/>
    </row>
    <row r="40" spans="1:46" ht="12.4" customHeight="1" x14ac:dyDescent="0.2">
      <c r="A40" s="31">
        <f>'Raw Data'!A40</f>
        <v>10.769554138183594</v>
      </c>
      <c r="B40" s="110">
        <f>'Raw Data'!E40</f>
        <v>0</v>
      </c>
      <c r="C40" s="110">
        <f t="shared" si="1"/>
        <v>1</v>
      </c>
      <c r="D40" s="99">
        <f t="shared" si="2"/>
        <v>0</v>
      </c>
      <c r="E40" s="86">
        <f>(2*Table!$AC$16*0.147)/A40</f>
        <v>10.142506898875013</v>
      </c>
      <c r="F40" s="86">
        <f t="shared" si="3"/>
        <v>20.285013797750025</v>
      </c>
      <c r="G40" s="31">
        <f>IF((('Raw Data'!C40)/('Raw Data'!C$136)*100)&lt;0,0,('Raw Data'!C40)/('Raw Data'!C$136)*100)</f>
        <v>0</v>
      </c>
      <c r="H40" s="31">
        <f t="shared" si="4"/>
        <v>0</v>
      </c>
      <c r="I40" s="8">
        <f t="shared" si="5"/>
        <v>3.8146199671731384E-2</v>
      </c>
      <c r="J40" s="86">
        <f>'Raw Data'!F40/I40</f>
        <v>0</v>
      </c>
      <c r="K40" s="123">
        <f t="shared" si="6"/>
        <v>4.1217495017303991E-2</v>
      </c>
      <c r="L40" s="31">
        <f>A40*Table!$AC$9/$AC$16</f>
        <v>2.0290841510083362</v>
      </c>
      <c r="M40" s="31">
        <f>A40*Table!$AD$9/$AC$16</f>
        <v>0.69568599463142955</v>
      </c>
      <c r="N40" s="31">
        <f>ABS(A40*Table!$AE$9/$AC$16)</f>
        <v>0.87861921059479953</v>
      </c>
      <c r="O40" s="31">
        <f>($L40*(Table!$AC$10/Table!$AC$9)/(Table!$AC$12-Table!$AC$14))</f>
        <v>4.3523898563027377</v>
      </c>
      <c r="P40" s="31">
        <f>$N40*(Table!$AE$10/Table!$AE$9)/(Table!$AC$12-Table!$AC$13)</f>
        <v>7.2136224186765139</v>
      </c>
      <c r="Q40" s="31">
        <f>'Raw Data'!C40</f>
        <v>0</v>
      </c>
      <c r="R40" s="31">
        <f>'Raw Data'!C40/'Raw Data'!I$23*100</f>
        <v>0</v>
      </c>
      <c r="S40" s="36">
        <f t="shared" si="7"/>
        <v>0</v>
      </c>
      <c r="T40" s="36">
        <f t="shared" si="8"/>
        <v>1</v>
      </c>
      <c r="U40" s="3">
        <f t="shared" si="9"/>
        <v>0</v>
      </c>
      <c r="V40" s="3">
        <f t="shared" si="10"/>
        <v>0</v>
      </c>
      <c r="W40" s="3">
        <f t="shared" si="11"/>
        <v>0</v>
      </c>
      <c r="X40" s="148">
        <f t="shared" si="12"/>
        <v>0</v>
      </c>
      <c r="AS40" s="19"/>
      <c r="AT40" s="19"/>
    </row>
    <row r="41" spans="1:46" ht="12.4" customHeight="1" x14ac:dyDescent="0.2">
      <c r="A41" s="31">
        <f>'Raw Data'!A41</f>
        <v>11.870817184448242</v>
      </c>
      <c r="B41" s="110">
        <f>'Raw Data'!E41</f>
        <v>0</v>
      </c>
      <c r="C41" s="110">
        <f t="shared" si="1"/>
        <v>1</v>
      </c>
      <c r="D41" s="99">
        <f t="shared" si="2"/>
        <v>0</v>
      </c>
      <c r="E41" s="86">
        <f>(2*Table!$AC$16*0.147)/A41</f>
        <v>9.2015802658839529</v>
      </c>
      <c r="F41" s="86">
        <f t="shared" si="3"/>
        <v>18.403160531767906</v>
      </c>
      <c r="G41" s="31">
        <f>IF((('Raw Data'!C41)/('Raw Data'!C$136)*100)&lt;0,0,('Raw Data'!C41)/('Raw Data'!C$136)*100)</f>
        <v>0</v>
      </c>
      <c r="H41" s="31">
        <f t="shared" si="4"/>
        <v>0</v>
      </c>
      <c r="I41" s="8">
        <f t="shared" si="5"/>
        <v>4.2282892933586891E-2</v>
      </c>
      <c r="J41" s="86">
        <f>'Raw Data'!F41/I41</f>
        <v>0</v>
      </c>
      <c r="K41" s="123">
        <f t="shared" si="6"/>
        <v>4.5432275270946877E-2</v>
      </c>
      <c r="L41" s="31">
        <f>A41*Table!$AC$9/$AC$16</f>
        <v>2.236572350110666</v>
      </c>
      <c r="M41" s="31">
        <f>A41*Table!$AD$9/$AC$16</f>
        <v>0.76682480575222833</v>
      </c>
      <c r="N41" s="31">
        <f>ABS(A41*Table!$AE$9/$AC$16)</f>
        <v>0.96846423629885015</v>
      </c>
      <c r="O41" s="31">
        <f>($L41*(Table!$AC$10/Table!$AC$9)/(Table!$AC$12-Table!$AC$14))</f>
        <v>4.7974524884398679</v>
      </c>
      <c r="P41" s="31">
        <f>$N41*(Table!$AE$10/Table!$AE$9)/(Table!$AC$12-Table!$AC$13)</f>
        <v>7.9512663078723316</v>
      </c>
      <c r="Q41" s="31">
        <f>'Raw Data'!C41</f>
        <v>0</v>
      </c>
      <c r="R41" s="31">
        <f>'Raw Data'!C41/'Raw Data'!I$23*100</f>
        <v>0</v>
      </c>
      <c r="S41" s="36">
        <f t="shared" si="7"/>
        <v>0</v>
      </c>
      <c r="T41" s="36">
        <f t="shared" si="8"/>
        <v>1</v>
      </c>
      <c r="U41" s="3">
        <f t="shared" si="9"/>
        <v>0</v>
      </c>
      <c r="V41" s="3">
        <f t="shared" si="10"/>
        <v>0</v>
      </c>
      <c r="W41" s="3">
        <f t="shared" si="11"/>
        <v>0</v>
      </c>
      <c r="X41" s="148">
        <f t="shared" si="12"/>
        <v>0</v>
      </c>
      <c r="AS41" s="19"/>
      <c r="AT41" s="19"/>
    </row>
    <row r="42" spans="1:46" ht="12.4" customHeight="1" x14ac:dyDescent="0.2">
      <c r="A42" s="31">
        <f>'Raw Data'!A42</f>
        <v>12.87009334564209</v>
      </c>
      <c r="B42" s="110">
        <f>'Raw Data'!E42</f>
        <v>0</v>
      </c>
      <c r="C42" s="110">
        <f t="shared" si="1"/>
        <v>1</v>
      </c>
      <c r="D42" s="99">
        <f t="shared" si="2"/>
        <v>0</v>
      </c>
      <c r="E42" s="86">
        <f>(2*Table!$AC$16*0.147)/A42</f>
        <v>8.4871394644018832</v>
      </c>
      <c r="F42" s="86">
        <f t="shared" si="3"/>
        <v>16.974278928803766</v>
      </c>
      <c r="G42" s="31">
        <f>IF((('Raw Data'!C42)/('Raw Data'!C$136)*100)&lt;0,0,('Raw Data'!C42)/('Raw Data'!C$136)*100)</f>
        <v>0</v>
      </c>
      <c r="H42" s="31">
        <f t="shared" si="4"/>
        <v>0</v>
      </c>
      <c r="I42" s="8">
        <f t="shared" si="5"/>
        <v>3.5101080094603887E-2</v>
      </c>
      <c r="J42" s="86">
        <f>'Raw Data'!F42/I42</f>
        <v>0</v>
      </c>
      <c r="K42" s="123">
        <f t="shared" si="6"/>
        <v>4.9256728880301658E-2</v>
      </c>
      <c r="L42" s="31">
        <f>A42*Table!$AC$9/$AC$16</f>
        <v>2.4248452716395108</v>
      </c>
      <c r="M42" s="31">
        <f>A42*Table!$AD$9/$AC$16</f>
        <v>0.8313755217049752</v>
      </c>
      <c r="N42" s="31">
        <f>ABS(A42*Table!$AE$9/$AC$16)</f>
        <v>1.0499888027431972</v>
      </c>
      <c r="O42" s="31">
        <f>($L42*(Table!$AC$10/Table!$AC$9)/(Table!$AC$12-Table!$AC$14))</f>
        <v>5.2012983089650602</v>
      </c>
      <c r="P42" s="31">
        <f>$N42*(Table!$AE$10/Table!$AE$9)/(Table!$AC$12-Table!$AC$13)</f>
        <v>8.620597723671569</v>
      </c>
      <c r="Q42" s="31">
        <f>'Raw Data'!C42</f>
        <v>0</v>
      </c>
      <c r="R42" s="31">
        <f>'Raw Data'!C42/'Raw Data'!I$23*100</f>
        <v>0</v>
      </c>
      <c r="S42" s="36">
        <f t="shared" si="7"/>
        <v>0</v>
      </c>
      <c r="T42" s="36">
        <f t="shared" si="8"/>
        <v>1</v>
      </c>
      <c r="U42" s="3">
        <f t="shared" si="9"/>
        <v>0</v>
      </c>
      <c r="V42" s="3">
        <f t="shared" si="10"/>
        <v>0</v>
      </c>
      <c r="W42" s="3">
        <f t="shared" si="11"/>
        <v>0</v>
      </c>
      <c r="X42" s="148">
        <f t="shared" si="12"/>
        <v>0</v>
      </c>
      <c r="AS42" s="19"/>
      <c r="AT42" s="19"/>
    </row>
    <row r="43" spans="1:46" ht="12.4" customHeight="1" x14ac:dyDescent="0.2">
      <c r="A43" s="31">
        <f>'Raw Data'!A43</f>
        <v>14.164556503295898</v>
      </c>
      <c r="B43" s="110">
        <f>'Raw Data'!E43</f>
        <v>0</v>
      </c>
      <c r="C43" s="110">
        <f t="shared" si="1"/>
        <v>1</v>
      </c>
      <c r="D43" s="99">
        <f t="shared" si="2"/>
        <v>0</v>
      </c>
      <c r="E43" s="86">
        <f>(2*Table!$AC$16*0.147)/A43</f>
        <v>7.7115211562690762</v>
      </c>
      <c r="F43" s="86">
        <f t="shared" si="3"/>
        <v>15.423042312538152</v>
      </c>
      <c r="G43" s="31">
        <f>IF((('Raw Data'!C43)/('Raw Data'!C$136)*100)&lt;0,0,('Raw Data'!C43)/('Raw Data'!C$136)*100)</f>
        <v>0</v>
      </c>
      <c r="H43" s="31">
        <f t="shared" si="4"/>
        <v>0</v>
      </c>
      <c r="I43" s="8">
        <f t="shared" si="5"/>
        <v>4.1621284357916233E-2</v>
      </c>
      <c r="J43" s="86">
        <f>'Raw Data'!F43/I43</f>
        <v>0</v>
      </c>
      <c r="K43" s="123">
        <f t="shared" si="6"/>
        <v>5.4210929218225609E-2</v>
      </c>
      <c r="L43" s="31">
        <f>A43*Table!$AC$9/$AC$16</f>
        <v>2.6687341683903054</v>
      </c>
      <c r="M43" s="31">
        <f>A43*Table!$AD$9/$AC$16</f>
        <v>0.91499457201953327</v>
      </c>
      <c r="N43" s="31">
        <f>ABS(A43*Table!$AE$9/$AC$16)</f>
        <v>1.1555957928867713</v>
      </c>
      <c r="O43" s="31">
        <f>($L43*(Table!$AC$10/Table!$AC$9)/(Table!$AC$12-Table!$AC$14))</f>
        <v>5.7244405156377214</v>
      </c>
      <c r="P43" s="31">
        <f>$N43*(Table!$AE$10/Table!$AE$9)/(Table!$AC$12-Table!$AC$13)</f>
        <v>9.4876501879045243</v>
      </c>
      <c r="Q43" s="31">
        <f>'Raw Data'!C43</f>
        <v>0</v>
      </c>
      <c r="R43" s="31">
        <f>'Raw Data'!C43/'Raw Data'!I$23*100</f>
        <v>0</v>
      </c>
      <c r="S43" s="36">
        <f t="shared" si="7"/>
        <v>0</v>
      </c>
      <c r="T43" s="36">
        <f t="shared" si="8"/>
        <v>1</v>
      </c>
      <c r="U43" s="3">
        <f t="shared" si="9"/>
        <v>0</v>
      </c>
      <c r="V43" s="3">
        <f t="shared" si="10"/>
        <v>0</v>
      </c>
      <c r="W43" s="3">
        <f t="shared" si="11"/>
        <v>0</v>
      </c>
      <c r="X43" s="148">
        <f t="shared" si="12"/>
        <v>0</v>
      </c>
      <c r="AS43" s="19"/>
      <c r="AT43" s="19"/>
    </row>
    <row r="44" spans="1:46" ht="12.4" customHeight="1" x14ac:dyDescent="0.2">
      <c r="A44" s="31">
        <f>'Raw Data'!A44</f>
        <v>15.458779335021973</v>
      </c>
      <c r="B44" s="110">
        <f>'Raw Data'!E44</f>
        <v>0</v>
      </c>
      <c r="C44" s="110">
        <f t="shared" si="1"/>
        <v>1</v>
      </c>
      <c r="D44" s="99">
        <f t="shared" si="2"/>
        <v>0</v>
      </c>
      <c r="E44" s="86">
        <f>(2*Table!$AC$16*0.147)/A44</f>
        <v>7.0659057081481906</v>
      </c>
      <c r="F44" s="86">
        <f t="shared" si="3"/>
        <v>14.131811416296381</v>
      </c>
      <c r="G44" s="31">
        <f>IF((('Raw Data'!C44)/('Raw Data'!C$136)*100)&lt;0,0,('Raw Data'!C44)/('Raw Data'!C$136)*100)</f>
        <v>0</v>
      </c>
      <c r="H44" s="31">
        <f t="shared" si="4"/>
        <v>0</v>
      </c>
      <c r="I44" s="8">
        <f t="shared" si="5"/>
        <v>3.7972216753853649E-2</v>
      </c>
      <c r="J44" s="86">
        <f>'Raw Data'!F44/I44</f>
        <v>0</v>
      </c>
      <c r="K44" s="123">
        <f t="shared" si="6"/>
        <v>5.9164209775014534E-2</v>
      </c>
      <c r="L44" s="31">
        <f>A44*Table!$AC$9/$AC$16</f>
        <v>2.9125777855014054</v>
      </c>
      <c r="M44" s="31">
        <f>A44*Table!$AD$9/$AC$16</f>
        <v>0.99859809788619625</v>
      </c>
      <c r="N44" s="31">
        <f>ABS(A44*Table!$AE$9/$AC$16)</f>
        <v>1.2611831763712205</v>
      </c>
      <c r="O44" s="31">
        <f>($L44*(Table!$AC$10/Table!$AC$9)/(Table!$AC$12-Table!$AC$14))</f>
        <v>6.2474855973861132</v>
      </c>
      <c r="P44" s="31">
        <f>$N44*(Table!$AE$10/Table!$AE$9)/(Table!$AC$12-Table!$AC$13)</f>
        <v>10.354541677924631</v>
      </c>
      <c r="Q44" s="31">
        <f>'Raw Data'!C44</f>
        <v>0</v>
      </c>
      <c r="R44" s="31">
        <f>'Raw Data'!C44/'Raw Data'!I$23*100</f>
        <v>0</v>
      </c>
      <c r="S44" s="36">
        <f t="shared" si="7"/>
        <v>0</v>
      </c>
      <c r="T44" s="36">
        <f t="shared" si="8"/>
        <v>1</v>
      </c>
      <c r="U44" s="3">
        <f t="shared" si="9"/>
        <v>0</v>
      </c>
      <c r="V44" s="3">
        <f t="shared" si="10"/>
        <v>0</v>
      </c>
      <c r="W44" s="3">
        <f t="shared" si="11"/>
        <v>0</v>
      </c>
      <c r="X44" s="148">
        <f t="shared" si="12"/>
        <v>0</v>
      </c>
      <c r="AS44" s="19"/>
      <c r="AT44" s="19"/>
    </row>
    <row r="45" spans="1:46" ht="12.4" customHeight="1" x14ac:dyDescent="0.2">
      <c r="A45" s="31">
        <f>'Raw Data'!A45</f>
        <v>16.856185913085938</v>
      </c>
      <c r="B45" s="110">
        <f>'Raw Data'!E45</f>
        <v>0</v>
      </c>
      <c r="C45" s="110">
        <f t="shared" si="1"/>
        <v>1</v>
      </c>
      <c r="D45" s="99">
        <f t="shared" si="2"/>
        <v>0</v>
      </c>
      <c r="E45" s="86">
        <f>(2*Table!$AC$16*0.147)/A45</f>
        <v>6.4801300666443451</v>
      </c>
      <c r="F45" s="86">
        <f t="shared" si="3"/>
        <v>12.96026013328869</v>
      </c>
      <c r="G45" s="31">
        <f>IF((('Raw Data'!C45)/('Raw Data'!C$136)*100)&lt;0,0,('Raw Data'!C45)/('Raw Data'!C$136)*100)</f>
        <v>0</v>
      </c>
      <c r="H45" s="31">
        <f t="shared" si="4"/>
        <v>0</v>
      </c>
      <c r="I45" s="8">
        <f t="shared" si="5"/>
        <v>3.7584114693516413E-2</v>
      </c>
      <c r="J45" s="86">
        <f>'Raw Data'!F45/I45</f>
        <v>0</v>
      </c>
      <c r="K45" s="123">
        <f t="shared" si="6"/>
        <v>6.4512397632140978E-2</v>
      </c>
      <c r="L45" s="31">
        <f>A45*Table!$AC$9/$AC$16</f>
        <v>3.1758621799789113</v>
      </c>
      <c r="M45" s="31">
        <f>A45*Table!$AD$9/$AC$16</f>
        <v>1.0888670331356267</v>
      </c>
      <c r="N45" s="31">
        <f>ABS(A45*Table!$AE$9/$AC$16)</f>
        <v>1.3751886633899821</v>
      </c>
      <c r="O45" s="31">
        <f>($L45*(Table!$AC$10/Table!$AC$9)/(Table!$AC$12-Table!$AC$14))</f>
        <v>6.8122311882859536</v>
      </c>
      <c r="P45" s="31">
        <f>$N45*(Table!$AE$10/Table!$AE$9)/(Table!$AC$12-Table!$AC$13)</f>
        <v>11.290547318472758</v>
      </c>
      <c r="Q45" s="31">
        <f>'Raw Data'!C45</f>
        <v>0</v>
      </c>
      <c r="R45" s="31">
        <f>'Raw Data'!C45/'Raw Data'!I$23*100</f>
        <v>0</v>
      </c>
      <c r="S45" s="36">
        <f t="shared" si="7"/>
        <v>0</v>
      </c>
      <c r="T45" s="36">
        <f t="shared" si="8"/>
        <v>1</v>
      </c>
      <c r="U45" s="3">
        <f t="shared" si="9"/>
        <v>0</v>
      </c>
      <c r="V45" s="3">
        <f t="shared" si="10"/>
        <v>0</v>
      </c>
      <c r="W45" s="3">
        <f t="shared" si="11"/>
        <v>0</v>
      </c>
      <c r="X45" s="148">
        <f t="shared" si="12"/>
        <v>0</v>
      </c>
      <c r="AS45" s="19"/>
      <c r="AT45" s="19"/>
    </row>
    <row r="46" spans="1:46" ht="12.4" customHeight="1" x14ac:dyDescent="0.2">
      <c r="A46" s="31">
        <f>'Raw Data'!A46</f>
        <v>18.486534118652344</v>
      </c>
      <c r="B46" s="110">
        <f>'Raw Data'!E46</f>
        <v>0</v>
      </c>
      <c r="C46" s="110">
        <f t="shared" si="1"/>
        <v>1</v>
      </c>
      <c r="D46" s="99">
        <f t="shared" si="2"/>
        <v>0</v>
      </c>
      <c r="E46" s="86">
        <f>(2*Table!$AC$16*0.147)/A46</f>
        <v>5.908640118437618</v>
      </c>
      <c r="F46" s="86">
        <f t="shared" si="3"/>
        <v>11.817280236875236</v>
      </c>
      <c r="G46" s="31">
        <f>IF((('Raw Data'!C46)/('Raw Data'!C$136)*100)&lt;0,0,('Raw Data'!C46)/('Raw Data'!C$136)*100)</f>
        <v>0</v>
      </c>
      <c r="H46" s="31">
        <f t="shared" si="4"/>
        <v>0</v>
      </c>
      <c r="I46" s="8">
        <f t="shared" si="5"/>
        <v>4.0096184031797155E-2</v>
      </c>
      <c r="J46" s="86">
        <f>'Raw Data'!F46/I46</f>
        <v>0</v>
      </c>
      <c r="K46" s="123">
        <f t="shared" si="6"/>
        <v>7.075210525394024E-2</v>
      </c>
      <c r="L46" s="31">
        <f>A46*Table!$AC$9/$AC$16</f>
        <v>3.4830349433165053</v>
      </c>
      <c r="M46" s="31">
        <f>A46*Table!$AD$9/$AC$16</f>
        <v>1.1941834091370875</v>
      </c>
      <c r="N46" s="31">
        <f>ABS(A46*Table!$AE$9/$AC$16)</f>
        <v>1.508198371590493</v>
      </c>
      <c r="O46" s="31">
        <f>($L46*(Table!$AC$10/Table!$AC$9)/(Table!$AC$12-Table!$AC$14))</f>
        <v>7.4711174245313297</v>
      </c>
      <c r="P46" s="31">
        <f>$N46*(Table!$AE$10/Table!$AE$9)/(Table!$AC$12-Table!$AC$13)</f>
        <v>12.382581047540992</v>
      </c>
      <c r="Q46" s="31">
        <f>'Raw Data'!C46</f>
        <v>0</v>
      </c>
      <c r="R46" s="31">
        <f>'Raw Data'!C46/'Raw Data'!I$23*100</f>
        <v>0</v>
      </c>
      <c r="S46" s="36">
        <f t="shared" si="7"/>
        <v>0</v>
      </c>
      <c r="T46" s="36">
        <f t="shared" si="8"/>
        <v>1</v>
      </c>
      <c r="U46" s="3">
        <f t="shared" si="9"/>
        <v>0</v>
      </c>
      <c r="V46" s="3">
        <f t="shared" si="10"/>
        <v>0</v>
      </c>
      <c r="W46" s="3">
        <f t="shared" si="11"/>
        <v>0</v>
      </c>
      <c r="X46" s="148">
        <f t="shared" si="12"/>
        <v>0</v>
      </c>
      <c r="AS46" s="19"/>
      <c r="AT46" s="19"/>
    </row>
    <row r="47" spans="1:46" ht="12.4" customHeight="1" x14ac:dyDescent="0.2">
      <c r="A47" s="31">
        <f>'Raw Data'!A47</f>
        <v>20.286380767822266</v>
      </c>
      <c r="B47" s="110">
        <f>'Raw Data'!E47</f>
        <v>0</v>
      </c>
      <c r="C47" s="110">
        <f t="shared" si="1"/>
        <v>1</v>
      </c>
      <c r="D47" s="99">
        <f t="shared" si="2"/>
        <v>0</v>
      </c>
      <c r="E47" s="86">
        <f>(2*Table!$AC$16*0.147)/A47</f>
        <v>5.3844142232405154</v>
      </c>
      <c r="F47" s="86">
        <f t="shared" si="3"/>
        <v>10.768828446481031</v>
      </c>
      <c r="G47" s="31">
        <f>IF((('Raw Data'!C47)/('Raw Data'!C$136)*100)&lt;0,0,('Raw Data'!C47)/('Raw Data'!C$136)*100)</f>
        <v>0</v>
      </c>
      <c r="H47" s="31">
        <f t="shared" si="4"/>
        <v>0</v>
      </c>
      <c r="I47" s="8">
        <f t="shared" si="5"/>
        <v>4.0349076119685523E-2</v>
      </c>
      <c r="J47" s="86">
        <f>'Raw Data'!F47/I47</f>
        <v>0</v>
      </c>
      <c r="K47" s="123">
        <f t="shared" si="6"/>
        <v>7.7640521370541379E-2</v>
      </c>
      <c r="L47" s="31">
        <f>A47*Table!$AC$9/$AC$16</f>
        <v>3.822142789678296</v>
      </c>
      <c r="M47" s="31">
        <f>A47*Table!$AD$9/$AC$16</f>
        <v>1.3104489564611301</v>
      </c>
      <c r="N47" s="31">
        <f>ABS(A47*Table!$AE$9/$AC$16)</f>
        <v>1.6550363763764637</v>
      </c>
      <c r="O47" s="31">
        <f>($L47*(Table!$AC$10/Table!$AC$9)/(Table!$AC$12-Table!$AC$14))</f>
        <v>8.1985044823644291</v>
      </c>
      <c r="P47" s="31">
        <f>$N47*(Table!$AE$10/Table!$AE$9)/(Table!$AC$12-Table!$AC$13)</f>
        <v>13.58814758929773</v>
      </c>
      <c r="Q47" s="31">
        <f>'Raw Data'!C47</f>
        <v>0</v>
      </c>
      <c r="R47" s="31">
        <f>'Raw Data'!C47/'Raw Data'!I$23*100</f>
        <v>0</v>
      </c>
      <c r="S47" s="36">
        <f t="shared" si="7"/>
        <v>0</v>
      </c>
      <c r="T47" s="36">
        <f t="shared" si="8"/>
        <v>1</v>
      </c>
      <c r="U47" s="3">
        <f t="shared" si="9"/>
        <v>0</v>
      </c>
      <c r="V47" s="3">
        <f t="shared" si="10"/>
        <v>0</v>
      </c>
      <c r="W47" s="3">
        <f t="shared" si="11"/>
        <v>0</v>
      </c>
      <c r="X47" s="148">
        <f t="shared" si="12"/>
        <v>0</v>
      </c>
      <c r="AS47" s="19"/>
      <c r="AT47" s="19"/>
    </row>
    <row r="48" spans="1:46" ht="12.4" customHeight="1" x14ac:dyDescent="0.2">
      <c r="A48" s="31">
        <f>'Raw Data'!A48</f>
        <v>22.182947158813477</v>
      </c>
      <c r="B48" s="110">
        <f>'Raw Data'!E48</f>
        <v>0</v>
      </c>
      <c r="C48" s="110">
        <f t="shared" si="1"/>
        <v>1</v>
      </c>
      <c r="D48" s="99">
        <f t="shared" si="2"/>
        <v>0</v>
      </c>
      <c r="E48" s="86">
        <f>(2*Table!$AC$16*0.147)/A48</f>
        <v>4.9240651551990426</v>
      </c>
      <c r="F48" s="86">
        <f t="shared" si="3"/>
        <v>9.8481303103980853</v>
      </c>
      <c r="G48" s="31">
        <f>IF((('Raw Data'!C48)/('Raw Data'!C$136)*100)&lt;0,0,('Raw Data'!C48)/('Raw Data'!C$136)*100)</f>
        <v>0</v>
      </c>
      <c r="H48" s="31">
        <f t="shared" si="4"/>
        <v>0</v>
      </c>
      <c r="I48" s="8">
        <f t="shared" si="5"/>
        <v>3.8814671916979182E-2</v>
      </c>
      <c r="J48" s="86">
        <f>'Raw Data'!F48/I48</f>
        <v>0</v>
      </c>
      <c r="K48" s="123">
        <f t="shared" si="6"/>
        <v>8.489910559488803E-2</v>
      </c>
      <c r="L48" s="31">
        <f>A48*Table!$AC$9/$AC$16</f>
        <v>4.1794735348436109</v>
      </c>
      <c r="M48" s="31">
        <f>A48*Table!$AD$9/$AC$16</f>
        <v>1.4329623548035237</v>
      </c>
      <c r="N48" s="31">
        <f>ABS(A48*Table!$AE$9/$AC$16)</f>
        <v>1.8097651278096569</v>
      </c>
      <c r="O48" s="31">
        <f>($L48*(Table!$AC$10/Table!$AC$9)/(Table!$AC$12-Table!$AC$14))</f>
        <v>8.9649796972192437</v>
      </c>
      <c r="P48" s="31">
        <f>$N48*(Table!$AE$10/Table!$AE$9)/(Table!$AC$12-Table!$AC$13)</f>
        <v>14.85849858628618</v>
      </c>
      <c r="Q48" s="31">
        <f>'Raw Data'!C48</f>
        <v>0</v>
      </c>
      <c r="R48" s="31">
        <f>'Raw Data'!C48/'Raw Data'!I$23*100</f>
        <v>0</v>
      </c>
      <c r="S48" s="36">
        <f t="shared" si="7"/>
        <v>0</v>
      </c>
      <c r="T48" s="36">
        <f t="shared" si="8"/>
        <v>1</v>
      </c>
      <c r="U48" s="3">
        <f t="shared" si="9"/>
        <v>0</v>
      </c>
      <c r="V48" s="3">
        <f t="shared" si="10"/>
        <v>0</v>
      </c>
      <c r="W48" s="3">
        <f t="shared" si="11"/>
        <v>0</v>
      </c>
      <c r="X48" s="148">
        <f t="shared" si="12"/>
        <v>0</v>
      </c>
      <c r="AS48" s="19"/>
      <c r="AT48" s="19"/>
    </row>
    <row r="49" spans="1:46" ht="12.4" customHeight="1" x14ac:dyDescent="0.2">
      <c r="A49" s="31">
        <f>'Raw Data'!A49</f>
        <v>24.289314270019531</v>
      </c>
      <c r="B49" s="110">
        <f>'Raw Data'!E49</f>
        <v>0</v>
      </c>
      <c r="C49" s="110">
        <f t="shared" si="1"/>
        <v>1</v>
      </c>
      <c r="D49" s="99">
        <f t="shared" si="2"/>
        <v>0</v>
      </c>
      <c r="E49" s="86">
        <f>(2*Table!$AC$16*0.147)/A49</f>
        <v>4.4970506754552035</v>
      </c>
      <c r="F49" s="86">
        <f t="shared" si="3"/>
        <v>8.9941013509104071</v>
      </c>
      <c r="G49" s="31">
        <f>IF((('Raw Data'!C49)/('Raw Data'!C$136)*100)&lt;0,0,('Raw Data'!C49)/('Raw Data'!C$136)*100)</f>
        <v>0</v>
      </c>
      <c r="H49" s="31">
        <f t="shared" si="4"/>
        <v>0</v>
      </c>
      <c r="I49" s="8">
        <f t="shared" si="5"/>
        <v>3.9396009393795617E-2</v>
      </c>
      <c r="J49" s="86">
        <f>'Raw Data'!F49/I49</f>
        <v>0</v>
      </c>
      <c r="K49" s="123">
        <f t="shared" si="6"/>
        <v>9.2960644150410013E-2</v>
      </c>
      <c r="L49" s="31">
        <f>A49*Table!$AC$9/$AC$16</f>
        <v>4.5763326867373664</v>
      </c>
      <c r="M49" s="31">
        <f>A49*Table!$AD$9/$AC$16</f>
        <v>1.5690283497385256</v>
      </c>
      <c r="N49" s="31">
        <f>ABS(A49*Table!$AE$9/$AC$16)</f>
        <v>1.9816101814418263</v>
      </c>
      <c r="O49" s="31">
        <f>($L49*(Table!$AC$10/Table!$AC$9)/(Table!$AC$12-Table!$AC$14))</f>
        <v>9.8162434292950813</v>
      </c>
      <c r="P49" s="31">
        <f>$N49*(Table!$AE$10/Table!$AE$9)/(Table!$AC$12-Table!$AC$13)</f>
        <v>16.269377515942743</v>
      </c>
      <c r="Q49" s="31">
        <f>'Raw Data'!C49</f>
        <v>0</v>
      </c>
      <c r="R49" s="31">
        <f>'Raw Data'!C49/'Raw Data'!I$23*100</f>
        <v>0</v>
      </c>
      <c r="S49" s="36">
        <f t="shared" si="7"/>
        <v>0</v>
      </c>
      <c r="T49" s="36">
        <f t="shared" si="8"/>
        <v>1</v>
      </c>
      <c r="U49" s="3">
        <f t="shared" si="9"/>
        <v>0</v>
      </c>
      <c r="V49" s="3">
        <f t="shared" si="10"/>
        <v>0</v>
      </c>
      <c r="W49" s="3">
        <f t="shared" si="11"/>
        <v>0</v>
      </c>
      <c r="X49" s="148">
        <f t="shared" si="12"/>
        <v>0</v>
      </c>
      <c r="AS49" s="19"/>
      <c r="AT49" s="19"/>
    </row>
    <row r="50" spans="1:46" ht="12.4" customHeight="1" x14ac:dyDescent="0.2">
      <c r="A50" s="31">
        <f>'Raw Data'!A50</f>
        <v>26.567571640014648</v>
      </c>
      <c r="B50" s="110">
        <f>'Raw Data'!E50</f>
        <v>0</v>
      </c>
      <c r="C50" s="110">
        <f t="shared" si="1"/>
        <v>1</v>
      </c>
      <c r="D50" s="99">
        <f t="shared" si="2"/>
        <v>0</v>
      </c>
      <c r="E50" s="86">
        <f>(2*Table!$AC$16*0.147)/A50</f>
        <v>4.1114136671722861</v>
      </c>
      <c r="F50" s="86">
        <f t="shared" si="3"/>
        <v>8.2228273343445721</v>
      </c>
      <c r="G50" s="31">
        <f>IF((('Raw Data'!C50)/('Raw Data'!C$136)*100)&lt;0,0,('Raw Data'!C50)/('Raw Data'!C$136)*100)</f>
        <v>0</v>
      </c>
      <c r="H50" s="31">
        <f t="shared" si="4"/>
        <v>0</v>
      </c>
      <c r="I50" s="8">
        <f t="shared" si="5"/>
        <v>3.8936606253982875E-2</v>
      </c>
      <c r="J50" s="86">
        <f>'Raw Data'!F50/I50</f>
        <v>0</v>
      </c>
      <c r="K50" s="123">
        <f t="shared" si="6"/>
        <v>0.1016800452129825</v>
      </c>
      <c r="L50" s="31">
        <f>A50*Table!$AC$9/$AC$16</f>
        <v>5.0055775618789387</v>
      </c>
      <c r="M50" s="31">
        <f>A50*Table!$AD$9/$AC$16</f>
        <v>1.7161980212156362</v>
      </c>
      <c r="N50" s="31">
        <f>ABS(A50*Table!$AE$9/$AC$16)</f>
        <v>2.1674786646002673</v>
      </c>
      <c r="O50" s="31">
        <f>($L50*(Table!$AC$10/Table!$AC$9)/(Table!$AC$12-Table!$AC$14))</f>
        <v>10.736974607204933</v>
      </c>
      <c r="P50" s="31">
        <f>$N50*(Table!$AE$10/Table!$AE$9)/(Table!$AC$12-Table!$AC$13)</f>
        <v>17.795391334977559</v>
      </c>
      <c r="Q50" s="31">
        <f>'Raw Data'!C50</f>
        <v>0</v>
      </c>
      <c r="R50" s="31">
        <f>'Raw Data'!C50/'Raw Data'!I$23*100</f>
        <v>0</v>
      </c>
      <c r="S50" s="36">
        <f t="shared" si="7"/>
        <v>0</v>
      </c>
      <c r="T50" s="36">
        <f t="shared" si="8"/>
        <v>1</v>
      </c>
      <c r="U50" s="3">
        <f t="shared" si="9"/>
        <v>0</v>
      </c>
      <c r="V50" s="3">
        <f t="shared" si="10"/>
        <v>0</v>
      </c>
      <c r="W50" s="3">
        <f t="shared" si="11"/>
        <v>0</v>
      </c>
      <c r="X50" s="148">
        <f t="shared" si="12"/>
        <v>0</v>
      </c>
      <c r="AS50" s="19"/>
      <c r="AT50" s="19"/>
    </row>
    <row r="51" spans="1:46" ht="12.4" customHeight="1" x14ac:dyDescent="0.2">
      <c r="A51" s="31">
        <f>'Raw Data'!A51</f>
        <v>28.964254379272461</v>
      </c>
      <c r="B51" s="110">
        <f>'Raw Data'!E51</f>
        <v>0</v>
      </c>
      <c r="C51" s="110">
        <f t="shared" si="1"/>
        <v>1</v>
      </c>
      <c r="D51" s="99">
        <f t="shared" si="2"/>
        <v>0</v>
      </c>
      <c r="E51" s="86">
        <f>(2*Table!$AC$16*0.147)/A51</f>
        <v>3.7712097026223792</v>
      </c>
      <c r="F51" s="86">
        <f t="shared" si="3"/>
        <v>7.5424194052447584</v>
      </c>
      <c r="G51" s="31">
        <f>IF((('Raw Data'!C51)/('Raw Data'!C$136)*100)&lt;0,0,('Raw Data'!C51)/('Raw Data'!C$136)*100)</f>
        <v>0</v>
      </c>
      <c r="H51" s="31">
        <f t="shared" si="4"/>
        <v>0</v>
      </c>
      <c r="I51" s="8">
        <f t="shared" si="5"/>
        <v>3.7510492690608133E-2</v>
      </c>
      <c r="J51" s="86">
        <f>'Raw Data'!F51/I51</f>
        <v>0</v>
      </c>
      <c r="K51" s="123">
        <f t="shared" si="6"/>
        <v>0.11085268667946373</v>
      </c>
      <c r="L51" s="31">
        <f>A51*Table!$AC$9/$AC$16</f>
        <v>5.4571348778852897</v>
      </c>
      <c r="M51" s="31">
        <f>A51*Table!$AD$9/$AC$16</f>
        <v>1.8710176724178136</v>
      </c>
      <c r="N51" s="31">
        <f>ABS(A51*Table!$AE$9/$AC$16)</f>
        <v>2.3630087180633761</v>
      </c>
      <c r="O51" s="31">
        <f>($L51*(Table!$AC$10/Table!$AC$9)/(Table!$AC$12-Table!$AC$14))</f>
        <v>11.705566018629968</v>
      </c>
      <c r="P51" s="31">
        <f>$N51*(Table!$AE$10/Table!$AE$9)/(Table!$AC$12-Table!$AC$13)</f>
        <v>19.400728391324922</v>
      </c>
      <c r="Q51" s="31">
        <f>'Raw Data'!C51</f>
        <v>0</v>
      </c>
      <c r="R51" s="31">
        <f>'Raw Data'!C51/'Raw Data'!I$23*100</f>
        <v>0</v>
      </c>
      <c r="S51" s="36">
        <f t="shared" si="7"/>
        <v>0</v>
      </c>
      <c r="T51" s="36">
        <f t="shared" si="8"/>
        <v>1</v>
      </c>
      <c r="U51" s="3">
        <f t="shared" si="9"/>
        <v>0</v>
      </c>
      <c r="V51" s="3">
        <f t="shared" si="10"/>
        <v>0</v>
      </c>
      <c r="W51" s="3">
        <f t="shared" si="11"/>
        <v>0</v>
      </c>
      <c r="X51" s="148">
        <f t="shared" si="12"/>
        <v>0</v>
      </c>
      <c r="AS51" s="19"/>
      <c r="AT51" s="19"/>
    </row>
    <row r="52" spans="1:46" ht="12.4" customHeight="1" x14ac:dyDescent="0.2">
      <c r="A52" s="31">
        <f>'Raw Data'!A52</f>
        <v>31.412557601928711</v>
      </c>
      <c r="B52" s="110">
        <f>'Raw Data'!E52</f>
        <v>5.5433974854305476E-3</v>
      </c>
      <c r="C52" s="110">
        <f t="shared" si="1"/>
        <v>0.99445660251456947</v>
      </c>
      <c r="D52" s="99">
        <f t="shared" si="2"/>
        <v>5.5433974854305476E-3</v>
      </c>
      <c r="E52" s="86">
        <f>(2*Table!$AC$16*0.147)/A52</f>
        <v>3.4772805999607104</v>
      </c>
      <c r="F52" s="86">
        <f t="shared" si="3"/>
        <v>6.9545611999214207</v>
      </c>
      <c r="G52" s="31">
        <f>IF((('Raw Data'!C52)/('Raw Data'!C$136)*100)&lt;0,0,('Raw Data'!C52)/('Raw Data'!C$136)*100)</f>
        <v>0.55433974854305479</v>
      </c>
      <c r="H52" s="31">
        <f t="shared" si="4"/>
        <v>0.55433974854305479</v>
      </c>
      <c r="I52" s="8">
        <f t="shared" si="5"/>
        <v>3.5240944949947672E-2</v>
      </c>
      <c r="J52" s="86">
        <f>'Raw Data'!F52/I52</f>
        <v>0.15729991046788824</v>
      </c>
      <c r="K52" s="123">
        <f t="shared" si="6"/>
        <v>0.12022289129386789</v>
      </c>
      <c r="L52" s="31">
        <f>A52*Table!$AC$9/$AC$16</f>
        <v>5.9184179730081405</v>
      </c>
      <c r="M52" s="31">
        <f>A52*Table!$AD$9/$AC$16</f>
        <v>2.0291718764599338</v>
      </c>
      <c r="N52" s="31">
        <f>ABS(A52*Table!$AE$9/$AC$16)</f>
        <v>2.5627501574197269</v>
      </c>
      <c r="O52" s="31">
        <f>($L52*(Table!$AC$10/Table!$AC$9)/(Table!$AC$12-Table!$AC$14))</f>
        <v>12.695019247121712</v>
      </c>
      <c r="P52" s="31">
        <f>$N52*(Table!$AE$10/Table!$AE$9)/(Table!$AC$12-Table!$AC$13)</f>
        <v>21.040641686533057</v>
      </c>
      <c r="Q52" s="31">
        <f>'Raw Data'!C52</f>
        <v>6.7322124242782597E-3</v>
      </c>
      <c r="R52" s="31">
        <f>'Raw Data'!C52/'Raw Data'!I$23*100</f>
        <v>0.11456917426171691</v>
      </c>
      <c r="S52" s="36">
        <f t="shared" si="7"/>
        <v>0.10613713690825162</v>
      </c>
      <c r="T52" s="36">
        <f t="shared" si="8"/>
        <v>0.96784967267502686</v>
      </c>
      <c r="U52" s="3">
        <f t="shared" si="9"/>
        <v>3.6472411993184036E-3</v>
      </c>
      <c r="V52" s="3">
        <f t="shared" si="10"/>
        <v>3.0078407571554562E-2</v>
      </c>
      <c r="W52" s="3">
        <f t="shared" si="11"/>
        <v>0.16041938844321699</v>
      </c>
      <c r="X52" s="148">
        <f t="shared" si="12"/>
        <v>0.16041938844321699</v>
      </c>
      <c r="AS52" s="19"/>
      <c r="AT52" s="19"/>
    </row>
    <row r="53" spans="1:46" ht="12.4" customHeight="1" x14ac:dyDescent="0.2">
      <c r="A53" s="31">
        <f>'Raw Data'!A53</f>
        <v>33.583087921142578</v>
      </c>
      <c r="B53" s="110">
        <f>'Raw Data'!E53</f>
        <v>1.4638207319901592E-2</v>
      </c>
      <c r="C53" s="110">
        <f t="shared" si="1"/>
        <v>0.98536179268009838</v>
      </c>
      <c r="D53" s="99">
        <f t="shared" si="2"/>
        <v>9.0948098344710432E-3</v>
      </c>
      <c r="E53" s="86">
        <f>(2*Table!$AC$16*0.147)/A53</f>
        <v>3.2525382240257903</v>
      </c>
      <c r="F53" s="86">
        <f t="shared" si="3"/>
        <v>6.5050764480515806</v>
      </c>
      <c r="G53" s="31">
        <f>IF((('Raw Data'!C53)/('Raw Data'!C$136)*100)&lt;0,0,('Raw Data'!C53)/('Raw Data'!C$136)*100)</f>
        <v>1.4638207319901593</v>
      </c>
      <c r="H53" s="31">
        <f t="shared" si="4"/>
        <v>0.90948098344710449</v>
      </c>
      <c r="I53" s="8">
        <f t="shared" si="5"/>
        <v>2.9017328472192072E-2</v>
      </c>
      <c r="J53" s="86">
        <f>'Raw Data'!F53/I53</f>
        <v>0.31342684917347902</v>
      </c>
      <c r="K53" s="123">
        <f t="shared" si="6"/>
        <v>0.12852999681274074</v>
      </c>
      <c r="L53" s="31">
        <f>A53*Table!$AC$9/$AC$16</f>
        <v>6.327366069975759</v>
      </c>
      <c r="M53" s="31">
        <f>A53*Table!$AD$9/$AC$16</f>
        <v>2.1693826525631175</v>
      </c>
      <c r="N53" s="31">
        <f>ABS(A53*Table!$AE$9/$AC$16)</f>
        <v>2.7398298778213568</v>
      </c>
      <c r="O53" s="31">
        <f>($L53*(Table!$AC$10/Table!$AC$9)/(Table!$AC$12-Table!$AC$14))</f>
        <v>13.572213792311796</v>
      </c>
      <c r="P53" s="31">
        <f>$N53*(Table!$AE$10/Table!$AE$9)/(Table!$AC$12-Table!$AC$13)</f>
        <v>22.494498175873204</v>
      </c>
      <c r="Q53" s="31">
        <f>'Raw Data'!C53</f>
        <v>1.7777458940516227E-2</v>
      </c>
      <c r="R53" s="31">
        <f>'Raw Data'!C53/'Raw Data'!I$23*100</f>
        <v>0.30253780821612658</v>
      </c>
      <c r="S53" s="36">
        <f t="shared" si="7"/>
        <v>0.17413455901237671</v>
      </c>
      <c r="T53" s="36">
        <f t="shared" si="8"/>
        <v>0.9217000298491852</v>
      </c>
      <c r="U53" s="3">
        <f t="shared" si="9"/>
        <v>9.008635802833986E-3</v>
      </c>
      <c r="V53" s="3">
        <f t="shared" si="10"/>
        <v>0.13877182989526798</v>
      </c>
      <c r="W53" s="3">
        <f t="shared" si="11"/>
        <v>0.23027129410417529</v>
      </c>
      <c r="X53" s="148">
        <f t="shared" si="12"/>
        <v>0.39069068254739225</v>
      </c>
      <c r="Z53" s="110"/>
      <c r="AS53" s="19"/>
      <c r="AT53" s="19"/>
    </row>
    <row r="54" spans="1:46" ht="12.4" customHeight="1" x14ac:dyDescent="0.2">
      <c r="A54" s="31">
        <f>'Raw Data'!A54</f>
        <v>36.816993713378906</v>
      </c>
      <c r="B54" s="110">
        <f>'Raw Data'!E54</f>
        <v>4.1111748869693203E-2</v>
      </c>
      <c r="C54" s="110">
        <f t="shared" si="1"/>
        <v>0.95888825113030685</v>
      </c>
      <c r="D54" s="99">
        <f t="shared" si="2"/>
        <v>2.6473541549791611E-2</v>
      </c>
      <c r="E54" s="86">
        <f>(2*Table!$AC$16*0.147)/A54</f>
        <v>2.966844006729477</v>
      </c>
      <c r="F54" s="86">
        <f t="shared" si="3"/>
        <v>5.933688013458954</v>
      </c>
      <c r="G54" s="31">
        <f>IF((('Raw Data'!C54)/('Raw Data'!C$136)*100)&lt;0,0,('Raw Data'!C54)/('Raw Data'!C$136)*100)</f>
        <v>4.1111748869693203</v>
      </c>
      <c r="H54" s="31">
        <f t="shared" si="4"/>
        <v>2.647354154979161</v>
      </c>
      <c r="I54" s="8">
        <f t="shared" si="5"/>
        <v>3.9927696909491217E-2</v>
      </c>
      <c r="J54" s="86">
        <f>'Raw Data'!F54/I54</f>
        <v>0.66303702940348119</v>
      </c>
      <c r="K54" s="123">
        <f t="shared" si="6"/>
        <v>0.14090687835933488</v>
      </c>
      <c r="L54" s="31">
        <f>A54*Table!$AC$9/$AC$16</f>
        <v>6.936663994911723</v>
      </c>
      <c r="M54" s="31">
        <f>A54*Table!$AD$9/$AC$16</f>
        <v>2.3782847982554478</v>
      </c>
      <c r="N54" s="31">
        <f>ABS(A54*Table!$AE$9/$AC$16)</f>
        <v>3.0036636185552017</v>
      </c>
      <c r="O54" s="31">
        <f>($L54*(Table!$AC$10/Table!$AC$9)/(Table!$AC$12-Table!$AC$14))</f>
        <v>14.879159148244796</v>
      </c>
      <c r="P54" s="31">
        <f>$N54*(Table!$AE$10/Table!$AE$9)/(Table!$AC$12-Table!$AC$13)</f>
        <v>24.660620841996725</v>
      </c>
      <c r="Q54" s="31">
        <f>'Raw Data'!C54</f>
        <v>4.9928410735796208E-2</v>
      </c>
      <c r="R54" s="31">
        <f>'Raw Data'!C54/'Raw Data'!I$23*100</f>
        <v>0.84968453603322891</v>
      </c>
      <c r="S54" s="36">
        <f t="shared" si="7"/>
        <v>0.50687794106438411</v>
      </c>
      <c r="T54" s="36">
        <f t="shared" si="8"/>
        <v>0.80992845467560359</v>
      </c>
      <c r="U54" s="3">
        <f t="shared" si="9"/>
        <v>2.3078596331032389E-2</v>
      </c>
      <c r="V54" s="3">
        <f t="shared" si="10"/>
        <v>0.68102017164037032</v>
      </c>
      <c r="W54" s="3">
        <f t="shared" si="11"/>
        <v>0.55770280512053794</v>
      </c>
      <c r="X54" s="148">
        <f t="shared" si="12"/>
        <v>0.94839348766793019</v>
      </c>
      <c r="Z54" s="110"/>
      <c r="AS54" s="19"/>
      <c r="AT54" s="19"/>
    </row>
    <row r="55" spans="1:46" ht="12.4" customHeight="1" x14ac:dyDescent="0.2">
      <c r="A55" s="31">
        <f>'Raw Data'!A55</f>
        <v>40.039257049560547</v>
      </c>
      <c r="B55" s="110">
        <f>'Raw Data'!E55</f>
        <v>8.5444321452498098E-2</v>
      </c>
      <c r="C55" s="110">
        <f t="shared" si="1"/>
        <v>0.91455567854750186</v>
      </c>
      <c r="D55" s="99">
        <f t="shared" si="2"/>
        <v>4.4332572582804895E-2</v>
      </c>
      <c r="E55" s="86">
        <f>(2*Table!$AC$16*0.147)/A55</f>
        <v>2.7280795197855428</v>
      </c>
      <c r="F55" s="86">
        <f t="shared" si="3"/>
        <v>5.4561590395710855</v>
      </c>
      <c r="G55" s="31">
        <f>IF((('Raw Data'!C55)/('Raw Data'!C$136)*100)&lt;0,0,('Raw Data'!C55)/('Raw Data'!C$136)*100)</f>
        <v>8.5444321452498091</v>
      </c>
      <c r="H55" s="31">
        <f t="shared" si="4"/>
        <v>4.4332572582804888</v>
      </c>
      <c r="I55" s="8">
        <f t="shared" si="5"/>
        <v>3.6437686950219095E-2</v>
      </c>
      <c r="J55" s="86">
        <f>'Raw Data'!F55/I55</f>
        <v>1.2166681338300023</v>
      </c>
      <c r="K55" s="123">
        <f t="shared" si="6"/>
        <v>0.15323920161983234</v>
      </c>
      <c r="L55" s="31">
        <f>A55*Table!$AC$9/$AC$16</f>
        <v>7.5437683728580653</v>
      </c>
      <c r="M55" s="31">
        <f>A55*Table!$AD$9/$AC$16</f>
        <v>2.5864348706941942</v>
      </c>
      <c r="N55" s="31">
        <f>ABS(A55*Table!$AE$9/$AC$16)</f>
        <v>3.266547525580342</v>
      </c>
      <c r="O55" s="31">
        <f>($L55*(Table!$AC$10/Table!$AC$9)/(Table!$AC$12-Table!$AC$14))</f>
        <v>16.181399341179894</v>
      </c>
      <c r="P55" s="31">
        <f>$N55*(Table!$AE$10/Table!$AE$9)/(Table!$AC$12-Table!$AC$13)</f>
        <v>26.818945201809044</v>
      </c>
      <c r="Q55" s="31">
        <f>'Raw Data'!C55</f>
        <v>0.10376837020588572</v>
      </c>
      <c r="R55" s="31">
        <f>'Raw Data'!C55/'Raw Data'!I$23*100</f>
        <v>1.7659360310881784</v>
      </c>
      <c r="S55" s="36">
        <f t="shared" si="7"/>
        <v>0.8488174153275081</v>
      </c>
      <c r="T55" s="36">
        <f t="shared" si="8"/>
        <v>0.6516700121053921</v>
      </c>
      <c r="U55" s="3">
        <f t="shared" si="9"/>
        <v>4.4105114860205942E-2</v>
      </c>
      <c r="V55" s="3">
        <f t="shared" si="10"/>
        <v>2.0361216542891505</v>
      </c>
      <c r="W55" s="3">
        <f t="shared" si="11"/>
        <v>0.78965673712967321</v>
      </c>
      <c r="X55" s="148">
        <f t="shared" si="12"/>
        <v>1.7380502247976035</v>
      </c>
      <c r="Z55" s="110"/>
      <c r="AS55" s="19"/>
      <c r="AT55" s="19"/>
    </row>
    <row r="56" spans="1:46" ht="12.4" customHeight="1" x14ac:dyDescent="0.2">
      <c r="A56" s="31">
        <f>'Raw Data'!A56</f>
        <v>44.206306457519531</v>
      </c>
      <c r="B56" s="110">
        <f>'Raw Data'!E56</f>
        <v>0.13231860679594476</v>
      </c>
      <c r="C56" s="110">
        <f t="shared" si="1"/>
        <v>0.86768139320405524</v>
      </c>
      <c r="D56" s="99">
        <f t="shared" si="2"/>
        <v>4.6874285343446662E-2</v>
      </c>
      <c r="E56" s="86">
        <f>(2*Table!$AC$16*0.147)/A56</f>
        <v>2.4709206875109757</v>
      </c>
      <c r="F56" s="86">
        <f t="shared" si="3"/>
        <v>4.9418413750219514</v>
      </c>
      <c r="G56" s="31">
        <f>IF((('Raw Data'!C56)/('Raw Data'!C$136)*100)&lt;0,0,('Raw Data'!C56)/('Raw Data'!C$136)*100)</f>
        <v>13.231860679594476</v>
      </c>
      <c r="H56" s="31">
        <f t="shared" si="4"/>
        <v>4.6874285343446669</v>
      </c>
      <c r="I56" s="8">
        <f t="shared" si="5"/>
        <v>4.2998219771489543E-2</v>
      </c>
      <c r="J56" s="86">
        <f>'Raw Data'!F56/I56</f>
        <v>1.0901447918671086</v>
      </c>
      <c r="K56" s="123">
        <f t="shared" si="6"/>
        <v>0.16918743271701844</v>
      </c>
      <c r="L56" s="31">
        <f>A56*Table!$AC$9/$AC$16</f>
        <v>8.3288792327570746</v>
      </c>
      <c r="M56" s="31">
        <f>A56*Table!$AD$9/$AC$16</f>
        <v>2.8556157369452824</v>
      </c>
      <c r="N56" s="31">
        <f>ABS(A56*Table!$AE$9/$AC$16)</f>
        <v>3.6065105003101356</v>
      </c>
      <c r="O56" s="31">
        <f>($L56*(Table!$AC$10/Table!$AC$9)/(Table!$AC$12-Table!$AC$14))</f>
        <v>17.865463819727747</v>
      </c>
      <c r="P56" s="31">
        <f>$N56*(Table!$AE$10/Table!$AE$9)/(Table!$AC$12-Table!$AC$13)</f>
        <v>29.610102629804061</v>
      </c>
      <c r="Q56" s="31">
        <f>'Raw Data'!C56</f>
        <v>0.16069512802863029</v>
      </c>
      <c r="R56" s="31">
        <f>'Raw Data'!C56/'Raw Data'!I$23*100</f>
        <v>2.7347188362219286</v>
      </c>
      <c r="S56" s="36">
        <f t="shared" si="7"/>
        <v>0.89748253738788886</v>
      </c>
      <c r="T56" s="36">
        <f t="shared" si="8"/>
        <v>0.51439794497959812</v>
      </c>
      <c r="U56" s="3">
        <f t="shared" si="9"/>
        <v>6.1862640319201571E-2</v>
      </c>
      <c r="V56" s="3">
        <f t="shared" si="10"/>
        <v>3.6080986887218556</v>
      </c>
      <c r="W56" s="3">
        <f t="shared" si="11"/>
        <v>0.68494173748429976</v>
      </c>
      <c r="X56" s="148">
        <f t="shared" si="12"/>
        <v>2.4229919622819032</v>
      </c>
      <c r="Z56" s="110"/>
      <c r="AS56" s="19"/>
      <c r="AT56" s="19"/>
    </row>
    <row r="57" spans="1:46" ht="12.4" customHeight="1" x14ac:dyDescent="0.2">
      <c r="A57" s="31">
        <f>'Raw Data'!A57</f>
        <v>48.555126190185547</v>
      </c>
      <c r="B57" s="110">
        <f>'Raw Data'!E57</f>
        <v>0.18454723898735614</v>
      </c>
      <c r="C57" s="110">
        <f t="shared" si="1"/>
        <v>0.81545276101264386</v>
      </c>
      <c r="D57" s="99">
        <f t="shared" si="2"/>
        <v>5.2228632191411384E-2</v>
      </c>
      <c r="E57" s="86">
        <f>(2*Table!$AC$16*0.147)/A57</f>
        <v>2.2496137012699964</v>
      </c>
      <c r="F57" s="86">
        <f t="shared" si="3"/>
        <v>4.4992274025399928</v>
      </c>
      <c r="G57" s="31">
        <f>IF((('Raw Data'!C57)/('Raw Data'!C$136)*100)&lt;0,0,('Raw Data'!C57)/('Raw Data'!C$136)*100)</f>
        <v>18.454723898735615</v>
      </c>
      <c r="H57" s="31">
        <f t="shared" si="4"/>
        <v>5.2228632191411393</v>
      </c>
      <c r="I57" s="8">
        <f t="shared" si="5"/>
        <v>4.0750857069522251E-2</v>
      </c>
      <c r="J57" s="86">
        <f>'Raw Data'!F57/I57</f>
        <v>1.2816572692522192</v>
      </c>
      <c r="K57" s="123">
        <f t="shared" si="6"/>
        <v>0.18583133954569492</v>
      </c>
      <c r="L57" s="31">
        <f>A57*Table!$AC$9/$AC$16</f>
        <v>9.1482373122024327</v>
      </c>
      <c r="M57" s="31">
        <f>A57*Table!$AD$9/$AC$16</f>
        <v>3.136538507040834</v>
      </c>
      <c r="N57" s="31">
        <f>ABS(A57*Table!$AE$9/$AC$16)</f>
        <v>3.96130295610799</v>
      </c>
      <c r="O57" s="31">
        <f>($L57*(Table!$AC$10/Table!$AC$9)/(Table!$AC$12-Table!$AC$14))</f>
        <v>19.622988657662876</v>
      </c>
      <c r="P57" s="31">
        <f>$N57*(Table!$AE$10/Table!$AE$9)/(Table!$AC$12-Table!$AC$13)</f>
        <v>32.523012775927661</v>
      </c>
      <c r="Q57" s="31">
        <f>'Raw Data'!C57</f>
        <v>0.22412450459168759</v>
      </c>
      <c r="R57" s="31">
        <f>'Raw Data'!C57/'Raw Data'!I$23*100</f>
        <v>3.8141635772342495</v>
      </c>
      <c r="S57" s="36">
        <f t="shared" si="7"/>
        <v>1</v>
      </c>
      <c r="T57" s="36">
        <f t="shared" si="8"/>
        <v>0.38761686343331303</v>
      </c>
      <c r="U57" s="3">
        <f t="shared" si="9"/>
        <v>7.8553262580238273E-2</v>
      </c>
      <c r="V57" s="3">
        <f t="shared" si="10"/>
        <v>5.4037544267384181</v>
      </c>
      <c r="W57" s="3">
        <f t="shared" si="11"/>
        <v>0.63259522561771153</v>
      </c>
      <c r="X57" s="148">
        <f t="shared" si="12"/>
        <v>3.0555871878996146</v>
      </c>
      <c r="Z57" s="110"/>
      <c r="AS57" s="19"/>
      <c r="AT57" s="19"/>
    </row>
    <row r="58" spans="1:46" ht="12.4" customHeight="1" x14ac:dyDescent="0.2">
      <c r="A58" s="31">
        <f>'Raw Data'!A58</f>
        <v>52.642124176025391</v>
      </c>
      <c r="B58" s="110">
        <f>'Raw Data'!E58</f>
        <v>0.23184040530264402</v>
      </c>
      <c r="C58" s="110">
        <f t="shared" si="1"/>
        <v>0.76815959469735595</v>
      </c>
      <c r="D58" s="99">
        <f t="shared" si="2"/>
        <v>4.7293166315287877E-2</v>
      </c>
      <c r="E58" s="86">
        <f>(2*Table!$AC$16*0.147)/A58</f>
        <v>2.0749595282114659</v>
      </c>
      <c r="F58" s="86">
        <f t="shared" si="3"/>
        <v>4.1499190564229318</v>
      </c>
      <c r="G58" s="31">
        <f>IF((('Raw Data'!C58)/('Raw Data'!C$136)*100)&lt;0,0,('Raw Data'!C58)/('Raw Data'!C$136)*100)</f>
        <v>23.184040530264401</v>
      </c>
      <c r="H58" s="31">
        <f t="shared" si="4"/>
        <v>4.7293166315287856</v>
      </c>
      <c r="I58" s="8">
        <f t="shared" si="5"/>
        <v>3.5098318138863771E-2</v>
      </c>
      <c r="J58" s="86">
        <f>'Raw Data'!F58/I58</f>
        <v>1.3474482204012208</v>
      </c>
      <c r="K58" s="123">
        <f t="shared" si="6"/>
        <v>0.2014731959267147</v>
      </c>
      <c r="L58" s="31">
        <f>A58*Table!$AC$9/$AC$16</f>
        <v>9.9182657397366949</v>
      </c>
      <c r="M58" s="31">
        <f>A58*Table!$AD$9/$AC$16</f>
        <v>3.4005482536240095</v>
      </c>
      <c r="N58" s="31">
        <f>ABS(A58*Table!$AE$9/$AC$16)</f>
        <v>4.2947350460484177</v>
      </c>
      <c r="O58" s="31">
        <f>($L58*(Table!$AC$10/Table!$AC$9)/(Table!$AC$12-Table!$AC$14))</f>
        <v>21.2747012864365</v>
      </c>
      <c r="P58" s="31">
        <f>$N58*(Table!$AE$10/Table!$AE$9)/(Table!$AC$12-Table!$AC$13)</f>
        <v>35.260550460167622</v>
      </c>
      <c r="Q58" s="31">
        <f>'Raw Data'!C58</f>
        <v>0.28155997493059842</v>
      </c>
      <c r="R58" s="31">
        <f>'Raw Data'!C58/'Raw Data'!I$23*100</f>
        <v>4.7916036809261353</v>
      </c>
      <c r="S58" s="36">
        <f t="shared" si="7"/>
        <v>0.90550267795573036</v>
      </c>
      <c r="T58" s="36">
        <f t="shared" si="8"/>
        <v>0.28994992927097507</v>
      </c>
      <c r="U58" s="3">
        <f t="shared" si="9"/>
        <v>9.1022232782702897E-2</v>
      </c>
      <c r="V58" s="3">
        <f t="shared" si="10"/>
        <v>6.932522569035994</v>
      </c>
      <c r="W58" s="3">
        <f t="shared" si="11"/>
        <v>0.48732536036347396</v>
      </c>
      <c r="X58" s="148">
        <f t="shared" si="12"/>
        <v>3.5429125482630885</v>
      </c>
      <c r="Z58" s="110"/>
      <c r="AS58" s="19"/>
      <c r="AT58" s="19"/>
    </row>
    <row r="59" spans="1:46" ht="12.4" customHeight="1" x14ac:dyDescent="0.2">
      <c r="A59" s="31">
        <f>'Raw Data'!A59</f>
        <v>57.886642456054688</v>
      </c>
      <c r="B59" s="110">
        <f>'Raw Data'!E59</f>
        <v>0.27631731046758284</v>
      </c>
      <c r="C59" s="110">
        <f t="shared" si="1"/>
        <v>0.7236826895324171</v>
      </c>
      <c r="D59" s="99">
        <f t="shared" si="2"/>
        <v>4.4476905164938824E-2</v>
      </c>
      <c r="E59" s="86">
        <f>(2*Table!$AC$16*0.147)/A59</f>
        <v>1.8869686081250692</v>
      </c>
      <c r="F59" s="86">
        <f t="shared" si="3"/>
        <v>3.7739372162501383</v>
      </c>
      <c r="G59" s="31">
        <f>IF((('Raw Data'!C59)/('Raw Data'!C$136)*100)&lt;0,0,('Raw Data'!C59)/('Raw Data'!C$136)*100)</f>
        <v>27.631731046758283</v>
      </c>
      <c r="H59" s="31">
        <f t="shared" si="4"/>
        <v>4.447690516493882</v>
      </c>
      <c r="I59" s="8">
        <f t="shared" si="5"/>
        <v>4.1244955038029996E-2</v>
      </c>
      <c r="J59" s="86">
        <f>'Raw Data'!F59/I59</f>
        <v>1.0783598896866005</v>
      </c>
      <c r="K59" s="123">
        <f t="shared" si="6"/>
        <v>0.22154514164532607</v>
      </c>
      <c r="L59" s="31">
        <f>A59*Table!$AC$9/$AC$16</f>
        <v>10.906381755046105</v>
      </c>
      <c r="M59" s="31">
        <f>A59*Table!$AD$9/$AC$16</f>
        <v>3.7393308874443791</v>
      </c>
      <c r="N59" s="31">
        <f>ABS(A59*Table!$AE$9/$AC$16)</f>
        <v>4.7226018316205192</v>
      </c>
      <c r="O59" s="31">
        <f>($L59*(Table!$AC$10/Table!$AC$9)/(Table!$AC$12-Table!$AC$14))</f>
        <v>23.394212258786158</v>
      </c>
      <c r="P59" s="31">
        <f>$N59*(Table!$AE$10/Table!$AE$9)/(Table!$AC$12-Table!$AC$13)</f>
        <v>38.773414052713612</v>
      </c>
      <c r="Q59" s="31">
        <f>'Raw Data'!C59</f>
        <v>0.33557521997333972</v>
      </c>
      <c r="R59" s="31">
        <f>'Raw Data'!C59/'Raw Data'!I$23*100</f>
        <v>5.7108381958344525</v>
      </c>
      <c r="S59" s="36">
        <f t="shared" si="7"/>
        <v>0.85158089152969862</v>
      </c>
      <c r="T59" s="36">
        <f t="shared" si="8"/>
        <v>0.21398837999780729</v>
      </c>
      <c r="U59" s="3">
        <f t="shared" si="9"/>
        <v>9.8655543896329814E-2</v>
      </c>
      <c r="V59" s="3">
        <f t="shared" si="10"/>
        <v>7.943873945743718</v>
      </c>
      <c r="W59" s="3">
        <f t="shared" si="11"/>
        <v>0.37902274388775653</v>
      </c>
      <c r="X59" s="148">
        <f t="shared" si="12"/>
        <v>3.9219352921508452</v>
      </c>
      <c r="Z59" s="110"/>
      <c r="AS59" s="19"/>
      <c r="AT59" s="19"/>
    </row>
    <row r="60" spans="1:46" ht="12.4" customHeight="1" x14ac:dyDescent="0.2">
      <c r="A60" s="31">
        <f>'Raw Data'!A60</f>
        <v>63.593708038330078</v>
      </c>
      <c r="B60" s="110">
        <f>'Raw Data'!E60</f>
        <v>0.31870704603298011</v>
      </c>
      <c r="C60" s="110">
        <f t="shared" si="1"/>
        <v>0.68129295396701983</v>
      </c>
      <c r="D60" s="99">
        <f t="shared" si="2"/>
        <v>4.2389735565397269E-2</v>
      </c>
      <c r="E60" s="86">
        <f>(2*Table!$AC$16*0.147)/A60</f>
        <v>1.7176271130234813</v>
      </c>
      <c r="F60" s="86">
        <f t="shared" si="3"/>
        <v>3.4352542260469625</v>
      </c>
      <c r="G60" s="31">
        <f>IF((('Raw Data'!C60)/('Raw Data'!C$136)*100)&lt;0,0,('Raw Data'!C60)/('Raw Data'!C$136)*100)</f>
        <v>31.870704603298012</v>
      </c>
      <c r="H60" s="31">
        <f t="shared" si="4"/>
        <v>4.2389735565397295</v>
      </c>
      <c r="I60" s="8">
        <f t="shared" si="5"/>
        <v>4.0835788349631058E-2</v>
      </c>
      <c r="J60" s="86">
        <f>'Raw Data'!F60/I60</f>
        <v>1.0380535622934839</v>
      </c>
      <c r="K60" s="123">
        <f t="shared" si="6"/>
        <v>0.24338735945514686</v>
      </c>
      <c r="L60" s="31">
        <f>A60*Table!$AC$9/$AC$16</f>
        <v>11.981645983553273</v>
      </c>
      <c r="M60" s="31">
        <f>A60*Table!$AD$9/$AC$16</f>
        <v>4.1079929086468363</v>
      </c>
      <c r="N60" s="31">
        <f>ABS(A60*Table!$AE$9/$AC$16)</f>
        <v>5.1882049004544601</v>
      </c>
      <c r="O60" s="31">
        <f>($L60*(Table!$AC$10/Table!$AC$9)/(Table!$AC$12-Table!$AC$14))</f>
        <v>25.70065633537811</v>
      </c>
      <c r="P60" s="31">
        <f>$N60*(Table!$AE$10/Table!$AE$9)/(Table!$AC$12-Table!$AC$13)</f>
        <v>42.596099346916738</v>
      </c>
      <c r="Q60" s="31">
        <f>'Raw Data'!C60</f>
        <v>0.38705568933987528</v>
      </c>
      <c r="R60" s="31">
        <f>'Raw Data'!C60/'Raw Data'!I$23*100</f>
        <v>6.5869357539951938</v>
      </c>
      <c r="S60" s="36">
        <f t="shared" si="7"/>
        <v>0.81161871921217865</v>
      </c>
      <c r="T60" s="36">
        <f t="shared" si="8"/>
        <v>0.15400258978251458</v>
      </c>
      <c r="U60" s="3">
        <f t="shared" si="9"/>
        <v>0.10357841926790973</v>
      </c>
      <c r="V60" s="3">
        <f t="shared" si="10"/>
        <v>8.6256780900586794</v>
      </c>
      <c r="W60" s="3">
        <f t="shared" si="11"/>
        <v>0.29930904542130982</v>
      </c>
      <c r="X60" s="148">
        <f t="shared" si="12"/>
        <v>4.2212443375721547</v>
      </c>
      <c r="Z60" s="110"/>
      <c r="AS60" s="19"/>
      <c r="AT60" s="19"/>
    </row>
    <row r="61" spans="1:46" ht="12.4" customHeight="1" x14ac:dyDescent="0.2">
      <c r="A61" s="31">
        <f>'Raw Data'!A61</f>
        <v>69.513153076171875</v>
      </c>
      <c r="B61" s="110">
        <f>'Raw Data'!E61</f>
        <v>0.35427531841424448</v>
      </c>
      <c r="C61" s="110">
        <f t="shared" si="1"/>
        <v>0.64572468158575558</v>
      </c>
      <c r="D61" s="99">
        <f t="shared" si="2"/>
        <v>3.5568272381264365E-2</v>
      </c>
      <c r="E61" s="86">
        <f>(2*Table!$AC$16*0.147)/A61</f>
        <v>1.5713612792767653</v>
      </c>
      <c r="F61" s="86">
        <f t="shared" si="3"/>
        <v>3.1427225585535306</v>
      </c>
      <c r="G61" s="31">
        <f>IF((('Raw Data'!C61)/('Raw Data'!C$136)*100)&lt;0,0,('Raw Data'!C61)/('Raw Data'!C$136)*100)</f>
        <v>35.427531841424447</v>
      </c>
      <c r="H61" s="31">
        <f t="shared" si="4"/>
        <v>3.5568272381264343</v>
      </c>
      <c r="I61" s="8">
        <f t="shared" si="5"/>
        <v>3.8652839624825075E-2</v>
      </c>
      <c r="J61" s="86">
        <f>'Raw Data'!F61/I61</f>
        <v>0.92019817241112545</v>
      </c>
      <c r="K61" s="123">
        <f t="shared" si="6"/>
        <v>0.26604240099371884</v>
      </c>
      <c r="L61" s="31">
        <f>A61*Table!$AC$9/$AC$16</f>
        <v>13.096924476510042</v>
      </c>
      <c r="M61" s="31">
        <f>A61*Table!$AD$9/$AC$16</f>
        <v>4.4903741062320144</v>
      </c>
      <c r="N61" s="31">
        <f>ABS(A61*Table!$AE$9/$AC$16)</f>
        <v>5.6711346540519534</v>
      </c>
      <c r="O61" s="31">
        <f>($L61*(Table!$AC$10/Table!$AC$9)/(Table!$AC$12-Table!$AC$14))</f>
        <v>28.092931095045138</v>
      </c>
      <c r="P61" s="31">
        <f>$N61*(Table!$AE$10/Table!$AE$9)/(Table!$AC$12-Table!$AC$13)</f>
        <v>46.561039852643283</v>
      </c>
      <c r="Q61" s="31">
        <f>'Raw Data'!C61</f>
        <v>0.43025179170572669</v>
      </c>
      <c r="R61" s="31">
        <f>'Raw Data'!C61/'Raw Data'!I$23*100</f>
        <v>7.3220494829578913</v>
      </c>
      <c r="S61" s="36">
        <f t="shared" si="7"/>
        <v>0.68101098743905664</v>
      </c>
      <c r="T61" s="36">
        <f t="shared" si="8"/>
        <v>0.11187711885867602</v>
      </c>
      <c r="U61" s="3">
        <f t="shared" si="9"/>
        <v>0.10533329533958065</v>
      </c>
      <c r="V61" s="3">
        <f t="shared" si="10"/>
        <v>8.874245638097225</v>
      </c>
      <c r="W61" s="3">
        <f t="shared" si="11"/>
        <v>0.21019202122510119</v>
      </c>
      <c r="X61" s="148">
        <f t="shared" si="12"/>
        <v>4.4314363587972556</v>
      </c>
      <c r="Z61" s="110"/>
      <c r="AS61" s="19"/>
      <c r="AT61" s="19"/>
    </row>
    <row r="62" spans="1:46" ht="12.4" customHeight="1" x14ac:dyDescent="0.2">
      <c r="A62" s="31">
        <f>'Raw Data'!A62</f>
        <v>76.339576721191406</v>
      </c>
      <c r="B62" s="110">
        <f>'Raw Data'!E62</f>
        <v>0.38528026441581892</v>
      </c>
      <c r="C62" s="110">
        <f t="shared" si="1"/>
        <v>0.61471973558418114</v>
      </c>
      <c r="D62" s="99">
        <f t="shared" si="2"/>
        <v>3.100494600157444E-2</v>
      </c>
      <c r="E62" s="86">
        <f>(2*Table!$AC$16*0.147)/A62</f>
        <v>1.4308472988168059</v>
      </c>
      <c r="F62" s="86">
        <f t="shared" si="3"/>
        <v>2.8616945976336119</v>
      </c>
      <c r="G62" s="31">
        <f>IF((('Raw Data'!C62)/('Raw Data'!C$136)*100)&lt;0,0,('Raw Data'!C62)/('Raw Data'!C$136)*100)</f>
        <v>38.528026441581893</v>
      </c>
      <c r="H62" s="31">
        <f t="shared" si="4"/>
        <v>3.1004946001574467</v>
      </c>
      <c r="I62" s="8">
        <f t="shared" si="5"/>
        <v>4.0682759292812426E-2</v>
      </c>
      <c r="J62" s="86">
        <f>'Raw Data'!F62/I62</f>
        <v>0.76211512052114416</v>
      </c>
      <c r="K62" s="123">
        <f t="shared" si="6"/>
        <v>0.29216865273676962</v>
      </c>
      <c r="L62" s="31">
        <f>A62*Table!$AC$9/$AC$16</f>
        <v>14.383086173498723</v>
      </c>
      <c r="M62" s="31">
        <f>A62*Table!$AD$9/$AC$16</f>
        <v>4.931343830913848</v>
      </c>
      <c r="N62" s="31">
        <f>ABS(A62*Table!$AE$9/$AC$16)</f>
        <v>6.2280590055353047</v>
      </c>
      <c r="O62" s="31">
        <f>($L62*(Table!$AC$10/Table!$AC$9)/(Table!$AC$12-Table!$AC$14))</f>
        <v>30.851750693905458</v>
      </c>
      <c r="P62" s="31">
        <f>$N62*(Table!$AE$10/Table!$AE$9)/(Table!$AC$12-Table!$AC$13)</f>
        <v>51.133489372211024</v>
      </c>
      <c r="Q62" s="31">
        <f>'Raw Data'!C62</f>
        <v>0.46790593489760068</v>
      </c>
      <c r="R62" s="31">
        <f>'Raw Data'!C62/'Raw Data'!I$23*100</f>
        <v>7.962849835226625</v>
      </c>
      <c r="S62" s="36">
        <f t="shared" si="7"/>
        <v>0.59363886628210372</v>
      </c>
      <c r="T62" s="36">
        <f t="shared" si="8"/>
        <v>8.1429911956649725E-2</v>
      </c>
      <c r="U62" s="3">
        <f t="shared" si="9"/>
        <v>0.10430827857886441</v>
      </c>
      <c r="V62" s="3">
        <f t="shared" si="10"/>
        <v>8.7287076841441884</v>
      </c>
      <c r="W62" s="3">
        <f t="shared" si="11"/>
        <v>0.15192138672980759</v>
      </c>
      <c r="X62" s="148">
        <f t="shared" si="12"/>
        <v>4.5833577455270635</v>
      </c>
      <c r="Z62" s="110"/>
      <c r="AS62" s="19"/>
      <c r="AT62" s="19"/>
    </row>
    <row r="63" spans="1:46" x14ac:dyDescent="0.2">
      <c r="A63" s="31">
        <f>'Raw Data'!A63</f>
        <v>83.770706176757813</v>
      </c>
      <c r="B63" s="110">
        <f>'Raw Data'!E63</f>
        <v>0.41126373267996486</v>
      </c>
      <c r="C63" s="110">
        <f t="shared" si="1"/>
        <v>0.58873626732003514</v>
      </c>
      <c r="D63" s="99">
        <f t="shared" si="2"/>
        <v>2.5983468264145937E-2</v>
      </c>
      <c r="E63" s="86">
        <f>(2*Table!$AC$16*0.147)/A63</f>
        <v>1.3039197367377691</v>
      </c>
      <c r="F63" s="86">
        <f t="shared" si="3"/>
        <v>2.6078394734755381</v>
      </c>
      <c r="G63" s="31">
        <f>IF((('Raw Data'!C63)/('Raw Data'!C$136)*100)&lt;0,0,('Raw Data'!C63)/('Raw Data'!C$136)*100)</f>
        <v>41.126373267996485</v>
      </c>
      <c r="H63" s="31">
        <f t="shared" si="4"/>
        <v>2.5983468264145912</v>
      </c>
      <c r="I63" s="8">
        <f t="shared" si="5"/>
        <v>4.0342428912728601E-2</v>
      </c>
      <c r="J63" s="86">
        <f>'Raw Data'!F63/I63</f>
        <v>0.64407297637817218</v>
      </c>
      <c r="K63" s="123">
        <f t="shared" si="6"/>
        <v>0.32060924901194732</v>
      </c>
      <c r="L63" s="31">
        <f>A63*Table!$AC$9/$AC$16</f>
        <v>15.783180068650834</v>
      </c>
      <c r="M63" s="31">
        <f>A63*Table!$AD$9/$AC$16</f>
        <v>5.4113760235374286</v>
      </c>
      <c r="N63" s="31">
        <f>ABS(A63*Table!$AE$9/$AC$16)</f>
        <v>6.8343174459779217</v>
      </c>
      <c r="O63" s="31">
        <f>($L63*(Table!$AC$10/Table!$AC$9)/(Table!$AC$12-Table!$AC$14))</f>
        <v>33.85495510221115</v>
      </c>
      <c r="P63" s="31">
        <f>$N63*(Table!$AE$10/Table!$AE$9)/(Table!$AC$12-Table!$AC$13)</f>
        <v>56.110980673053533</v>
      </c>
      <c r="Q63" s="31">
        <f>'Raw Data'!C63</f>
        <v>0.49946171424293423</v>
      </c>
      <c r="R63" s="31">
        <f>'Raw Data'!C63/'Raw Data'!I$23*100</f>
        <v>8.4998678844108646</v>
      </c>
      <c r="S63" s="36">
        <f t="shared" si="7"/>
        <v>0.4974947107349047</v>
      </c>
      <c r="T63" s="36">
        <f t="shared" si="8"/>
        <v>6.02400200454003E-2</v>
      </c>
      <c r="U63" s="3">
        <f t="shared" si="9"/>
        <v>0.10146587360116051</v>
      </c>
      <c r="V63" s="3">
        <f t="shared" si="10"/>
        <v>8.3302879515672661</v>
      </c>
      <c r="W63" s="3">
        <f t="shared" si="11"/>
        <v>0.10573047879795802</v>
      </c>
      <c r="X63" s="148">
        <f t="shared" si="12"/>
        <v>4.6890882243250216</v>
      </c>
      <c r="AS63" s="19"/>
      <c r="AT63" s="19"/>
    </row>
    <row r="64" spans="1:46" x14ac:dyDescent="0.2">
      <c r="A64" s="31">
        <f>'Raw Data'!A64</f>
        <v>91.8643798828125</v>
      </c>
      <c r="B64" s="110">
        <f>'Raw Data'!E64</f>
        <v>0.4341124751701978</v>
      </c>
      <c r="C64" s="110">
        <f t="shared" si="1"/>
        <v>0.5658875248298022</v>
      </c>
      <c r="D64" s="99">
        <f t="shared" si="2"/>
        <v>2.2848742490232943E-2</v>
      </c>
      <c r="E64" s="86">
        <f>(2*Table!$AC$16*0.147)/A64</f>
        <v>1.1890384203722433</v>
      </c>
      <c r="F64" s="86">
        <f t="shared" si="3"/>
        <v>2.3780768407444866</v>
      </c>
      <c r="G64" s="31">
        <f>IF((('Raw Data'!C64)/('Raw Data'!C$136)*100)&lt;0,0,('Raw Data'!C64)/('Raw Data'!C$136)*100)</f>
        <v>43.411247517019781</v>
      </c>
      <c r="H64" s="31">
        <f t="shared" si="4"/>
        <v>2.2848742490232965</v>
      </c>
      <c r="I64" s="8">
        <f t="shared" si="5"/>
        <v>4.0054971232823811E-2</v>
      </c>
      <c r="J64" s="86">
        <f>'Raw Data'!F64/I64</f>
        <v>0.57043462489143182</v>
      </c>
      <c r="K64" s="123">
        <f t="shared" si="6"/>
        <v>0.35158555047908113</v>
      </c>
      <c r="L64" s="31">
        <f>A64*Table!$AC$9/$AC$16</f>
        <v>17.308103461919401</v>
      </c>
      <c r="M64" s="31">
        <f>A64*Table!$AD$9/$AC$16</f>
        <v>5.9342069012295093</v>
      </c>
      <c r="N64" s="31">
        <f>ABS(A64*Table!$AE$9/$AC$16)</f>
        <v>7.494628644675795</v>
      </c>
      <c r="O64" s="31">
        <f>($L64*(Table!$AC$10/Table!$AC$9)/(Table!$AC$12-Table!$AC$14))</f>
        <v>37.125919051736176</v>
      </c>
      <c r="P64" s="31">
        <f>$N64*(Table!$AE$10/Table!$AE$9)/(Table!$AC$12-Table!$AC$13)</f>
        <v>61.532254882395677</v>
      </c>
      <c r="Q64" s="31">
        <f>'Raw Data'!C64</f>
        <v>0.52721050701418426</v>
      </c>
      <c r="R64" s="31">
        <f>'Raw Data'!C64/'Raw Data'!I$23*100</f>
        <v>8.9720984193679421</v>
      </c>
      <c r="S64" s="36">
        <f t="shared" si="7"/>
        <v>0.43747541399313633</v>
      </c>
      <c r="T64" s="36">
        <f t="shared" si="8"/>
        <v>4.4745291150500188E-2</v>
      </c>
      <c r="U64" s="3">
        <f t="shared" si="9"/>
        <v>9.76667826072877E-2</v>
      </c>
      <c r="V64" s="3">
        <f t="shared" si="10"/>
        <v>7.8097093592531444</v>
      </c>
      <c r="W64" s="3">
        <f t="shared" si="11"/>
        <v>7.7313518717508051E-2</v>
      </c>
      <c r="X64" s="148">
        <f t="shared" si="12"/>
        <v>4.7664017430425298</v>
      </c>
      <c r="AS64" s="19"/>
      <c r="AT64" s="19"/>
    </row>
    <row r="65" spans="1:46" x14ac:dyDescent="0.2">
      <c r="A65" s="31">
        <f>'Raw Data'!A65</f>
        <v>99.982963562011719</v>
      </c>
      <c r="B65" s="110">
        <f>'Raw Data'!E65</f>
        <v>0.45371729323478849</v>
      </c>
      <c r="C65" s="110">
        <f t="shared" si="1"/>
        <v>0.54628270676521151</v>
      </c>
      <c r="D65" s="99">
        <f t="shared" si="2"/>
        <v>1.960481806459069E-2</v>
      </c>
      <c r="E65" s="86">
        <f>(2*Table!$AC$16*0.147)/A65</f>
        <v>1.0924888926360732</v>
      </c>
      <c r="F65" s="86">
        <f t="shared" si="3"/>
        <v>2.1849777852721464</v>
      </c>
      <c r="G65" s="31">
        <f>IF((('Raw Data'!C65)/('Raw Data'!C$136)*100)&lt;0,0,('Raw Data'!C65)/('Raw Data'!C$136)*100)</f>
        <v>45.371729323478846</v>
      </c>
      <c r="H65" s="31">
        <f t="shared" si="4"/>
        <v>1.9604818064590646</v>
      </c>
      <c r="I65" s="8">
        <f t="shared" si="5"/>
        <v>3.677885764693916E-2</v>
      </c>
      <c r="J65" s="86">
        <f>'Raw Data'!F65/I65</f>
        <v>0.53304586707907875</v>
      </c>
      <c r="K65" s="123">
        <f t="shared" si="6"/>
        <v>0.38265718799084519</v>
      </c>
      <c r="L65" s="31">
        <f>A65*Table!$AC$9/$AC$16</f>
        <v>18.837720125778475</v>
      </c>
      <c r="M65" s="31">
        <f>A65*Table!$AD$9/$AC$16</f>
        <v>6.4586469002669062</v>
      </c>
      <c r="N65" s="31">
        <f>ABS(A65*Table!$AE$9/$AC$16)</f>
        <v>8.1569720891527755</v>
      </c>
      <c r="O65" s="31">
        <f>($L65*(Table!$AC$10/Table!$AC$9)/(Table!$AC$12-Table!$AC$14))</f>
        <v>40.406950076744906</v>
      </c>
      <c r="P65" s="31">
        <f>$N65*(Table!$AE$10/Table!$AE$9)/(Table!$AC$12-Table!$AC$13)</f>
        <v>66.970214196656599</v>
      </c>
      <c r="Q65" s="31">
        <f>'Raw Data'!C65</f>
        <v>0.55101969625183844</v>
      </c>
      <c r="R65" s="31">
        <f>'Raw Data'!C65/'Raw Data'!I$23*100</f>
        <v>9.3772845571317749</v>
      </c>
      <c r="S65" s="36">
        <f t="shared" si="7"/>
        <v>0.3753653358705909</v>
      </c>
      <c r="T65" s="36">
        <f t="shared" si="8"/>
        <v>3.35218307161258E-2</v>
      </c>
      <c r="U65" s="3">
        <f t="shared" si="9"/>
        <v>9.3788823846132227E-2</v>
      </c>
      <c r="V65" s="3">
        <f t="shared" si="10"/>
        <v>7.2925663352699353</v>
      </c>
      <c r="W65" s="3">
        <f t="shared" si="11"/>
        <v>5.6001316593141712E-2</v>
      </c>
      <c r="X65" s="148">
        <f t="shared" si="12"/>
        <v>4.822403059635672</v>
      </c>
      <c r="AS65" s="19"/>
      <c r="AT65" s="19"/>
    </row>
    <row r="66" spans="1:46" x14ac:dyDescent="0.2">
      <c r="A66" s="31">
        <f>'Raw Data'!A66</f>
        <v>110.15373229980469</v>
      </c>
      <c r="B66" s="110">
        <f>'Raw Data'!E66</f>
        <v>0.47251795039210476</v>
      </c>
      <c r="C66" s="110">
        <f t="shared" si="1"/>
        <v>0.52748204960789524</v>
      </c>
      <c r="D66" s="99">
        <f t="shared" si="2"/>
        <v>1.880065715731627E-2</v>
      </c>
      <c r="E66" s="86">
        <f>(2*Table!$AC$16*0.147)/A66</f>
        <v>0.99161666939295101</v>
      </c>
      <c r="F66" s="86">
        <f t="shared" si="3"/>
        <v>1.983233338785902</v>
      </c>
      <c r="G66" s="31">
        <f>IF((('Raw Data'!C66)/('Raw Data'!C$136)*100)&lt;0,0,('Raw Data'!C66)/('Raw Data'!C$136)*100)</f>
        <v>47.251795039210478</v>
      </c>
      <c r="H66" s="31">
        <f t="shared" si="4"/>
        <v>1.8800657157316323</v>
      </c>
      <c r="I66" s="8">
        <f t="shared" si="5"/>
        <v>4.2073211395129394E-2</v>
      </c>
      <c r="J66" s="86">
        <f>'Raw Data'!F66/I66</f>
        <v>0.44685576721849019</v>
      </c>
      <c r="K66" s="123">
        <f t="shared" si="6"/>
        <v>0.421582997211285</v>
      </c>
      <c r="L66" s="31">
        <f>A66*Table!$AC$9/$AC$16</f>
        <v>20.753987538953623</v>
      </c>
      <c r="M66" s="31">
        <f>A66*Table!$AD$9/$AC$16</f>
        <v>7.1156528704983852</v>
      </c>
      <c r="N66" s="31">
        <f>ABS(A66*Table!$AE$9/$AC$16)</f>
        <v>8.9867402192797599</v>
      </c>
      <c r="O66" s="31">
        <f>($L66*(Table!$AC$10/Table!$AC$9)/(Table!$AC$12-Table!$AC$14))</f>
        <v>44.517347788403313</v>
      </c>
      <c r="P66" s="31">
        <f>$N66*(Table!$AE$10/Table!$AE$9)/(Table!$AC$12-Table!$AC$13)</f>
        <v>73.782760421016079</v>
      </c>
      <c r="Q66" s="31">
        <f>'Raw Data'!C66</f>
        <v>0.57385226743796369</v>
      </c>
      <c r="R66" s="31">
        <f>'Raw Data'!C66/'Raw Data'!I$23*100</f>
        <v>9.7658505533015525</v>
      </c>
      <c r="S66" s="36">
        <f t="shared" si="7"/>
        <v>0.35996839986952406</v>
      </c>
      <c r="T66" s="36">
        <f t="shared" si="8"/>
        <v>2.4654547687937733E-2</v>
      </c>
      <c r="U66" s="3">
        <f t="shared" si="9"/>
        <v>8.8656556154828245E-2</v>
      </c>
      <c r="V66" s="3">
        <f t="shared" si="10"/>
        <v>6.6305866552926114</v>
      </c>
      <c r="W66" s="3">
        <f t="shared" si="11"/>
        <v>4.4244778790476308E-2</v>
      </c>
      <c r="X66" s="148">
        <f t="shared" si="12"/>
        <v>4.8666478384261485</v>
      </c>
      <c r="AS66" s="19"/>
      <c r="AT66" s="19"/>
    </row>
    <row r="67" spans="1:46" x14ac:dyDescent="0.2">
      <c r="A67" s="31">
        <f>'Raw Data'!A67</f>
        <v>119.92069244384766</v>
      </c>
      <c r="B67" s="110">
        <f>'Raw Data'!E67</f>
        <v>0.48730138762670305</v>
      </c>
      <c r="C67" s="110">
        <f t="shared" si="1"/>
        <v>0.51269861237329695</v>
      </c>
      <c r="D67" s="99">
        <f t="shared" si="2"/>
        <v>1.4783437234598296E-2</v>
      </c>
      <c r="E67" s="86">
        <f>(2*Table!$AC$16*0.147)/A67</f>
        <v>0.91085428976722804</v>
      </c>
      <c r="F67" s="86">
        <f t="shared" si="3"/>
        <v>1.8217085795344561</v>
      </c>
      <c r="G67" s="31">
        <f>IF((('Raw Data'!C67)/('Raw Data'!C$136)*100)&lt;0,0,('Raw Data'!C67)/('Raw Data'!C$136)*100)</f>
        <v>48.730138762670308</v>
      </c>
      <c r="H67" s="31">
        <f t="shared" si="4"/>
        <v>1.4783437234598296</v>
      </c>
      <c r="I67" s="8">
        <f t="shared" si="5"/>
        <v>3.6894910760808766E-2</v>
      </c>
      <c r="J67" s="86">
        <f>'Raw Data'!F67/I67</f>
        <v>0.40069041853603959</v>
      </c>
      <c r="K67" s="123">
        <f t="shared" si="6"/>
        <v>0.45896334052967575</v>
      </c>
      <c r="L67" s="31">
        <f>A67*Table!$AC$9/$AC$16</f>
        <v>22.594173657851783</v>
      </c>
      <c r="M67" s="31">
        <f>A67*Table!$AD$9/$AC$16</f>
        <v>7.7465738255491825</v>
      </c>
      <c r="N67" s="31">
        <f>ABS(A67*Table!$AE$9/$AC$16)</f>
        <v>9.7835641826084085</v>
      </c>
      <c r="O67" s="31">
        <f>($L67*(Table!$AC$10/Table!$AC$9)/(Table!$AC$12-Table!$AC$14))</f>
        <v>48.464550960643038</v>
      </c>
      <c r="P67" s="31">
        <f>$N67*(Table!$AE$10/Table!$AE$9)/(Table!$AC$12-Table!$AC$13)</f>
        <v>80.324829085454894</v>
      </c>
      <c r="Q67" s="31">
        <f>'Raw Data'!C67</f>
        <v>0.59180610172206072</v>
      </c>
      <c r="R67" s="31">
        <f>'Raw Data'!C67/'Raw Data'!I$23*100</f>
        <v>10.071389927154751</v>
      </c>
      <c r="S67" s="36">
        <f t="shared" si="7"/>
        <v>0.28305235297793846</v>
      </c>
      <c r="T67" s="36">
        <f t="shared" si="8"/>
        <v>1.8771489539136987E-2</v>
      </c>
      <c r="U67" s="3">
        <f t="shared" si="9"/>
        <v>8.3983753945305439E-2</v>
      </c>
      <c r="V67" s="3">
        <f t="shared" si="10"/>
        <v>6.0504422393901249</v>
      </c>
      <c r="W67" s="3">
        <f t="shared" si="11"/>
        <v>2.9354493995257271E-2</v>
      </c>
      <c r="X67" s="148">
        <f t="shared" si="12"/>
        <v>4.8960023324214061</v>
      </c>
      <c r="AS67" s="19"/>
      <c r="AT67" s="19"/>
    </row>
    <row r="68" spans="1:46" x14ac:dyDescent="0.2">
      <c r="A68" s="31">
        <f>'Raw Data'!A68</f>
        <v>132.232666015625</v>
      </c>
      <c r="B68" s="110">
        <f>'Raw Data'!E68</f>
        <v>0.50103404253464123</v>
      </c>
      <c r="C68" s="110">
        <f t="shared" si="1"/>
        <v>0.49896595746535877</v>
      </c>
      <c r="D68" s="99">
        <f t="shared" si="2"/>
        <v>1.373265490793818E-2</v>
      </c>
      <c r="E68" s="86">
        <f>(2*Table!$AC$16*0.147)/A68</f>
        <v>0.82604609311460209</v>
      </c>
      <c r="F68" s="86">
        <f t="shared" si="3"/>
        <v>1.6520921862292042</v>
      </c>
      <c r="G68" s="31">
        <f>IF((('Raw Data'!C68)/('Raw Data'!C$136)*100)&lt;0,0,('Raw Data'!C68)/('Raw Data'!C$136)*100)</f>
        <v>50.10340425346412</v>
      </c>
      <c r="H68" s="31">
        <f t="shared" si="4"/>
        <v>1.3732654907938127</v>
      </c>
      <c r="I68" s="8">
        <f t="shared" si="5"/>
        <v>4.2444626532016846E-2</v>
      </c>
      <c r="J68" s="86">
        <f>'Raw Data'!F68/I68</f>
        <v>0.32354283757401797</v>
      </c>
      <c r="K68" s="123">
        <f t="shared" si="6"/>
        <v>0.50608402007096465</v>
      </c>
      <c r="L68" s="31">
        <f>A68*Table!$AC$9/$AC$16</f>
        <v>24.913863973865219</v>
      </c>
      <c r="M68" s="31">
        <f>A68*Table!$AD$9/$AC$16</f>
        <v>8.5418962196109316</v>
      </c>
      <c r="N68" s="31">
        <f>ABS(A68*Table!$AE$9/$AC$16)</f>
        <v>10.788019553898604</v>
      </c>
      <c r="O68" s="31">
        <f>($L68*(Table!$AC$10/Table!$AC$9)/(Table!$AC$12-Table!$AC$14))</f>
        <v>53.440291664232561</v>
      </c>
      <c r="P68" s="31">
        <f>$N68*(Table!$AE$10/Table!$AE$9)/(Table!$AC$12-Table!$AC$13)</f>
        <v>88.57158911246799</v>
      </c>
      <c r="Q68" s="31">
        <f>'Raw Data'!C68</f>
        <v>0.60848380708822514</v>
      </c>
      <c r="R68" s="31">
        <f>'Raw Data'!C68/'Raw Data'!I$23*100</f>
        <v>10.355212066440041</v>
      </c>
      <c r="S68" s="36">
        <f t="shared" si="7"/>
        <v>0.26293345875131713</v>
      </c>
      <c r="T68" s="36">
        <f t="shared" si="8"/>
        <v>1.4276869612695364E-2</v>
      </c>
      <c r="U68" s="3">
        <f t="shared" si="9"/>
        <v>7.8310544424903594E-2</v>
      </c>
      <c r="V68" s="3">
        <f t="shared" si="10"/>
        <v>5.3755502632815402</v>
      </c>
      <c r="W68" s="3">
        <f t="shared" si="11"/>
        <v>2.2426651293357139E-2</v>
      </c>
      <c r="X68" s="148">
        <f t="shared" si="12"/>
        <v>4.9184289837147634</v>
      </c>
      <c r="AS68" s="19"/>
      <c r="AT68" s="19"/>
    </row>
    <row r="69" spans="1:46" x14ac:dyDescent="0.2">
      <c r="A69" s="31">
        <f>'Raw Data'!A69</f>
        <v>143.73381042480469</v>
      </c>
      <c r="B69" s="110">
        <f>'Raw Data'!E69</f>
        <v>0.51243783055082948</v>
      </c>
      <c r="C69" s="110">
        <f t="shared" si="1"/>
        <v>0.48756216944917052</v>
      </c>
      <c r="D69" s="99">
        <f t="shared" si="2"/>
        <v>1.1403788016188243E-2</v>
      </c>
      <c r="E69" s="86">
        <f>(2*Table!$AC$16*0.147)/A69</f>
        <v>0.75994838529296216</v>
      </c>
      <c r="F69" s="86">
        <f t="shared" si="3"/>
        <v>1.5198967705859243</v>
      </c>
      <c r="G69" s="31">
        <f>IF((('Raw Data'!C69)/('Raw Data'!C$136)*100)&lt;0,0,('Raw Data'!C69)/('Raw Data'!C$136)*100)</f>
        <v>51.24378305508295</v>
      </c>
      <c r="H69" s="31">
        <f t="shared" si="4"/>
        <v>1.1403788016188301</v>
      </c>
      <c r="I69" s="8">
        <f t="shared" si="5"/>
        <v>3.6220184927842763E-2</v>
      </c>
      <c r="J69" s="86">
        <f>'Raw Data'!F69/I69</f>
        <v>0.31484621182654576</v>
      </c>
      <c r="K69" s="123">
        <f t="shared" si="6"/>
        <v>0.55010147486028704</v>
      </c>
      <c r="L69" s="31">
        <f>A69*Table!$AC$9/$AC$16</f>
        <v>27.080786535346547</v>
      </c>
      <c r="M69" s="31">
        <f>A69*Table!$AD$9/$AC$16</f>
        <v>9.2848410978331017</v>
      </c>
      <c r="N69" s="31">
        <f>ABS(A69*Table!$AE$9/$AC$16)</f>
        <v>11.726324547036841</v>
      </c>
      <c r="O69" s="31">
        <f>($L69*(Table!$AC$10/Table!$AC$9)/(Table!$AC$12-Table!$AC$14))</f>
        <v>58.088345206663554</v>
      </c>
      <c r="P69" s="31">
        <f>$N69*(Table!$AE$10/Table!$AE$9)/(Table!$AC$12-Table!$AC$13)</f>
        <v>96.27524258650935</v>
      </c>
      <c r="Q69" s="31">
        <f>'Raw Data'!C69</f>
        <v>0.62233320604765319</v>
      </c>
      <c r="R69" s="31">
        <f>'Raw Data'!C69/'Raw Data'!I$23*100</f>
        <v>10.590901926296603</v>
      </c>
      <c r="S69" s="36">
        <f t="shared" si="7"/>
        <v>0.21834360843291456</v>
      </c>
      <c r="T69" s="36">
        <f t="shared" si="8"/>
        <v>1.1117887025698159E-2</v>
      </c>
      <c r="U69" s="3">
        <f t="shared" si="9"/>
        <v>7.3684138025668672E-2</v>
      </c>
      <c r="V69" s="3">
        <f t="shared" si="10"/>
        <v>4.8495600592739905</v>
      </c>
      <c r="W69" s="3">
        <f t="shared" si="11"/>
        <v>1.576226735070424E-2</v>
      </c>
      <c r="X69" s="148">
        <f t="shared" si="12"/>
        <v>4.9341912510654673</v>
      </c>
      <c r="AS69" s="19"/>
      <c r="AT69" s="19"/>
    </row>
    <row r="70" spans="1:46" x14ac:dyDescent="0.2">
      <c r="A70" s="31">
        <f>'Raw Data'!A70</f>
        <v>158.07861328125</v>
      </c>
      <c r="B70" s="110">
        <f>'Raw Data'!E70</f>
        <v>0.52334177249256841</v>
      </c>
      <c r="C70" s="110">
        <f t="shared" si="1"/>
        <v>0.47665822750743159</v>
      </c>
      <c r="D70" s="99">
        <f t="shared" si="2"/>
        <v>1.0903941941738937E-2</v>
      </c>
      <c r="E70" s="86">
        <f>(2*Table!$AC$16*0.147)/A70</f>
        <v>0.69098706572023716</v>
      </c>
      <c r="F70" s="86">
        <f t="shared" si="3"/>
        <v>1.3819741314404743</v>
      </c>
      <c r="G70" s="31">
        <f>IF((('Raw Data'!C70)/('Raw Data'!C$136)*100)&lt;0,0,('Raw Data'!C70)/('Raw Data'!C$136)*100)</f>
        <v>52.33417724925684</v>
      </c>
      <c r="H70" s="31">
        <f t="shared" si="4"/>
        <v>1.0903941941738893</v>
      </c>
      <c r="I70" s="8">
        <f t="shared" si="5"/>
        <v>4.1314178480535715E-2</v>
      </c>
      <c r="J70" s="86">
        <f>'Raw Data'!F70/I70</f>
        <v>0.26392735721166755</v>
      </c>
      <c r="K70" s="123">
        <f t="shared" si="6"/>
        <v>0.60500224722963092</v>
      </c>
      <c r="L70" s="31">
        <f>A70*Table!$AC$9/$AC$16</f>
        <v>29.783480792869586</v>
      </c>
      <c r="M70" s="31">
        <f>A70*Table!$AD$9/$AC$16</f>
        <v>10.211479128983859</v>
      </c>
      <c r="N70" s="31">
        <f>ABS(A70*Table!$AE$9/$AC$16)</f>
        <v>12.896625489875479</v>
      </c>
      <c r="O70" s="31">
        <f>($L70*(Table!$AC$10/Table!$AC$9)/(Table!$AC$12-Table!$AC$14))</f>
        <v>63.885630186335455</v>
      </c>
      <c r="P70" s="31">
        <f>$N70*(Table!$AE$10/Table!$AE$9)/(Table!$AC$12-Table!$AC$13)</f>
        <v>105.88362471162132</v>
      </c>
      <c r="Q70" s="31">
        <f>'Raw Data'!C70</f>
        <v>0.63557556393498083</v>
      </c>
      <c r="R70" s="31">
        <f>'Raw Data'!C70/'Raw Data'!I$23*100</f>
        <v>10.816261126632876</v>
      </c>
      <c r="S70" s="36">
        <f t="shared" si="7"/>
        <v>0.20877326256175652</v>
      </c>
      <c r="T70" s="36">
        <f t="shared" si="8"/>
        <v>8.6206873504011128E-3</v>
      </c>
      <c r="U70" s="3">
        <f t="shared" si="9"/>
        <v>6.8423304722371403E-2</v>
      </c>
      <c r="V70" s="3">
        <f t="shared" si="10"/>
        <v>4.2786123210829432</v>
      </c>
      <c r="W70" s="3">
        <f t="shared" si="11"/>
        <v>1.246019179470626E-2</v>
      </c>
      <c r="X70" s="148">
        <f t="shared" si="12"/>
        <v>4.9466514428601736</v>
      </c>
      <c r="AS70" s="19"/>
      <c r="AT70" s="19"/>
    </row>
    <row r="71" spans="1:46" x14ac:dyDescent="0.2">
      <c r="A71" s="31">
        <f>'Raw Data'!A71</f>
        <v>172.76417541503906</v>
      </c>
      <c r="B71" s="110">
        <f>'Raw Data'!E71</f>
        <v>0.53300479665289147</v>
      </c>
      <c r="C71" s="110">
        <f t="shared" si="1"/>
        <v>0.46699520334710853</v>
      </c>
      <c r="D71" s="99">
        <f t="shared" si="2"/>
        <v>9.6630241603230527E-3</v>
      </c>
      <c r="E71" s="86">
        <f>(2*Table!$AC$16*0.147)/A71</f>
        <v>0.63225073648472718</v>
      </c>
      <c r="F71" s="86">
        <f t="shared" si="3"/>
        <v>1.2645014729694544</v>
      </c>
      <c r="G71" s="31">
        <f>IF((('Raw Data'!C71)/('Raw Data'!C$136)*100)&lt;0,0,('Raw Data'!C71)/('Raw Data'!C$136)*100)</f>
        <v>53.300479665289146</v>
      </c>
      <c r="H71" s="31">
        <f t="shared" si="4"/>
        <v>0.96630241603230616</v>
      </c>
      <c r="I71" s="8">
        <f t="shared" si="5"/>
        <v>3.8580574175118537E-2</v>
      </c>
      <c r="J71" s="86">
        <f>'Raw Data'!F71/I71</f>
        <v>0.25046346164943678</v>
      </c>
      <c r="K71" s="123">
        <f t="shared" si="6"/>
        <v>0.66120718165023551</v>
      </c>
      <c r="L71" s="31">
        <f>A71*Table!$AC$9/$AC$16</f>
        <v>32.550377267132106</v>
      </c>
      <c r="M71" s="31">
        <f>A71*Table!$AD$9/$AC$16</f>
        <v>11.16012934873101</v>
      </c>
      <c r="N71" s="31">
        <f>ABS(A71*Table!$AE$9/$AC$16)</f>
        <v>14.094726808051949</v>
      </c>
      <c r="O71" s="31">
        <f>($L71*(Table!$AC$10/Table!$AC$9)/(Table!$AC$12-Table!$AC$14))</f>
        <v>69.820629058627432</v>
      </c>
      <c r="P71" s="31">
        <f>$N71*(Table!$AE$10/Table!$AE$9)/(Table!$AC$12-Table!$AC$13)</f>
        <v>115.72025293967116</v>
      </c>
      <c r="Q71" s="31">
        <f>'Raw Data'!C71</f>
        <v>0.6473108817575266</v>
      </c>
      <c r="R71" s="31">
        <f>'Raw Data'!C71/'Raw Data'!I$23*100</f>
        <v>11.015973433359742</v>
      </c>
      <c r="S71" s="36">
        <f t="shared" si="7"/>
        <v>0.18501392349141524</v>
      </c>
      <c r="T71" s="36">
        <f t="shared" si="8"/>
        <v>6.7679167258476447E-3</v>
      </c>
      <c r="U71" s="3">
        <f t="shared" si="9"/>
        <v>6.3763065501835539E-2</v>
      </c>
      <c r="V71" s="3">
        <f t="shared" si="10"/>
        <v>3.7975140818535684</v>
      </c>
      <c r="W71" s="3">
        <f t="shared" si="11"/>
        <v>9.244706205076135E-3</v>
      </c>
      <c r="X71" s="148">
        <f t="shared" si="12"/>
        <v>4.95589614906525</v>
      </c>
      <c r="AS71" s="19"/>
      <c r="AT71" s="19"/>
    </row>
    <row r="72" spans="1:46" x14ac:dyDescent="0.2">
      <c r="A72" s="31">
        <f>'Raw Data'!A72</f>
        <v>188.65345764160156</v>
      </c>
      <c r="B72" s="110">
        <f>'Raw Data'!E72</f>
        <v>0.54137664297509425</v>
      </c>
      <c r="C72" s="110">
        <f t="shared" si="1"/>
        <v>0.45862335702490575</v>
      </c>
      <c r="D72" s="99">
        <f t="shared" si="2"/>
        <v>8.3718463222027806E-3</v>
      </c>
      <c r="E72" s="86">
        <f>(2*Table!$AC$16*0.147)/A72</f>
        <v>0.57899960334598055</v>
      </c>
      <c r="F72" s="86">
        <f t="shared" si="3"/>
        <v>1.1579992066919611</v>
      </c>
      <c r="G72" s="31">
        <f>IF((('Raw Data'!C72)/('Raw Data'!C$136)*100)&lt;0,0,('Raw Data'!C72)/('Raw Data'!C$136)*100)</f>
        <v>54.137664297509424</v>
      </c>
      <c r="H72" s="31">
        <f t="shared" si="4"/>
        <v>0.8371846322202785</v>
      </c>
      <c r="I72" s="8">
        <f t="shared" si="5"/>
        <v>3.8211077703439761E-2</v>
      </c>
      <c r="J72" s="86">
        <f>'Raw Data'!F72/I72</f>
        <v>0.21909474491082326</v>
      </c>
      <c r="K72" s="123">
        <f t="shared" si="6"/>
        <v>0.72201902238186444</v>
      </c>
      <c r="L72" s="31">
        <f>A72*Table!$AC$9/$AC$16</f>
        <v>35.544065800857624</v>
      </c>
      <c r="M72" s="31">
        <f>A72*Table!$AD$9/$AC$16</f>
        <v>12.186536846008329</v>
      </c>
      <c r="N72" s="31">
        <f>ABS(A72*Table!$AE$9/$AC$16)</f>
        <v>15.391031968664194</v>
      </c>
      <c r="O72" s="31">
        <f>($L72*(Table!$AC$10/Table!$AC$9)/(Table!$AC$12-Table!$AC$14))</f>
        <v>76.242097384936997</v>
      </c>
      <c r="P72" s="31">
        <f>$N72*(Table!$AE$10/Table!$AE$9)/(Table!$AC$12-Table!$AC$13)</f>
        <v>126.36315245208695</v>
      </c>
      <c r="Q72" s="31">
        <f>'Raw Data'!C72</f>
        <v>0.65747812088706992</v>
      </c>
      <c r="R72" s="31">
        <f>'Raw Data'!C72/'Raw Data'!I$23*100</f>
        <v>11.189000087627573</v>
      </c>
      <c r="S72" s="36">
        <f t="shared" si="7"/>
        <v>0.16029227592101233</v>
      </c>
      <c r="T72" s="36">
        <f t="shared" si="8"/>
        <v>5.421722624634806E-3</v>
      </c>
      <c r="U72" s="3">
        <f t="shared" si="9"/>
        <v>5.9309806602559675E-2</v>
      </c>
      <c r="V72" s="3">
        <f t="shared" si="10"/>
        <v>3.3599268360067041</v>
      </c>
      <c r="W72" s="3">
        <f t="shared" si="11"/>
        <v>6.7170586557193561E-3</v>
      </c>
      <c r="X72" s="148">
        <f t="shared" si="12"/>
        <v>4.9626132077209695</v>
      </c>
      <c r="AS72" s="19"/>
      <c r="AT72" s="19"/>
    </row>
    <row r="73" spans="1:46" x14ac:dyDescent="0.2">
      <c r="A73" s="31">
        <f>'Raw Data'!A73</f>
        <v>206.83979797363281</v>
      </c>
      <c r="B73" s="110">
        <f>'Raw Data'!E73</f>
        <v>0.54943338289073507</v>
      </c>
      <c r="C73" s="110">
        <f t="shared" si="1"/>
        <v>0.45056661710926493</v>
      </c>
      <c r="D73" s="99">
        <f t="shared" si="2"/>
        <v>8.0567399156408204E-3</v>
      </c>
      <c r="E73" s="86">
        <f>(2*Table!$AC$16*0.147)/A73</f>
        <v>0.52809120011932775</v>
      </c>
      <c r="F73" s="86">
        <f t="shared" si="3"/>
        <v>1.0561824002386555</v>
      </c>
      <c r="G73" s="31">
        <f>IF((('Raw Data'!C73)/('Raw Data'!C$136)*100)&lt;0,0,('Raw Data'!C73)/('Raw Data'!C$136)*100)</f>
        <v>54.943338289073509</v>
      </c>
      <c r="H73" s="31">
        <f t="shared" si="4"/>
        <v>0.8056739915640847</v>
      </c>
      <c r="I73" s="8">
        <f t="shared" si="5"/>
        <v>3.9969335550760487E-2</v>
      </c>
      <c r="J73" s="86">
        <f>'Raw Data'!F73/I73</f>
        <v>0.2015730260366444</v>
      </c>
      <c r="K73" s="123">
        <f t="shared" si="6"/>
        <v>0.79162221880025585</v>
      </c>
      <c r="L73" s="31">
        <f>A73*Table!$AC$9/$AC$16</f>
        <v>38.970541443125221</v>
      </c>
      <c r="M73" s="31">
        <f>A73*Table!$AD$9/$AC$16</f>
        <v>13.361328494785791</v>
      </c>
      <c r="N73" s="31">
        <f>ABS(A73*Table!$AE$9/$AC$16)</f>
        <v>16.874739444490363</v>
      </c>
      <c r="O73" s="31">
        <f>($L73*(Table!$AC$10/Table!$AC$9)/(Table!$AC$12-Table!$AC$14))</f>
        <v>83.591894987398589</v>
      </c>
      <c r="P73" s="31">
        <f>$N73*(Table!$AE$10/Table!$AE$9)/(Table!$AC$12-Table!$AC$13)</f>
        <v>138.54465882175992</v>
      </c>
      <c r="Q73" s="31">
        <f>'Raw Data'!C73</f>
        <v>0.66726267714553977</v>
      </c>
      <c r="R73" s="31">
        <f>'Raw Data'!C73/'Raw Data'!I$23*100</f>
        <v>11.355514223011586</v>
      </c>
      <c r="S73" s="36">
        <f t="shared" si="7"/>
        <v>0.15425906399604492</v>
      </c>
      <c r="T73" s="36">
        <f t="shared" si="8"/>
        <v>4.3439997305929623E-3</v>
      </c>
      <c r="U73" s="3">
        <f t="shared" si="9"/>
        <v>5.4900045031271716E-2</v>
      </c>
      <c r="V73" s="3">
        <f t="shared" si="10"/>
        <v>2.9484266806816866</v>
      </c>
      <c r="W73" s="3">
        <f t="shared" si="11"/>
        <v>5.3774770572604415E-3</v>
      </c>
      <c r="X73" s="148">
        <f t="shared" si="12"/>
        <v>4.96799068477823</v>
      </c>
      <c r="AS73" s="19"/>
      <c r="AT73" s="19"/>
    </row>
    <row r="74" spans="1:46" x14ac:dyDescent="0.2">
      <c r="A74" s="31">
        <f>'Raw Data'!A74</f>
        <v>226.971923828125</v>
      </c>
      <c r="B74" s="110">
        <f>'Raw Data'!E74</f>
        <v>0.55687515403447463</v>
      </c>
      <c r="C74" s="110">
        <f t="shared" si="1"/>
        <v>0.44312484596552537</v>
      </c>
      <c r="D74" s="99">
        <f t="shared" si="2"/>
        <v>7.4417711437395617E-3</v>
      </c>
      <c r="E74" s="86">
        <f>(2*Table!$AC$16*0.147)/A74</f>
        <v>0.48125017095528483</v>
      </c>
      <c r="F74" s="86">
        <f t="shared" si="3"/>
        <v>0.96250034191056966</v>
      </c>
      <c r="G74" s="31">
        <f>IF((('Raw Data'!C74)/('Raw Data'!C$136)*100)&lt;0,0,('Raw Data'!C74)/('Raw Data'!C$136)*100)</f>
        <v>55.687515403447463</v>
      </c>
      <c r="H74" s="31">
        <f t="shared" si="4"/>
        <v>0.7441771143739544</v>
      </c>
      <c r="I74" s="8">
        <f t="shared" si="5"/>
        <v>4.0338033863862977E-2</v>
      </c>
      <c r="J74" s="86">
        <f>'Raw Data'!F74/I74</f>
        <v>0.18448522228066025</v>
      </c>
      <c r="K74" s="123">
        <f t="shared" si="6"/>
        <v>0.86867237207941683</v>
      </c>
      <c r="L74" s="31">
        <f>A74*Table!$AC$9/$AC$16</f>
        <v>42.763621172639915</v>
      </c>
      <c r="M74" s="31">
        <f>A74*Table!$AD$9/$AC$16</f>
        <v>14.661812973476541</v>
      </c>
      <c r="N74" s="31">
        <f>ABS(A74*Table!$AE$9/$AC$16)</f>
        <v>18.517191146660128</v>
      </c>
      <c r="O74" s="31">
        <f>($L74*(Table!$AC$10/Table!$AC$9)/(Table!$AC$12-Table!$AC$14))</f>
        <v>91.72805914337178</v>
      </c>
      <c r="P74" s="31">
        <f>$N74*(Table!$AE$10/Table!$AE$9)/(Table!$AC$12-Table!$AC$13)</f>
        <v>152.0294839627268</v>
      </c>
      <c r="Q74" s="31">
        <f>'Raw Data'!C74</f>
        <v>0.67630038087943101</v>
      </c>
      <c r="R74" s="31">
        <f>'Raw Data'!C74/'Raw Data'!I$23*100</f>
        <v>11.509318379618389</v>
      </c>
      <c r="S74" s="36">
        <f t="shared" si="7"/>
        <v>0.14248451149297581</v>
      </c>
      <c r="T74" s="36">
        <f t="shared" si="8"/>
        <v>3.5172995988376199E-3</v>
      </c>
      <c r="U74" s="3">
        <f t="shared" si="9"/>
        <v>5.070811484302281E-2</v>
      </c>
      <c r="V74" s="3">
        <f t="shared" si="10"/>
        <v>2.577857398264098</v>
      </c>
      <c r="W74" s="3">
        <f t="shared" si="11"/>
        <v>4.1249573673579759E-3</v>
      </c>
      <c r="X74" s="148">
        <f t="shared" si="12"/>
        <v>4.9721156421455879</v>
      </c>
      <c r="AS74" s="19"/>
      <c r="AT74" s="19"/>
    </row>
    <row r="75" spans="1:46" x14ac:dyDescent="0.2">
      <c r="A75" s="31">
        <f>'Raw Data'!A75</f>
        <v>248.83226013183594</v>
      </c>
      <c r="B75" s="110">
        <f>'Raw Data'!E75</f>
        <v>0.56362456648416492</v>
      </c>
      <c r="C75" s="110">
        <f t="shared" si="1"/>
        <v>0.43637543351583508</v>
      </c>
      <c r="D75" s="99">
        <f t="shared" si="2"/>
        <v>6.7494124496902952E-3</v>
      </c>
      <c r="E75" s="86">
        <f>(2*Table!$AC$16*0.147)/A75</f>
        <v>0.43897152678861989</v>
      </c>
      <c r="F75" s="86">
        <f t="shared" si="3"/>
        <v>0.87794305357723978</v>
      </c>
      <c r="G75" s="31">
        <f>IF((('Raw Data'!C75)/('Raw Data'!C$136)*100)&lt;0,0,('Raw Data'!C75)/('Raw Data'!C$136)*100)</f>
        <v>56.36245664841649</v>
      </c>
      <c r="H75" s="31">
        <f t="shared" si="4"/>
        <v>0.67494124496902685</v>
      </c>
      <c r="I75" s="8">
        <f t="shared" si="5"/>
        <v>3.99345454781182E-2</v>
      </c>
      <c r="J75" s="86">
        <f>'Raw Data'!F75/I75</f>
        <v>0.16901187603070578</v>
      </c>
      <c r="K75" s="123">
        <f t="shared" si="6"/>
        <v>0.95233677369843917</v>
      </c>
      <c r="L75" s="31">
        <f>A75*Table!$AC$9/$AC$16</f>
        <v>46.882311822265379</v>
      </c>
      <c r="M75" s="31">
        <f>A75*Table!$AD$9/$AC$16</f>
        <v>16.073935481919559</v>
      </c>
      <c r="N75" s="31">
        <f>ABS(A75*Table!$AE$9/$AC$16)</f>
        <v>20.300636513112671</v>
      </c>
      <c r="O75" s="31">
        <f>($L75*(Table!$AC$10/Table!$AC$9)/(Table!$AC$12-Table!$AC$14))</f>
        <v>100.56265942141867</v>
      </c>
      <c r="P75" s="31">
        <f>$N75*(Table!$AE$10/Table!$AE$9)/(Table!$AC$12-Table!$AC$13)</f>
        <v>166.67189255429119</v>
      </c>
      <c r="Q75" s="31">
        <f>'Raw Data'!C75</f>
        <v>0.6844972454322269</v>
      </c>
      <c r="R75" s="31">
        <f>'Raw Data'!C75/'Raw Data'!I$23*100</f>
        <v>11.648813087177269</v>
      </c>
      <c r="S75" s="36">
        <f t="shared" si="7"/>
        <v>0.12922820618687744</v>
      </c>
      <c r="T75" s="36">
        <f t="shared" si="8"/>
        <v>2.8934662693297364E-3</v>
      </c>
      <c r="U75" s="3">
        <f t="shared" si="9"/>
        <v>4.6813918263674939E-2</v>
      </c>
      <c r="V75" s="3">
        <f t="shared" si="10"/>
        <v>2.2520447084898993</v>
      </c>
      <c r="W75" s="3">
        <f t="shared" si="11"/>
        <v>3.1127198239257929E-3</v>
      </c>
      <c r="X75" s="148">
        <f t="shared" si="12"/>
        <v>4.9752283619695135</v>
      </c>
      <c r="AS75" s="19"/>
      <c r="AT75" s="19"/>
    </row>
    <row r="76" spans="1:46" x14ac:dyDescent="0.2">
      <c r="A76" s="31">
        <f>'Raw Data'!A76</f>
        <v>271.87994384765625</v>
      </c>
      <c r="B76" s="110">
        <f>'Raw Data'!E76</f>
        <v>0.56977765015295412</v>
      </c>
      <c r="C76" s="110">
        <f t="shared" si="1"/>
        <v>0.43022234984704588</v>
      </c>
      <c r="D76" s="99">
        <f t="shared" si="2"/>
        <v>6.1530836687891943E-3</v>
      </c>
      <c r="E76" s="86">
        <f>(2*Table!$AC$16*0.147)/A76</f>
        <v>0.40175923092561971</v>
      </c>
      <c r="F76" s="86">
        <f t="shared" si="3"/>
        <v>0.80351846185123943</v>
      </c>
      <c r="G76" s="31">
        <f>IF((('Raw Data'!C76)/('Raw Data'!C$136)*100)&lt;0,0,('Raw Data'!C76)/('Raw Data'!C$136)*100)</f>
        <v>56.977765015295411</v>
      </c>
      <c r="H76" s="31">
        <f t="shared" si="4"/>
        <v>0.61530836687892076</v>
      </c>
      <c r="I76" s="8">
        <f t="shared" si="5"/>
        <v>3.8470487299494927E-2</v>
      </c>
      <c r="J76" s="86">
        <f>'Raw Data'!F76/I76</f>
        <v>0.15994296149375725</v>
      </c>
      <c r="K76" s="123">
        <f t="shared" si="6"/>
        <v>1.0405454197136996</v>
      </c>
      <c r="L76" s="31">
        <f>A76*Table!$AC$9/$AC$16</f>
        <v>51.224709766059135</v>
      </c>
      <c r="M76" s="31">
        <f>A76*Table!$AD$9/$AC$16</f>
        <v>17.562757634077418</v>
      </c>
      <c r="N76" s="31">
        <f>ABS(A76*Table!$AE$9/$AC$16)</f>
        <v>22.180949979446023</v>
      </c>
      <c r="O76" s="31">
        <f>($L76*(Table!$AC$10/Table!$AC$9)/(Table!$AC$12-Table!$AC$14))</f>
        <v>109.87711232530918</v>
      </c>
      <c r="P76" s="31">
        <f>$N76*(Table!$AE$10/Table!$AE$9)/(Table!$AC$12-Table!$AC$13)</f>
        <v>182.10960574257814</v>
      </c>
      <c r="Q76" s="31">
        <f>'Raw Data'!C76</f>
        <v>0.69196989490964911</v>
      </c>
      <c r="R76" s="31">
        <f>'Raw Data'!C76/'Raw Data'!I$23*100</f>
        <v>11.775983061358126</v>
      </c>
      <c r="S76" s="36">
        <f t="shared" si="7"/>
        <v>0.11781054587527613</v>
      </c>
      <c r="T76" s="36">
        <f t="shared" si="8"/>
        <v>2.4170852472892301E-3</v>
      </c>
      <c r="U76" s="3">
        <f t="shared" si="9"/>
        <v>4.3313173067141053E-2</v>
      </c>
      <c r="V76" s="3">
        <f t="shared" si="10"/>
        <v>1.9746826798890431</v>
      </c>
      <c r="W76" s="3">
        <f t="shared" si="11"/>
        <v>2.3769820894581563E-3</v>
      </c>
      <c r="X76" s="148">
        <f t="shared" si="12"/>
        <v>4.977605344058972</v>
      </c>
      <c r="AS76" s="19"/>
      <c r="AT76" s="19"/>
    </row>
    <row r="77" spans="1:46" x14ac:dyDescent="0.2">
      <c r="A77" s="31">
        <f>'Raw Data'!A77</f>
        <v>297.96575927734375</v>
      </c>
      <c r="B77" s="110">
        <f>'Raw Data'!E77</f>
        <v>0.57571750590850168</v>
      </c>
      <c r="C77" s="110">
        <f t="shared" si="1"/>
        <v>0.42428249409149832</v>
      </c>
      <c r="D77" s="99">
        <f t="shared" si="2"/>
        <v>5.9398557555475628E-3</v>
      </c>
      <c r="E77" s="86">
        <f>(2*Table!$AC$16*0.147)/A77</f>
        <v>0.36658667562759961</v>
      </c>
      <c r="F77" s="86">
        <f t="shared" si="3"/>
        <v>0.73317335125519922</v>
      </c>
      <c r="G77" s="31">
        <f>IF((('Raw Data'!C77)/('Raw Data'!C$136)*100)&lt;0,0,('Raw Data'!C77)/('Raw Data'!C$136)*100)</f>
        <v>57.571750590850165</v>
      </c>
      <c r="H77" s="31">
        <f t="shared" si="4"/>
        <v>0.59398557555475406</v>
      </c>
      <c r="I77" s="8">
        <f t="shared" si="5"/>
        <v>3.9789188457666713E-2</v>
      </c>
      <c r="J77" s="86">
        <f>'Raw Data'!F77/I77</f>
        <v>0.14928315921464971</v>
      </c>
      <c r="K77" s="123">
        <f t="shared" si="6"/>
        <v>1.1403816760433234</v>
      </c>
      <c r="L77" s="31">
        <f>A77*Table!$AC$9/$AC$16</f>
        <v>56.139519977824769</v>
      </c>
      <c r="M77" s="31">
        <f>A77*Table!$AD$9/$AC$16</f>
        <v>19.247835420968492</v>
      </c>
      <c r="N77" s="31">
        <f>ABS(A77*Table!$AE$9/$AC$16)</f>
        <v>24.309125228530132</v>
      </c>
      <c r="O77" s="31">
        <f>($L77*(Table!$AC$10/Table!$AC$9)/(Table!$AC$12-Table!$AC$14))</f>
        <v>120.41939077182492</v>
      </c>
      <c r="P77" s="31">
        <f>$N77*(Table!$AE$10/Table!$AE$9)/(Table!$AC$12-Table!$AC$13)</f>
        <v>199.58230893702893</v>
      </c>
      <c r="Q77" s="31">
        <f>'Raw Data'!C77</f>
        <v>0.69918358846509365</v>
      </c>
      <c r="R77" s="31">
        <f>'Raw Data'!C77/'Raw Data'!I$23*100</f>
        <v>11.898746108917928</v>
      </c>
      <c r="S77" s="36">
        <f t="shared" si="7"/>
        <v>0.11372795928828343</v>
      </c>
      <c r="T77" s="36">
        <f t="shared" si="8"/>
        <v>2.0342083579015791E-3</v>
      </c>
      <c r="U77" s="3">
        <f t="shared" si="9"/>
        <v>3.9933266620218219E-2</v>
      </c>
      <c r="V77" s="3">
        <f t="shared" si="10"/>
        <v>1.7211951212491745</v>
      </c>
      <c r="W77" s="3">
        <f t="shared" si="11"/>
        <v>1.9104277173847032E-3</v>
      </c>
      <c r="X77" s="148">
        <f t="shared" si="12"/>
        <v>4.9795157717763567</v>
      </c>
      <c r="AS77" s="19"/>
      <c r="AT77" s="19"/>
    </row>
    <row r="78" spans="1:46" x14ac:dyDescent="0.2">
      <c r="A78" s="31">
        <f>'Raw Data'!A78</f>
        <v>325.71734619140625</v>
      </c>
      <c r="B78" s="110">
        <f>'Raw Data'!E78</f>
        <v>0.58138055402442046</v>
      </c>
      <c r="C78" s="110">
        <f t="shared" si="1"/>
        <v>0.41861944597557954</v>
      </c>
      <c r="D78" s="99">
        <f t="shared" si="2"/>
        <v>5.6630481159187784E-3</v>
      </c>
      <c r="E78" s="86">
        <f>(2*Table!$AC$16*0.147)/A78</f>
        <v>0.3353529629955489</v>
      </c>
      <c r="F78" s="86">
        <f t="shared" si="3"/>
        <v>0.6707059259910978</v>
      </c>
      <c r="G78" s="31">
        <f>IF((('Raw Data'!C78)/('Raw Data'!C$136)*100)&lt;0,0,('Raw Data'!C78)/('Raw Data'!C$136)*100)</f>
        <v>58.138055402442049</v>
      </c>
      <c r="H78" s="31">
        <f t="shared" si="4"/>
        <v>0.56630481159188406</v>
      </c>
      <c r="I78" s="8">
        <f t="shared" si="5"/>
        <v>3.8674527674071479E-2</v>
      </c>
      <c r="J78" s="86">
        <f>'Raw Data'!F78/I78</f>
        <v>0.14642837176045073</v>
      </c>
      <c r="K78" s="123">
        <f t="shared" si="6"/>
        <v>1.2465932128141086</v>
      </c>
      <c r="L78" s="31">
        <f>A78*Table!$AC$9/$AC$16</f>
        <v>61.368177028074015</v>
      </c>
      <c r="M78" s="31">
        <f>A78*Table!$AD$9/$AC$16</f>
        <v>21.040517838196806</v>
      </c>
      <c r="N78" s="31">
        <f>ABS(A78*Table!$AE$9/$AC$16)</f>
        <v>26.573200145126357</v>
      </c>
      <c r="O78" s="31">
        <f>($L78*(Table!$AC$10/Table!$AC$9)/(Table!$AC$12-Table!$AC$14))</f>
        <v>131.63487136009013</v>
      </c>
      <c r="P78" s="31">
        <f>$N78*(Table!$AE$10/Table!$AE$9)/(Table!$AC$12-Table!$AC$13)</f>
        <v>218.17077294849221</v>
      </c>
      <c r="Q78" s="31">
        <f>'Raw Data'!C78</f>
        <v>0.70606111131736538</v>
      </c>
      <c r="R78" s="31">
        <f>'Raw Data'!C78/'Raw Data'!I$23*100</f>
        <v>12.015788184314907</v>
      </c>
      <c r="S78" s="36">
        <f t="shared" si="7"/>
        <v>0.10842803799962476</v>
      </c>
      <c r="T78" s="36">
        <f t="shared" si="8"/>
        <v>1.7287271841863738E-3</v>
      </c>
      <c r="U78" s="3">
        <f t="shared" si="9"/>
        <v>3.6890231130809616E-2</v>
      </c>
      <c r="V78" s="3">
        <f t="shared" si="10"/>
        <v>1.5052895022917812</v>
      </c>
      <c r="W78" s="3">
        <f t="shared" si="11"/>
        <v>1.5242489624746997E-3</v>
      </c>
      <c r="X78" s="148">
        <f t="shared" si="12"/>
        <v>4.9810400207388312</v>
      </c>
      <c r="AS78" s="19"/>
      <c r="AT78" s="19"/>
    </row>
    <row r="79" spans="1:46" x14ac:dyDescent="0.2">
      <c r="A79" s="31">
        <f>'Raw Data'!A79</f>
        <v>356.8931884765625</v>
      </c>
      <c r="B79" s="110">
        <f>'Raw Data'!E79</f>
        <v>0.58687418197922525</v>
      </c>
      <c r="C79" s="110">
        <f t="shared" si="1"/>
        <v>0.41312581802077475</v>
      </c>
      <c r="D79" s="99">
        <f t="shared" si="2"/>
        <v>5.4936279548047917E-3</v>
      </c>
      <c r="E79" s="86">
        <f>(2*Table!$AC$16*0.147)/A79</f>
        <v>0.3060587331761539</v>
      </c>
      <c r="F79" s="86">
        <f t="shared" si="3"/>
        <v>0.61211746635230779</v>
      </c>
      <c r="G79" s="31">
        <f>IF((('Raw Data'!C79)/('Raw Data'!C$136)*100)&lt;0,0,('Raw Data'!C79)/('Raw Data'!C$136)*100)</f>
        <v>58.687418197922526</v>
      </c>
      <c r="H79" s="31">
        <f t="shared" si="4"/>
        <v>0.54936279548047651</v>
      </c>
      <c r="I79" s="8">
        <f t="shared" si="5"/>
        <v>3.9697371575018625E-2</v>
      </c>
      <c r="J79" s="86">
        <f>'Raw Data'!F79/I79</f>
        <v>0.13838770016355206</v>
      </c>
      <c r="K79" s="123">
        <f t="shared" si="6"/>
        <v>1.3659101415895287</v>
      </c>
      <c r="L79" s="31">
        <f>A79*Table!$AC$9/$AC$16</f>
        <v>67.241995634070207</v>
      </c>
      <c r="M79" s="31">
        <f>A79*Table!$AD$9/$AC$16</f>
        <v>23.054398503109784</v>
      </c>
      <c r="N79" s="31">
        <f>ABS(A79*Table!$AE$9/$AC$16)</f>
        <v>29.116638210133559</v>
      </c>
      <c r="O79" s="31">
        <f>($L79*(Table!$AC$10/Table!$AC$9)/(Table!$AC$12-Table!$AC$14))</f>
        <v>144.23422486930548</v>
      </c>
      <c r="P79" s="31">
        <f>$N79*(Table!$AE$10/Table!$AE$9)/(Table!$AC$12-Table!$AC$13)</f>
        <v>239.05285886809156</v>
      </c>
      <c r="Q79" s="31">
        <f>'Raw Data'!C79</f>
        <v>0.71273288083577058</v>
      </c>
      <c r="R79" s="31">
        <f>'Raw Data'!C79/'Raw Data'!I$23*100</f>
        <v>12.129328737763815</v>
      </c>
      <c r="S79" s="36">
        <f t="shared" si="7"/>
        <v>0.10518422030795933</v>
      </c>
      <c r="T79" s="36">
        <f t="shared" si="8"/>
        <v>1.4818967539859118E-3</v>
      </c>
      <c r="U79" s="3">
        <f t="shared" si="9"/>
        <v>3.3985879051206265E-2</v>
      </c>
      <c r="V79" s="3">
        <f t="shared" si="10"/>
        <v>1.3103842723016275</v>
      </c>
      <c r="W79" s="3">
        <f t="shared" si="11"/>
        <v>1.2316013539052683E-3</v>
      </c>
      <c r="X79" s="148">
        <f t="shared" si="12"/>
        <v>4.9822716220927363</v>
      </c>
      <c r="AS79" s="19"/>
      <c r="AT79" s="19"/>
    </row>
    <row r="80" spans="1:46" x14ac:dyDescent="0.2">
      <c r="A80" s="31">
        <f>'Raw Data'!A80</f>
        <v>391.62069702148437</v>
      </c>
      <c r="B80" s="110">
        <f>'Raw Data'!E80</f>
        <v>0.59222555737113491</v>
      </c>
      <c r="C80" s="110">
        <f t="shared" si="1"/>
        <v>0.40777444262886509</v>
      </c>
      <c r="D80" s="99">
        <f t="shared" si="2"/>
        <v>5.3513753919096629E-3</v>
      </c>
      <c r="E80" s="86">
        <f>(2*Table!$AC$16*0.147)/A80</f>
        <v>0.27891855046247122</v>
      </c>
      <c r="F80" s="86">
        <f t="shared" si="3"/>
        <v>0.55783710092494243</v>
      </c>
      <c r="G80" s="31">
        <f>IF((('Raw Data'!C80)/('Raw Data'!C$136)*100)&lt;0,0,('Raw Data'!C80)/('Raw Data'!C$136)*100)</f>
        <v>59.222555737113488</v>
      </c>
      <c r="H80" s="31">
        <f t="shared" si="4"/>
        <v>0.53513753919096274</v>
      </c>
      <c r="I80" s="8">
        <f t="shared" si="5"/>
        <v>4.0327376793638847E-2</v>
      </c>
      <c r="J80" s="86">
        <f>'Raw Data'!F80/I80</f>
        <v>0.13269832598568071</v>
      </c>
      <c r="K80" s="123">
        <f t="shared" si="6"/>
        <v>1.4988200923681521</v>
      </c>
      <c r="L80" s="31">
        <f>A80*Table!$AC$9/$AC$16</f>
        <v>73.784981192095572</v>
      </c>
      <c r="M80" s="31">
        <f>A80*Table!$AD$9/$AC$16</f>
        <v>25.297707837289909</v>
      </c>
      <c r="N80" s="31">
        <f>ABS(A80*Table!$AE$9/$AC$16)</f>
        <v>31.949834065055889</v>
      </c>
      <c r="O80" s="31">
        <f>($L80*(Table!$AC$10/Table!$AC$9)/(Table!$AC$12-Table!$AC$14))</f>
        <v>158.26894292598794</v>
      </c>
      <c r="P80" s="31">
        <f>$N80*(Table!$AE$10/Table!$AE$9)/(Table!$AC$12-Table!$AC$13)</f>
        <v>262.31390858009757</v>
      </c>
      <c r="Q80" s="31">
        <f>'Raw Data'!C80</f>
        <v>0.71923189087340145</v>
      </c>
      <c r="R80" s="31">
        <f>'Raw Data'!C80/'Raw Data'!I$23*100</f>
        <v>12.239929260534725</v>
      </c>
      <c r="S80" s="36">
        <f t="shared" si="7"/>
        <v>0.10246056937308914</v>
      </c>
      <c r="T80" s="36">
        <f t="shared" si="8"/>
        <v>1.2822096036100294E-3</v>
      </c>
      <c r="U80" s="3">
        <f t="shared" si="9"/>
        <v>3.1254551543437044E-2</v>
      </c>
      <c r="V80" s="3">
        <f t="shared" si="10"/>
        <v>1.1372900466569549</v>
      </c>
      <c r="W80" s="3">
        <f t="shared" si="11"/>
        <v>9.9637214325927546E-4</v>
      </c>
      <c r="X80" s="148">
        <f t="shared" si="12"/>
        <v>4.9832679942359954</v>
      </c>
      <c r="AS80" s="19"/>
      <c r="AT80" s="19"/>
    </row>
    <row r="81" spans="1:46" x14ac:dyDescent="0.2">
      <c r="A81" s="31">
        <f>'Raw Data'!A81</f>
        <v>428.0755615234375</v>
      </c>
      <c r="B81" s="110">
        <f>'Raw Data'!E81</f>
        <v>0.59750969295745304</v>
      </c>
      <c r="C81" s="110">
        <f t="shared" si="1"/>
        <v>0.40249030704254696</v>
      </c>
      <c r="D81" s="99">
        <f t="shared" si="2"/>
        <v>5.2841355863181283E-3</v>
      </c>
      <c r="E81" s="86">
        <f>(2*Table!$AC$16*0.147)/A81</f>
        <v>0.25516587949007363</v>
      </c>
      <c r="F81" s="86">
        <f t="shared" si="3"/>
        <v>0.51033175898014727</v>
      </c>
      <c r="G81" s="31">
        <f>IF((('Raw Data'!C81)/('Raw Data'!C$136)*100)&lt;0,0,('Raw Data'!C81)/('Raw Data'!C$136)*100)</f>
        <v>59.750969295745307</v>
      </c>
      <c r="H81" s="31">
        <f t="shared" si="4"/>
        <v>0.5284135586318186</v>
      </c>
      <c r="I81" s="8">
        <f t="shared" si="5"/>
        <v>3.8654798978239868E-2</v>
      </c>
      <c r="J81" s="86">
        <f>'Raw Data'!F81/I81</f>
        <v>0.13670063552245484</v>
      </c>
      <c r="K81" s="123">
        <f t="shared" si="6"/>
        <v>1.6383410211537119</v>
      </c>
      <c r="L81" s="31">
        <f>A81*Table!$AC$9/$AC$16</f>
        <v>80.653416675957232</v>
      </c>
      <c r="M81" s="31">
        <f>A81*Table!$AD$9/$AC$16</f>
        <v>27.652600003185338</v>
      </c>
      <c r="N81" s="31">
        <f>ABS(A81*Table!$AE$9/$AC$16)</f>
        <v>34.923953871695225</v>
      </c>
      <c r="O81" s="31">
        <f>($L81*(Table!$AC$10/Table!$AC$9)/(Table!$AC$12-Table!$AC$14))</f>
        <v>173.00175177168006</v>
      </c>
      <c r="P81" s="31">
        <f>$N81*(Table!$AE$10/Table!$AE$9)/(Table!$AC$12-Table!$AC$13)</f>
        <v>286.73196938994431</v>
      </c>
      <c r="Q81" s="31">
        <f>'Raw Data'!C81</f>
        <v>0.72564924112462903</v>
      </c>
      <c r="R81" s="31">
        <f>'Raw Data'!C81/'Raw Data'!I$23*100</f>
        <v>12.349140092412208</v>
      </c>
      <c r="S81" s="36">
        <f t="shared" si="7"/>
        <v>0.10117315665002358</v>
      </c>
      <c r="T81" s="36">
        <f t="shared" si="8"/>
        <v>1.1171848636909454E-3</v>
      </c>
      <c r="U81" s="3">
        <f t="shared" si="9"/>
        <v>2.8848038062401937E-2</v>
      </c>
      <c r="V81" s="3">
        <f t="shared" si="10"/>
        <v>0.99318357617255737</v>
      </c>
      <c r="W81" s="3">
        <f t="shared" si="11"/>
        <v>8.2341829954779447E-4</v>
      </c>
      <c r="X81" s="148">
        <f t="shared" si="12"/>
        <v>4.9840914125355429</v>
      </c>
      <c r="AS81" s="19"/>
      <c r="AT81" s="19"/>
    </row>
    <row r="82" spans="1:46" x14ac:dyDescent="0.2">
      <c r="A82" s="31">
        <f>'Raw Data'!A82</f>
        <v>467.8653564453125</v>
      </c>
      <c r="B82" s="110">
        <f>'Raw Data'!E82</f>
        <v>0.60263765258678892</v>
      </c>
      <c r="C82" s="110">
        <f t="shared" si="1"/>
        <v>0.39736234741321108</v>
      </c>
      <c r="D82" s="99">
        <f t="shared" si="2"/>
        <v>5.1279596293358765E-3</v>
      </c>
      <c r="E82" s="86">
        <f>(2*Table!$AC$16*0.147)/A82</f>
        <v>0.23346519600047086</v>
      </c>
      <c r="F82" s="86">
        <f t="shared" si="3"/>
        <v>0.46693039200094172</v>
      </c>
      <c r="G82" s="31">
        <f>IF((('Raw Data'!C82)/('Raw Data'!C$136)*100)&lt;0,0,('Raw Data'!C82)/('Raw Data'!C$136)*100)</f>
        <v>60.263765258678895</v>
      </c>
      <c r="H82" s="31">
        <f t="shared" si="4"/>
        <v>0.51279596293358765</v>
      </c>
      <c r="I82" s="8">
        <f t="shared" si="5"/>
        <v>3.8600453584270555E-2</v>
      </c>
      <c r="J82" s="86">
        <f>'Raw Data'!F82/I82</f>
        <v>0.13284713398874382</v>
      </c>
      <c r="K82" s="123">
        <f t="shared" si="6"/>
        <v>1.7906254753556885</v>
      </c>
      <c r="L82" s="31">
        <f>A82*Table!$AC$9/$AC$16</f>
        <v>88.150184064088464</v>
      </c>
      <c r="M82" s="31">
        <f>A82*Table!$AD$9/$AC$16</f>
        <v>30.222920250544618</v>
      </c>
      <c r="N82" s="31">
        <f>ABS(A82*Table!$AE$9/$AC$16)</f>
        <v>38.170149373887405</v>
      </c>
      <c r="O82" s="31">
        <f>($L82*(Table!$AC$10/Table!$AC$9)/(Table!$AC$12-Table!$AC$14))</f>
        <v>189.08233389980367</v>
      </c>
      <c r="P82" s="31">
        <f>$N82*(Table!$AE$10/Table!$AE$9)/(Table!$AC$12-Table!$AC$13)</f>
        <v>313.38382080367319</v>
      </c>
      <c r="Q82" s="31">
        <f>'Raw Data'!C82</f>
        <v>0.73187692254537251</v>
      </c>
      <c r="R82" s="31">
        <f>'Raw Data'!C82/'Raw Data'!I$23*100</f>
        <v>12.455123129335782</v>
      </c>
      <c r="S82" s="36">
        <f t="shared" si="7"/>
        <v>9.8182920252296635E-2</v>
      </c>
      <c r="T82" s="36">
        <f t="shared" si="8"/>
        <v>9.8311881966106629E-4</v>
      </c>
      <c r="U82" s="3">
        <f t="shared" si="9"/>
        <v>2.6621169868112745E-2</v>
      </c>
      <c r="V82" s="3">
        <f t="shared" si="10"/>
        <v>0.86702572577907389</v>
      </c>
      <c r="W82" s="3">
        <f t="shared" si="11"/>
        <v>6.6894475371570984E-4</v>
      </c>
      <c r="X82" s="148">
        <f t="shared" si="12"/>
        <v>4.9847603572892583</v>
      </c>
      <c r="AS82" s="19"/>
      <c r="AT82" s="19"/>
    </row>
    <row r="83" spans="1:46" x14ac:dyDescent="0.2">
      <c r="A83" s="31">
        <f>'Raw Data'!A83</f>
        <v>511.60244750976563</v>
      </c>
      <c r="B83" s="110">
        <f>'Raw Data'!E83</f>
        <v>0.60781802304102162</v>
      </c>
      <c r="C83" s="110">
        <f t="shared" si="1"/>
        <v>0.39218197695897838</v>
      </c>
      <c r="D83" s="99">
        <f t="shared" si="2"/>
        <v>5.1803704542326967E-3</v>
      </c>
      <c r="E83" s="86">
        <f>(2*Table!$AC$16*0.147)/A83</f>
        <v>0.21350616611788203</v>
      </c>
      <c r="F83" s="86">
        <f t="shared" si="3"/>
        <v>0.42701233223576407</v>
      </c>
      <c r="G83" s="31">
        <f>IF((('Raw Data'!C83)/('Raw Data'!C$136)*100)&lt;0,0,('Raw Data'!C83)/('Raw Data'!C$136)*100)</f>
        <v>60.781802304102165</v>
      </c>
      <c r="H83" s="31">
        <f t="shared" si="4"/>
        <v>0.51803704542327011</v>
      </c>
      <c r="I83" s="8">
        <f t="shared" si="5"/>
        <v>3.8811724862755415E-2</v>
      </c>
      <c r="J83" s="86">
        <f>'Raw Data'!F83/I83</f>
        <v>0.13347436818516392</v>
      </c>
      <c r="K83" s="123">
        <f t="shared" si="6"/>
        <v>1.9580171157049258</v>
      </c>
      <c r="L83" s="31">
        <f>A83*Table!$AC$9/$AC$16</f>
        <v>96.390658753327386</v>
      </c>
      <c r="M83" s="31">
        <f>A83*Table!$AD$9/$AC$16</f>
        <v>33.048225858283679</v>
      </c>
      <c r="N83" s="31">
        <f>ABS(A83*Table!$AE$9/$AC$16)</f>
        <v>41.738379583949197</v>
      </c>
      <c r="O83" s="31">
        <f>($L83*(Table!$AC$10/Table!$AC$9)/(Table!$AC$12-Table!$AC$14))</f>
        <v>206.75816978405703</v>
      </c>
      <c r="P83" s="31">
        <f>$N83*(Table!$AE$10/Table!$AE$9)/(Table!$AC$12-Table!$AC$13)</f>
        <v>342.67963533620019</v>
      </c>
      <c r="Q83" s="31">
        <f>'Raw Data'!C83</f>
        <v>0.7381682546077063</v>
      </c>
      <c r="R83" s="31">
        <f>'Raw Data'!C83/'Raw Data'!I$23*100</f>
        <v>12.562189376501195</v>
      </c>
      <c r="S83" s="36">
        <f t="shared" si="7"/>
        <v>9.9186408620606584E-2</v>
      </c>
      <c r="T83" s="36">
        <f t="shared" si="8"/>
        <v>8.6984968957226627E-4</v>
      </c>
      <c r="U83" s="3">
        <f t="shared" si="9"/>
        <v>2.4554592022864401E-2</v>
      </c>
      <c r="V83" s="3">
        <f t="shared" si="10"/>
        <v>0.75628820936050623</v>
      </c>
      <c r="W83" s="3">
        <f t="shared" si="11"/>
        <v>5.6517510365254044E-4</v>
      </c>
      <c r="X83" s="148">
        <f t="shared" si="12"/>
        <v>4.9853255323929107</v>
      </c>
      <c r="AS83" s="19"/>
      <c r="AT83" s="19"/>
    </row>
    <row r="84" spans="1:46" x14ac:dyDescent="0.2">
      <c r="A84" s="31">
        <f>'Raw Data'!A84</f>
        <v>560.50360107421875</v>
      </c>
      <c r="B84" s="110">
        <f>'Raw Data'!E84</f>
        <v>0.61300182717780705</v>
      </c>
      <c r="C84" s="110">
        <f t="shared" si="1"/>
        <v>0.38699817282219295</v>
      </c>
      <c r="D84" s="99">
        <f t="shared" si="2"/>
        <v>5.1838041367854304E-3</v>
      </c>
      <c r="E84" s="86">
        <f>(2*Table!$AC$16*0.147)/A84</f>
        <v>0.19487881422169737</v>
      </c>
      <c r="F84" s="86">
        <f t="shared" si="3"/>
        <v>0.38975762844339473</v>
      </c>
      <c r="G84" s="31">
        <f>IF((('Raw Data'!C84)/('Raw Data'!C$136)*100)&lt;0,0,('Raw Data'!C84)/('Raw Data'!C$136)*100)</f>
        <v>61.300182717780707</v>
      </c>
      <c r="H84" s="31">
        <f t="shared" si="4"/>
        <v>0.5183804136785426</v>
      </c>
      <c r="I84" s="8">
        <f t="shared" si="5"/>
        <v>3.9645793677438146E-2</v>
      </c>
      <c r="J84" s="86">
        <f>'Raw Data'!F84/I84</f>
        <v>0.13075294138292051</v>
      </c>
      <c r="K84" s="123">
        <f t="shared" si="6"/>
        <v>2.1451727794883491</v>
      </c>
      <c r="L84" s="31">
        <f>A84*Table!$AC$9/$AC$16</f>
        <v>105.60409084072037</v>
      </c>
      <c r="M84" s="31">
        <f>A84*Table!$AD$9/$AC$16</f>
        <v>36.207116859675558</v>
      </c>
      <c r="N84" s="31">
        <f>ABS(A84*Table!$AE$9/$AC$16)</f>
        <v>45.727912705811704</v>
      </c>
      <c r="O84" s="31">
        <f>($L84*(Table!$AC$10/Table!$AC$9)/(Table!$AC$12-Table!$AC$14))</f>
        <v>226.52100137434661</v>
      </c>
      <c r="P84" s="31">
        <f>$N84*(Table!$AE$10/Table!$AE$9)/(Table!$AC$12-Table!$AC$13)</f>
        <v>375.43442287201714</v>
      </c>
      <c r="Q84" s="31">
        <f>'Raw Data'!C84</f>
        <v>0.74446375672647258</v>
      </c>
      <c r="R84" s="31">
        <f>'Raw Data'!C84/'Raw Data'!I$23*100</f>
        <v>12.669326589924355</v>
      </c>
      <c r="S84" s="36">
        <f t="shared" si="7"/>
        <v>9.9252151919036261E-2</v>
      </c>
      <c r="T84" s="36">
        <f t="shared" si="8"/>
        <v>7.75420177869246E-4</v>
      </c>
      <c r="U84" s="3">
        <f t="shared" si="9"/>
        <v>2.2603470460570249E-2</v>
      </c>
      <c r="V84" s="3">
        <f t="shared" si="10"/>
        <v>0.65748073352314851</v>
      </c>
      <c r="W84" s="3">
        <f t="shared" si="11"/>
        <v>4.7117170426489075E-4</v>
      </c>
      <c r="X84" s="148">
        <f t="shared" si="12"/>
        <v>4.9857967040971758</v>
      </c>
      <c r="AS84" s="19"/>
      <c r="AT84" s="19"/>
    </row>
    <row r="85" spans="1:46" x14ac:dyDescent="0.2">
      <c r="A85" s="31">
        <f>'Raw Data'!A85</f>
        <v>612.85626220703125</v>
      </c>
      <c r="B85" s="110">
        <f>'Raw Data'!E85</f>
        <v>0.61817548119803578</v>
      </c>
      <c r="C85" s="110">
        <f t="shared" si="1"/>
        <v>0.38182451880196422</v>
      </c>
      <c r="D85" s="99">
        <f t="shared" si="2"/>
        <v>5.1736540202287351E-3</v>
      </c>
      <c r="E85" s="86">
        <f>(2*Table!$AC$16*0.147)/A85</f>
        <v>0.17823147755882041</v>
      </c>
      <c r="F85" s="86">
        <f t="shared" si="3"/>
        <v>0.35646295511764081</v>
      </c>
      <c r="G85" s="31">
        <f>IF((('Raw Data'!C85)/('Raw Data'!C$136)*100)&lt;0,0,('Raw Data'!C85)/('Raw Data'!C$136)*100)</f>
        <v>61.817548119803575</v>
      </c>
      <c r="H85" s="31">
        <f t="shared" si="4"/>
        <v>0.51736540202286818</v>
      </c>
      <c r="I85" s="8">
        <f t="shared" si="5"/>
        <v>3.8780220950061728E-2</v>
      </c>
      <c r="J85" s="86">
        <f>'Raw Data'!F85/I85</f>
        <v>0.13340960658504192</v>
      </c>
      <c r="K85" s="123">
        <f t="shared" si="6"/>
        <v>2.3455381355371792</v>
      </c>
      <c r="L85" s="31">
        <f>A85*Table!$AC$9/$AC$16</f>
        <v>115.46781905125673</v>
      </c>
      <c r="M85" s="31">
        <f>A85*Table!$AD$9/$AC$16</f>
        <v>39.588966531859448</v>
      </c>
      <c r="N85" s="31">
        <f>ABS(A85*Table!$AE$9/$AC$16)</f>
        <v>49.99903230898655</v>
      </c>
      <c r="O85" s="31">
        <f>($L85*(Table!$AC$10/Table!$AC$9)/(Table!$AC$12-Table!$AC$14))</f>
        <v>247.67871954366527</v>
      </c>
      <c r="P85" s="31">
        <f>$N85*(Table!$AE$10/Table!$AE$9)/(Table!$AC$12-Table!$AC$13)</f>
        <v>410.50108628067767</v>
      </c>
      <c r="Q85" s="31">
        <f>'Raw Data'!C85</f>
        <v>0.75074693197512532</v>
      </c>
      <c r="R85" s="31">
        <f>'Raw Data'!C85/'Raw Data'!I$23*100</f>
        <v>12.776254023970225</v>
      </c>
      <c r="S85" s="36">
        <f t="shared" si="7"/>
        <v>9.905781183906831E-2</v>
      </c>
      <c r="T85" s="36">
        <f t="shared" si="8"/>
        <v>6.9658934759564417E-4</v>
      </c>
      <c r="U85" s="3">
        <f t="shared" si="9"/>
        <v>2.0847064494307527E-2</v>
      </c>
      <c r="V85" s="3">
        <f t="shared" si="10"/>
        <v>0.57342660449727234</v>
      </c>
      <c r="W85" s="3">
        <f t="shared" si="11"/>
        <v>3.9333949714212232E-4</v>
      </c>
      <c r="X85" s="148">
        <f t="shared" si="12"/>
        <v>4.9861900435943181</v>
      </c>
      <c r="AS85" s="19"/>
      <c r="AT85" s="19"/>
    </row>
    <row r="86" spans="1:46" x14ac:dyDescent="0.2">
      <c r="A86" s="31">
        <f>'Raw Data'!A86</f>
        <v>670.787109375</v>
      </c>
      <c r="B86" s="110">
        <f>'Raw Data'!E86</f>
        <v>0.62338015155956417</v>
      </c>
      <c r="C86" s="110">
        <f t="shared" si="1"/>
        <v>0.37661984844043583</v>
      </c>
      <c r="D86" s="99">
        <f t="shared" si="2"/>
        <v>5.2046703615283851E-3</v>
      </c>
      <c r="E86" s="86">
        <f>(2*Table!$AC$16*0.147)/A86</f>
        <v>0.16283896279120419</v>
      </c>
      <c r="F86" s="86">
        <f t="shared" si="3"/>
        <v>0.32567792558240838</v>
      </c>
      <c r="G86" s="31">
        <f>IF((('Raw Data'!C86)/('Raw Data'!C$136)*100)&lt;0,0,('Raw Data'!C86)/('Raw Data'!C$136)*100)</f>
        <v>62.33801515595642</v>
      </c>
      <c r="H86" s="31">
        <f t="shared" si="4"/>
        <v>0.52046703615284429</v>
      </c>
      <c r="I86" s="8">
        <f t="shared" si="5"/>
        <v>3.9226079999540975E-2</v>
      </c>
      <c r="J86" s="86">
        <f>'Raw Data'!F86/I86</f>
        <v>0.13268392767233664</v>
      </c>
      <c r="K86" s="123">
        <f t="shared" si="6"/>
        <v>2.5672524585125469</v>
      </c>
      <c r="L86" s="31">
        <f>A86*Table!$AC$9/$AC$16</f>
        <v>126.38252938510877</v>
      </c>
      <c r="M86" s="31">
        <f>A86*Table!$AD$9/$AC$16</f>
        <v>43.331152932037291</v>
      </c>
      <c r="N86" s="31">
        <f>ABS(A86*Table!$AE$9/$AC$16)</f>
        <v>54.725240521018755</v>
      </c>
      <c r="O86" s="31">
        <f>($L86*(Table!$AC$10/Table!$AC$9)/(Table!$AC$12-Table!$AC$14))</f>
        <v>271.09079662185496</v>
      </c>
      <c r="P86" s="31">
        <f>$N86*(Table!$AE$10/Table!$AE$9)/(Table!$AC$12-Table!$AC$13)</f>
        <v>449.30410936797</v>
      </c>
      <c r="Q86" s="31">
        <f>'Raw Data'!C86</f>
        <v>0.75706777520605828</v>
      </c>
      <c r="R86" s="31">
        <f>'Raw Data'!C86/'Raw Data'!I$23*100</f>
        <v>12.883822493882757</v>
      </c>
      <c r="S86" s="36">
        <f t="shared" si="7"/>
        <v>9.9651668886405476E-2</v>
      </c>
      <c r="T86" s="36">
        <f t="shared" si="8"/>
        <v>6.3039212219562213E-4</v>
      </c>
      <c r="U86" s="3">
        <f t="shared" si="9"/>
        <v>1.9207021592718362E-2</v>
      </c>
      <c r="V86" s="3">
        <f t="shared" si="10"/>
        <v>0.49923358880497692</v>
      </c>
      <c r="W86" s="3">
        <f t="shared" si="11"/>
        <v>3.303020310791586E-4</v>
      </c>
      <c r="X86" s="148">
        <f t="shared" si="12"/>
        <v>4.9865203456253973</v>
      </c>
      <c r="AS86" s="19"/>
      <c r="AT86" s="19"/>
    </row>
    <row r="87" spans="1:46" x14ac:dyDescent="0.2">
      <c r="A87" s="31">
        <f>'Raw Data'!A87</f>
        <v>733.86871337890625</v>
      </c>
      <c r="B87" s="110">
        <f>'Raw Data'!E87</f>
        <v>0.62872997990768631</v>
      </c>
      <c r="C87" s="110">
        <f t="shared" si="1"/>
        <v>0.37127002009231369</v>
      </c>
      <c r="D87" s="99">
        <f t="shared" si="2"/>
        <v>5.3498283481221431E-3</v>
      </c>
      <c r="E87" s="86">
        <f>(2*Table!$AC$16*0.147)/A87</f>
        <v>0.14884171399188398</v>
      </c>
      <c r="F87" s="86">
        <f t="shared" si="3"/>
        <v>0.29768342798376796</v>
      </c>
      <c r="G87" s="31">
        <f>IF((('Raw Data'!C87)/('Raw Data'!C$136)*100)&lt;0,0,('Raw Data'!C87)/('Raw Data'!C$136)*100)</f>
        <v>62.872997990768631</v>
      </c>
      <c r="H87" s="31">
        <f t="shared" si="4"/>
        <v>0.53498283481221165</v>
      </c>
      <c r="I87" s="8">
        <f t="shared" si="5"/>
        <v>3.9033664950051006E-2</v>
      </c>
      <c r="J87" s="86">
        <f>'Raw Data'!F87/I87</f>
        <v>0.13705677791127202</v>
      </c>
      <c r="K87" s="123">
        <f t="shared" si="6"/>
        <v>2.8086798811665621</v>
      </c>
      <c r="L87" s="31">
        <f>A87*Table!$AC$9/$AC$16</f>
        <v>138.26769020626961</v>
      </c>
      <c r="M87" s="31">
        <f>A87*Table!$AD$9/$AC$16</f>
        <v>47.406065213578145</v>
      </c>
      <c r="N87" s="31">
        <f>ABS(A87*Table!$AE$9/$AC$16)</f>
        <v>59.871666120613156</v>
      </c>
      <c r="O87" s="31">
        <f>($L87*(Table!$AC$10/Table!$AC$9)/(Table!$AC$12-Table!$AC$14))</f>
        <v>296.58449207694042</v>
      </c>
      <c r="P87" s="31">
        <f>$N87*(Table!$AE$10/Table!$AE$9)/(Table!$AC$12-Table!$AC$13)</f>
        <v>491.55719310848229</v>
      </c>
      <c r="Q87" s="31">
        <f>'Raw Data'!C87</f>
        <v>0.76356490642705466</v>
      </c>
      <c r="R87" s="31">
        <f>'Raw Data'!C87/'Raw Data'!I$23*100</f>
        <v>12.99439104284523</v>
      </c>
      <c r="S87" s="36">
        <f t="shared" si="7"/>
        <v>0.10243094876610388</v>
      </c>
      <c r="T87" s="36">
        <f t="shared" si="8"/>
        <v>5.7354361355688166E-4</v>
      </c>
      <c r="U87" s="3">
        <f t="shared" si="9"/>
        <v>1.7706697132537454E-2</v>
      </c>
      <c r="V87" s="3">
        <f t="shared" si="10"/>
        <v>0.43508439585310454</v>
      </c>
      <c r="W87" s="3">
        <f t="shared" si="11"/>
        <v>2.8365505886050957E-4</v>
      </c>
      <c r="X87" s="148">
        <f t="shared" si="12"/>
        <v>4.9868040006842573</v>
      </c>
      <c r="AS87" s="19"/>
      <c r="AT87" s="19"/>
    </row>
    <row r="88" spans="1:46" x14ac:dyDescent="0.2">
      <c r="A88" s="31">
        <f>'Raw Data'!A88</f>
        <v>803.683837890625</v>
      </c>
      <c r="B88" s="110">
        <f>'Raw Data'!E88</f>
        <v>0.63434839015042077</v>
      </c>
      <c r="C88" s="110">
        <f t="shared" si="1"/>
        <v>0.36565160984957923</v>
      </c>
      <c r="D88" s="99">
        <f t="shared" si="2"/>
        <v>5.6184102427344618E-3</v>
      </c>
      <c r="E88" s="86">
        <f>(2*Table!$AC$16*0.147)/A88</f>
        <v>0.13591199921479624</v>
      </c>
      <c r="F88" s="86">
        <f t="shared" si="3"/>
        <v>0.27182399842959248</v>
      </c>
      <c r="G88" s="31">
        <f>IF((('Raw Data'!C88)/('Raw Data'!C$136)*100)&lt;0,0,('Raw Data'!C88)/('Raw Data'!C$136)*100)</f>
        <v>63.43483901504208</v>
      </c>
      <c r="H88" s="31">
        <f t="shared" si="4"/>
        <v>0.5618410242734484</v>
      </c>
      <c r="I88" s="8">
        <f t="shared" si="5"/>
        <v>3.9466861682268983E-2</v>
      </c>
      <c r="J88" s="86">
        <f>'Raw Data'!F88/I88</f>
        <v>0.14235766420866972</v>
      </c>
      <c r="K88" s="123">
        <f t="shared" si="6"/>
        <v>3.0758779944562891</v>
      </c>
      <c r="L88" s="31">
        <f>A88*Table!$AC$9/$AC$16</f>
        <v>151.42150890941738</v>
      </c>
      <c r="M88" s="31">
        <f>A88*Table!$AD$9/$AC$16</f>
        <v>51.91594591180025</v>
      </c>
      <c r="N88" s="31">
        <f>ABS(A88*Table!$AE$9/$AC$16)</f>
        <v>65.567436697463592</v>
      </c>
      <c r="O88" s="31">
        <f>($L88*(Table!$AC$10/Table!$AC$9)/(Table!$AC$12-Table!$AC$14))</f>
        <v>324.79946141016177</v>
      </c>
      <c r="P88" s="31">
        <f>$N88*(Table!$AE$10/Table!$AE$9)/(Table!$AC$12-Table!$AC$13)</f>
        <v>538.32049833713938</v>
      </c>
      <c r="Q88" s="31">
        <f>'Raw Data'!C88</f>
        <v>0.77038821854570416</v>
      </c>
      <c r="R88" s="31">
        <f>'Raw Data'!C88/'Raw Data'!I$23*100</f>
        <v>13.110510556891528</v>
      </c>
      <c r="S88" s="36">
        <f t="shared" si="7"/>
        <v>0.10757337512006236</v>
      </c>
      <c r="T88" s="36">
        <f t="shared" si="8"/>
        <v>5.2376314821656056E-4</v>
      </c>
      <c r="U88" s="3">
        <f t="shared" si="9"/>
        <v>1.6313020044426679E-2</v>
      </c>
      <c r="V88" s="3">
        <f t="shared" si="10"/>
        <v>0.37876384363565879</v>
      </c>
      <c r="W88" s="3">
        <f t="shared" si="11"/>
        <v>2.4838788500023171E-4</v>
      </c>
      <c r="X88" s="148">
        <f t="shared" si="12"/>
        <v>4.9870523885692579</v>
      </c>
      <c r="AS88" s="19"/>
      <c r="AT88" s="19"/>
    </row>
    <row r="89" spans="1:46" x14ac:dyDescent="0.2">
      <c r="A89" s="31">
        <f>'Raw Data'!A89</f>
        <v>878.5648193359375</v>
      </c>
      <c r="B89" s="110">
        <f>'Raw Data'!E89</f>
        <v>0.64010697765340885</v>
      </c>
      <c r="C89" s="110">
        <f t="shared" si="1"/>
        <v>0.35989302234659115</v>
      </c>
      <c r="D89" s="99">
        <f t="shared" si="2"/>
        <v>5.7585875029880773E-3</v>
      </c>
      <c r="E89" s="86">
        <f>(2*Table!$AC$16*0.147)/A89</f>
        <v>0.12432808000085488</v>
      </c>
      <c r="F89" s="86">
        <f t="shared" si="3"/>
        <v>0.24865616000170976</v>
      </c>
      <c r="G89" s="31">
        <f>IF((('Raw Data'!C89)/('Raw Data'!C$136)*100)&lt;0,0,('Raw Data'!C89)/('Raw Data'!C$136)*100)</f>
        <v>64.010697765340879</v>
      </c>
      <c r="H89" s="31">
        <f t="shared" si="4"/>
        <v>0.57585875029879929</v>
      </c>
      <c r="I89" s="8">
        <f t="shared" si="5"/>
        <v>3.8688573939852144E-2</v>
      </c>
      <c r="J89" s="86">
        <f>'Raw Data'!F89/I89</f>
        <v>0.14884465661465746</v>
      </c>
      <c r="K89" s="123">
        <f t="shared" si="6"/>
        <v>3.36246427648909</v>
      </c>
      <c r="L89" s="31">
        <f>A89*Table!$AC$9/$AC$16</f>
        <v>165.52978216874652</v>
      </c>
      <c r="M89" s="31">
        <f>A89*Table!$AD$9/$AC$16</f>
        <v>56.753068172141667</v>
      </c>
      <c r="N89" s="31">
        <f>ABS(A89*Table!$AE$9/$AC$16)</f>
        <v>71.676498220519449</v>
      </c>
      <c r="O89" s="31">
        <f>($L89*(Table!$AC$10/Table!$AC$9)/(Table!$AC$12-Table!$AC$14))</f>
        <v>355.06173781369915</v>
      </c>
      <c r="P89" s="31">
        <f>$N89*(Table!$AE$10/Table!$AE$9)/(Table!$AC$12-Table!$AC$13)</f>
        <v>588.47699688439593</v>
      </c>
      <c r="Q89" s="31">
        <f>'Raw Data'!C89</f>
        <v>0.7773817697813501</v>
      </c>
      <c r="R89" s="31">
        <f>'Raw Data'!C89/'Raw Data'!I$23*100</f>
        <v>13.229527209921585</v>
      </c>
      <c r="S89" s="36">
        <f t="shared" si="7"/>
        <v>0.11025729109434795</v>
      </c>
      <c r="T89" s="36">
        <f t="shared" si="8"/>
        <v>4.8106742962128468E-4</v>
      </c>
      <c r="U89" s="3">
        <f t="shared" si="9"/>
        <v>1.5058111728080704E-2</v>
      </c>
      <c r="V89" s="3">
        <f t="shared" si="10"/>
        <v>0.33081320500754952</v>
      </c>
      <c r="W89" s="3">
        <f t="shared" si="11"/>
        <v>2.1303736652362237E-4</v>
      </c>
      <c r="X89" s="148">
        <f t="shared" si="12"/>
        <v>4.9872654259357816</v>
      </c>
      <c r="AS89" s="19"/>
      <c r="AT89" s="19"/>
    </row>
    <row r="90" spans="1:46" x14ac:dyDescent="0.2">
      <c r="A90" s="31">
        <f>'Raw Data'!A90</f>
        <v>961.98388671875</v>
      </c>
      <c r="B90" s="110">
        <f>'Raw Data'!E90</f>
        <v>0.64692649759961363</v>
      </c>
      <c r="C90" s="110">
        <f t="shared" si="1"/>
        <v>0.35307350240038637</v>
      </c>
      <c r="D90" s="99">
        <f t="shared" si="2"/>
        <v>6.8195199462047773E-3</v>
      </c>
      <c r="E90" s="86">
        <f>(2*Table!$AC$16*0.147)/A90</f>
        <v>0.11354688852108612</v>
      </c>
      <c r="F90" s="86">
        <f t="shared" si="3"/>
        <v>0.22709377704217223</v>
      </c>
      <c r="G90" s="31">
        <f>IF((('Raw Data'!C90)/('Raw Data'!C$136)*100)&lt;0,0,('Raw Data'!C90)/('Raw Data'!C$136)*100)</f>
        <v>64.69264975996137</v>
      </c>
      <c r="H90" s="31">
        <f t="shared" si="4"/>
        <v>0.68195199462049061</v>
      </c>
      <c r="I90" s="8">
        <f t="shared" si="5"/>
        <v>3.939398896436852E-2</v>
      </c>
      <c r="J90" s="86">
        <f>'Raw Data'!F90/I90</f>
        <v>0.17311067311241232</v>
      </c>
      <c r="K90" s="123">
        <f t="shared" si="6"/>
        <v>3.6817277251037916</v>
      </c>
      <c r="L90" s="31">
        <f>A90*Table!$AC$9/$AC$16</f>
        <v>181.24671021855616</v>
      </c>
      <c r="M90" s="31">
        <f>A90*Table!$AD$9/$AC$16</f>
        <v>62.141729217790683</v>
      </c>
      <c r="N90" s="31">
        <f>ABS(A90*Table!$AE$9/$AC$16)</f>
        <v>78.482127700813137</v>
      </c>
      <c r="O90" s="31">
        <f>($L90*(Table!$AC$10/Table!$AC$9)/(Table!$AC$12-Table!$AC$14))</f>
        <v>388.77458219338524</v>
      </c>
      <c r="P90" s="31">
        <f>$N90*(Table!$AE$10/Table!$AE$9)/(Table!$AC$12-Table!$AC$13)</f>
        <v>644.35244417744764</v>
      </c>
      <c r="Q90" s="31">
        <f>'Raw Data'!C90</f>
        <v>0.78566377680504229</v>
      </c>
      <c r="R90" s="31">
        <f>'Raw Data'!C90/'Raw Data'!I$23*100</f>
        <v>13.370470876896839</v>
      </c>
      <c r="S90" s="36">
        <f t="shared" si="7"/>
        <v>0.13057052540093511</v>
      </c>
      <c r="T90" s="36">
        <f t="shared" si="8"/>
        <v>4.3889446000355825E-4</v>
      </c>
      <c r="U90" s="3">
        <f t="shared" si="9"/>
        <v>1.3898851177749395E-2</v>
      </c>
      <c r="V90" s="3">
        <f t="shared" si="10"/>
        <v>0.28890178394489063</v>
      </c>
      <c r="W90" s="3">
        <f t="shared" si="11"/>
        <v>2.1042902383313253E-4</v>
      </c>
      <c r="X90" s="148">
        <f t="shared" si="12"/>
        <v>4.987475854959615</v>
      </c>
      <c r="AS90" s="19"/>
      <c r="AT90" s="19"/>
    </row>
    <row r="91" spans="1:46" x14ac:dyDescent="0.2">
      <c r="A91" s="31">
        <f>'Raw Data'!A91</f>
        <v>1047.2935791015625</v>
      </c>
      <c r="B91" s="110">
        <f>'Raw Data'!E91</f>
        <v>0.65437343813356974</v>
      </c>
      <c r="C91" s="110">
        <f t="shared" si="1"/>
        <v>0.34562656186643026</v>
      </c>
      <c r="D91" s="99">
        <f t="shared" si="2"/>
        <v>7.4469405339561145E-3</v>
      </c>
      <c r="E91" s="86">
        <f>(2*Table!$AC$16*0.147)/A91</f>
        <v>0.10429766717183542</v>
      </c>
      <c r="F91" s="86">
        <f t="shared" si="3"/>
        <v>0.20859533434367084</v>
      </c>
      <c r="G91" s="31">
        <f>IF((('Raw Data'!C91)/('Raw Data'!C$136)*100)&lt;0,0,('Raw Data'!C91)/('Raw Data'!C$136)*100)</f>
        <v>65.437343813356975</v>
      </c>
      <c r="H91" s="31">
        <f t="shared" si="4"/>
        <v>0.74469405339560524</v>
      </c>
      <c r="I91" s="8">
        <f t="shared" si="5"/>
        <v>3.6900643263718891E-2</v>
      </c>
      <c r="J91" s="86">
        <f>'Raw Data'!F91/I91</f>
        <v>0.20181058852375147</v>
      </c>
      <c r="K91" s="123">
        <f t="shared" si="6"/>
        <v>4.0082270189092233</v>
      </c>
      <c r="L91" s="31">
        <f>A91*Table!$AC$9/$AC$16</f>
        <v>197.31984960021646</v>
      </c>
      <c r="M91" s="31">
        <f>A91*Table!$AD$9/$AC$16</f>
        <v>67.652519862931356</v>
      </c>
      <c r="N91" s="31">
        <f>ABS(A91*Table!$AE$9/$AC$16)</f>
        <v>85.442001212356089</v>
      </c>
      <c r="O91" s="31">
        <f>($L91*(Table!$AC$10/Table!$AC$9)/(Table!$AC$12-Table!$AC$14))</f>
        <v>423.25150064396502</v>
      </c>
      <c r="P91" s="31">
        <f>$N91*(Table!$AE$10/Table!$AE$9)/(Table!$AC$12-Table!$AC$13)</f>
        <v>701.4942628272255</v>
      </c>
      <c r="Q91" s="31">
        <f>'Raw Data'!C91</f>
        <v>0.79470775853598019</v>
      </c>
      <c r="R91" s="31">
        <f>'Raw Data'!C91/'Raw Data'!I$23*100</f>
        <v>13.524381872814754</v>
      </c>
      <c r="S91" s="36">
        <f t="shared" si="7"/>
        <v>0.14258348766753093</v>
      </c>
      <c r="T91" s="36">
        <f t="shared" si="8"/>
        <v>4.0003855949866107E-4</v>
      </c>
      <c r="U91" s="3">
        <f t="shared" si="9"/>
        <v>1.2913649183657614E-2</v>
      </c>
      <c r="V91" s="3">
        <f t="shared" si="10"/>
        <v>0.25512717942925267</v>
      </c>
      <c r="W91" s="3">
        <f t="shared" si="11"/>
        <v>1.938779575526589E-4</v>
      </c>
      <c r="X91" s="148">
        <f t="shared" si="12"/>
        <v>4.9876697329171673</v>
      </c>
      <c r="AS91" s="19"/>
      <c r="AT91" s="19"/>
    </row>
    <row r="92" spans="1:46" x14ac:dyDescent="0.2">
      <c r="A92" s="31">
        <f>'Raw Data'!A92</f>
        <v>1148.138427734375</v>
      </c>
      <c r="B92" s="110">
        <f>'Raw Data'!E92</f>
        <v>0.66436386958520399</v>
      </c>
      <c r="C92" s="110">
        <f t="shared" si="1"/>
        <v>0.33563613041479601</v>
      </c>
      <c r="D92" s="99">
        <f t="shared" si="2"/>
        <v>9.9904314516342518E-3</v>
      </c>
      <c r="E92" s="86">
        <f>(2*Table!$AC$16*0.147)/A92</f>
        <v>9.5136853279860586E-2</v>
      </c>
      <c r="F92" s="86">
        <f t="shared" si="3"/>
        <v>0.19027370655972117</v>
      </c>
      <c r="G92" s="31">
        <f>IF((('Raw Data'!C92)/('Raw Data'!C$136)*100)&lt;0,0,('Raw Data'!C92)/('Raw Data'!C$136)*100)</f>
        <v>66.436386958520401</v>
      </c>
      <c r="H92" s="31">
        <f t="shared" si="4"/>
        <v>0.99904314516342652</v>
      </c>
      <c r="I92" s="8">
        <f t="shared" si="5"/>
        <v>3.9925811943389733E-2</v>
      </c>
      <c r="J92" s="86">
        <f>'Raw Data'!F92/I92</f>
        <v>0.25022487872756471</v>
      </c>
      <c r="K92" s="123">
        <f t="shared" si="6"/>
        <v>4.3941828340442761</v>
      </c>
      <c r="L92" s="31">
        <f>A92*Table!$AC$9/$AC$16</f>
        <v>216.3199568884265</v>
      </c>
      <c r="M92" s="31">
        <f>A92*Table!$AD$9/$AC$16</f>
        <v>74.16684236174622</v>
      </c>
      <c r="N92" s="31">
        <f>ABS(A92*Table!$AE$9/$AC$16)</f>
        <v>93.66928900546597</v>
      </c>
      <c r="O92" s="31">
        <f>($L92*(Table!$AC$10/Table!$AC$9)/(Table!$AC$12-Table!$AC$14))</f>
        <v>464.00677153244641</v>
      </c>
      <c r="P92" s="31">
        <f>$N92*(Table!$AE$10/Table!$AE$9)/(Table!$AC$12-Table!$AC$13)</f>
        <v>769.04178165407188</v>
      </c>
      <c r="Q92" s="31">
        <f>'Raw Data'!C92</f>
        <v>0.8068406981130829</v>
      </c>
      <c r="R92" s="31">
        <f>'Raw Data'!C92/'Raw Data'!I$23*100</f>
        <v>13.730860929194941</v>
      </c>
      <c r="S92" s="36">
        <f t="shared" si="7"/>
        <v>0.19128265536460104</v>
      </c>
      <c r="T92" s="36">
        <f t="shared" si="8"/>
        <v>3.5666633341613352E-4</v>
      </c>
      <c r="U92" s="3">
        <f t="shared" si="9"/>
        <v>1.1959238187236787E-2</v>
      </c>
      <c r="V92" s="3">
        <f t="shared" si="10"/>
        <v>0.2240626874256329</v>
      </c>
      <c r="W92" s="3">
        <f t="shared" si="11"/>
        <v>2.1641291279121655E-4</v>
      </c>
      <c r="X92" s="148">
        <f t="shared" si="12"/>
        <v>4.9878861458299584</v>
      </c>
      <c r="AS92" s="19"/>
      <c r="AT92" s="19"/>
    </row>
    <row r="93" spans="1:46" x14ac:dyDescent="0.2">
      <c r="A93" s="31">
        <f>'Raw Data'!A93</f>
        <v>1257.3497314453125</v>
      </c>
      <c r="B93" s="110">
        <f>'Raw Data'!E93</f>
        <v>0.67757698190998428</v>
      </c>
      <c r="C93" s="110">
        <f t="shared" si="1"/>
        <v>0.32242301809001572</v>
      </c>
      <c r="D93" s="99">
        <f t="shared" si="2"/>
        <v>1.3213112324780285E-2</v>
      </c>
      <c r="E93" s="86">
        <f>(2*Table!$AC$16*0.147)/A93</f>
        <v>8.6873424642780819E-2</v>
      </c>
      <c r="F93" s="86">
        <f t="shared" si="3"/>
        <v>0.17374684928556164</v>
      </c>
      <c r="G93" s="31">
        <f>IF((('Raw Data'!C93)/('Raw Data'!C$136)*100)&lt;0,0,('Raw Data'!C93)/('Raw Data'!C$136)*100)</f>
        <v>67.757698190998426</v>
      </c>
      <c r="H93" s="31">
        <f t="shared" si="4"/>
        <v>1.3213112324780241</v>
      </c>
      <c r="I93" s="8">
        <f t="shared" si="5"/>
        <v>3.9461840517005298E-2</v>
      </c>
      <c r="J93" s="86">
        <f>'Raw Data'!F93/I93</f>
        <v>0.33483264215936293</v>
      </c>
      <c r="K93" s="123">
        <f t="shared" si="6"/>
        <v>4.8121589460338159</v>
      </c>
      <c r="L93" s="31">
        <f>A93*Table!$AC$9/$AC$16</f>
        <v>236.89638211713111</v>
      </c>
      <c r="M93" s="31">
        <f>A93*Table!$AD$9/$AC$16</f>
        <v>81.221616725873531</v>
      </c>
      <c r="N93" s="31">
        <f>ABS(A93*Table!$AE$9/$AC$16)</f>
        <v>102.57914248903057</v>
      </c>
      <c r="O93" s="31">
        <f>($L93*(Table!$AC$10/Table!$AC$9)/(Table!$AC$12-Table!$AC$14))</f>
        <v>508.14324778449412</v>
      </c>
      <c r="P93" s="31">
        <f>$N93*(Table!$AE$10/Table!$AE$9)/(Table!$AC$12-Table!$AC$13)</f>
        <v>842.1932880872788</v>
      </c>
      <c r="Q93" s="31">
        <f>'Raw Data'!C93</f>
        <v>0.82288744186365514</v>
      </c>
      <c r="R93" s="31">
        <f>'Raw Data'!C93/'Raw Data'!I$23*100</f>
        <v>14.003945327789141</v>
      </c>
      <c r="S93" s="36">
        <f t="shared" si="7"/>
        <v>0.25298599198148414</v>
      </c>
      <c r="T93" s="36">
        <f t="shared" si="8"/>
        <v>3.0883539357084988E-4</v>
      </c>
      <c r="U93" s="3">
        <f t="shared" si="9"/>
        <v>1.1137669160426614E-2</v>
      </c>
      <c r="V93" s="3">
        <f t="shared" si="10"/>
        <v>0.19865617966140378</v>
      </c>
      <c r="W93" s="3">
        <f t="shared" si="11"/>
        <v>2.3866040432704021E-4</v>
      </c>
      <c r="X93" s="148">
        <f t="shared" si="12"/>
        <v>4.9881248062342856</v>
      </c>
      <c r="AS93" s="19"/>
      <c r="AT93" s="19"/>
    </row>
    <row r="94" spans="1:46" x14ac:dyDescent="0.2">
      <c r="A94" s="31">
        <f>'Raw Data'!A94</f>
        <v>1377.5286865234375</v>
      </c>
      <c r="B94" s="110">
        <f>'Raw Data'!E94</f>
        <v>0.69469483275430211</v>
      </c>
      <c r="C94" s="110">
        <f t="shared" si="1"/>
        <v>0.30530516724569789</v>
      </c>
      <c r="D94" s="99">
        <f t="shared" si="2"/>
        <v>1.7117850844317828E-2</v>
      </c>
      <c r="E94" s="86">
        <f>(2*Table!$AC$16*0.147)/A94</f>
        <v>7.9294375654714602E-2</v>
      </c>
      <c r="F94" s="86">
        <f t="shared" si="3"/>
        <v>0.1585887513094292</v>
      </c>
      <c r="G94" s="31">
        <f>IF((('Raw Data'!C94)/('Raw Data'!C$136)*100)&lt;0,0,('Raw Data'!C94)/('Raw Data'!C$136)*100)</f>
        <v>69.469483275430207</v>
      </c>
      <c r="H94" s="31">
        <f t="shared" si="4"/>
        <v>1.7117850844317815</v>
      </c>
      <c r="I94" s="8">
        <f t="shared" si="5"/>
        <v>3.9644558272143415E-2</v>
      </c>
      <c r="J94" s="86">
        <f>'Raw Data'!F94/I94</f>
        <v>0.4317831145150085</v>
      </c>
      <c r="K94" s="123">
        <f t="shared" si="6"/>
        <v>5.2721107154905287</v>
      </c>
      <c r="L94" s="31">
        <f>A94*Table!$AC$9/$AC$16</f>
        <v>259.53921485699186</v>
      </c>
      <c r="M94" s="31">
        <f>A94*Table!$AD$9/$AC$16</f>
        <v>88.984873665254355</v>
      </c>
      <c r="N94" s="31">
        <f>ABS(A94*Table!$AE$9/$AC$16)</f>
        <v>112.38377667221128</v>
      </c>
      <c r="O94" s="31">
        <f>($L94*(Table!$AC$10/Table!$AC$9)/(Table!$AC$12-Table!$AC$14))</f>
        <v>556.7121725804202</v>
      </c>
      <c r="P94" s="31">
        <f>$N94*(Table!$AE$10/Table!$AE$9)/(Table!$AC$12-Table!$AC$13)</f>
        <v>922.69110568317944</v>
      </c>
      <c r="Q94" s="31">
        <f>'Raw Data'!C94</f>
        <v>0.84367631879949478</v>
      </c>
      <c r="R94" s="31">
        <f>'Raw Data'!C94/'Raw Data'!I$23*100</f>
        <v>14.357731618872037</v>
      </c>
      <c r="S94" s="36">
        <f t="shared" si="7"/>
        <v>0.32774840400918509</v>
      </c>
      <c r="T94" s="36">
        <f t="shared" si="8"/>
        <v>2.5720993660038882E-4</v>
      </c>
      <c r="U94" s="3">
        <f t="shared" si="9"/>
        <v>1.0422818602135698E-2</v>
      </c>
      <c r="V94" s="3">
        <f t="shared" si="10"/>
        <v>0.17757663991715164</v>
      </c>
      <c r="W94" s="3">
        <f t="shared" si="11"/>
        <v>2.5759377662289953E-4</v>
      </c>
      <c r="X94" s="148">
        <f t="shared" si="12"/>
        <v>4.9883824000109085</v>
      </c>
      <c r="AS94" s="19"/>
      <c r="AT94" s="19"/>
    </row>
    <row r="95" spans="1:46" x14ac:dyDescent="0.2">
      <c r="A95" s="31">
        <f>'Raw Data'!A95</f>
        <v>1507.552978515625</v>
      </c>
      <c r="B95" s="110">
        <f>'Raw Data'!E95</f>
        <v>0.71414253154252783</v>
      </c>
      <c r="C95" s="110">
        <f t="shared" si="1"/>
        <v>0.28585746845747217</v>
      </c>
      <c r="D95" s="99">
        <f t="shared" si="2"/>
        <v>1.944769878822572E-2</v>
      </c>
      <c r="E95" s="86">
        <f>(2*Table!$AC$16*0.147)/A95</f>
        <v>7.2455348966830979E-2</v>
      </c>
      <c r="F95" s="86">
        <f t="shared" si="3"/>
        <v>0.14491069793366196</v>
      </c>
      <c r="G95" s="31">
        <f>IF((('Raw Data'!C95)/('Raw Data'!C$136)*100)&lt;0,0,('Raw Data'!C95)/('Raw Data'!C$136)*100)</f>
        <v>71.414253154252776</v>
      </c>
      <c r="H95" s="31">
        <f t="shared" si="4"/>
        <v>1.9447698788225694</v>
      </c>
      <c r="I95" s="8">
        <f t="shared" si="5"/>
        <v>3.9171931443313657E-2</v>
      </c>
      <c r="J95" s="86">
        <f>'Raw Data'!F95/I95</f>
        <v>0.49647025489077051</v>
      </c>
      <c r="K95" s="123">
        <f t="shared" si="6"/>
        <v>5.769742793713255</v>
      </c>
      <c r="L95" s="31">
        <f>A95*Table!$AC$9/$AC$16</f>
        <v>284.0370006280865</v>
      </c>
      <c r="M95" s="31">
        <f>A95*Table!$AD$9/$AC$16</f>
        <v>97.384114501058235</v>
      </c>
      <c r="N95" s="31">
        <f>ABS(A95*Table!$AE$9/$AC$16)</f>
        <v>122.99162907932975</v>
      </c>
      <c r="O95" s="31">
        <f>($L95*(Table!$AC$10/Table!$AC$9)/(Table!$AC$12-Table!$AC$14))</f>
        <v>609.25997560722124</v>
      </c>
      <c r="P95" s="31">
        <f>$N95*(Table!$AE$10/Table!$AE$9)/(Table!$AC$12-Table!$AC$13)</f>
        <v>1009.7834899780765</v>
      </c>
      <c r="Q95" s="31">
        <f>'Raw Data'!C95</f>
        <v>0.86729469358676581</v>
      </c>
      <c r="R95" s="31">
        <f>'Raw Data'!C95/'Raw Data'!I$23*100</f>
        <v>14.759670465457303</v>
      </c>
      <c r="S95" s="36">
        <f t="shared" si="7"/>
        <v>0.37235703812713961</v>
      </c>
      <c r="T95" s="36">
        <f t="shared" si="8"/>
        <v>2.0823893039179087E-4</v>
      </c>
      <c r="U95" s="3">
        <f t="shared" si="9"/>
        <v>9.7904821096171692E-3</v>
      </c>
      <c r="V95" s="3">
        <f t="shared" si="10"/>
        <v>0.15974327790900358</v>
      </c>
      <c r="W95" s="3">
        <f t="shared" si="11"/>
        <v>2.4434895446159778E-4</v>
      </c>
      <c r="X95" s="148">
        <f t="shared" si="12"/>
        <v>4.9886267489653697</v>
      </c>
      <c r="Z95" s="104"/>
      <c r="AS95" s="19"/>
      <c r="AT95" s="19"/>
    </row>
    <row r="96" spans="1:46" x14ac:dyDescent="0.2">
      <c r="A96" s="31">
        <f>'Raw Data'!A96</f>
        <v>1647.216796875</v>
      </c>
      <c r="B96" s="110">
        <f>'Raw Data'!E96</f>
        <v>0.73426089267900307</v>
      </c>
      <c r="C96" s="110">
        <f t="shared" si="1"/>
        <v>0.26573910732099693</v>
      </c>
      <c r="D96" s="99">
        <f t="shared" si="2"/>
        <v>2.0118361136475249E-2</v>
      </c>
      <c r="E96" s="86">
        <f>(2*Table!$AC$16*0.147)/A96</f>
        <v>6.6312022407469445E-2</v>
      </c>
      <c r="F96" s="86">
        <f t="shared" si="3"/>
        <v>0.13262404481493889</v>
      </c>
      <c r="G96" s="31">
        <f>IF((('Raw Data'!C96)/('Raw Data'!C$136)*100)&lt;0,0,('Raw Data'!C96)/('Raw Data'!C$136)*100)</f>
        <v>73.426089267900309</v>
      </c>
      <c r="H96" s="31">
        <f t="shared" si="4"/>
        <v>2.0118361136475329</v>
      </c>
      <c r="I96" s="8">
        <f t="shared" si="5"/>
        <v>3.8478179104876054E-2</v>
      </c>
      <c r="J96" s="86">
        <f>'Raw Data'!F96/I96</f>
        <v>0.52285117447061835</v>
      </c>
      <c r="K96" s="123">
        <f t="shared" si="6"/>
        <v>6.3042674976576016</v>
      </c>
      <c r="L96" s="31">
        <f>A96*Table!$AC$9/$AC$16</f>
        <v>310.35096280945049</v>
      </c>
      <c r="M96" s="31">
        <f>A96*Table!$AD$9/$AC$16</f>
        <v>106.40604439181161</v>
      </c>
      <c r="N96" s="31">
        <f>ABS(A96*Table!$AE$9/$AC$16)</f>
        <v>134.38590894097186</v>
      </c>
      <c r="O96" s="31">
        <f>($L96*(Table!$AC$10/Table!$AC$9)/(Table!$AC$12-Table!$AC$14))</f>
        <v>665.70348092975235</v>
      </c>
      <c r="P96" s="31">
        <f>$N96*(Table!$AE$10/Table!$AE$9)/(Table!$AC$12-Table!$AC$13)</f>
        <v>1103.3325857222646</v>
      </c>
      <c r="Q96" s="31">
        <f>'Raw Data'!C96</f>
        <v>0.89172755829745431</v>
      </c>
      <c r="R96" s="31">
        <f>'Raw Data'!C96/'Raw Data'!I$23*100</f>
        <v>15.175470347923417</v>
      </c>
      <c r="S96" s="36">
        <f t="shared" si="7"/>
        <v>0.38519793248163153</v>
      </c>
      <c r="T96" s="36">
        <f t="shared" si="8"/>
        <v>1.6580560675605316E-4</v>
      </c>
      <c r="U96" s="3">
        <f t="shared" si="9"/>
        <v>9.2127948043714703E-3</v>
      </c>
      <c r="V96" s="3">
        <f t="shared" si="10"/>
        <v>0.14413144814097339</v>
      </c>
      <c r="W96" s="3">
        <f t="shared" si="11"/>
        <v>2.1172810337100257E-4</v>
      </c>
      <c r="X96" s="148">
        <f t="shared" si="12"/>
        <v>4.9888384770687404</v>
      </c>
      <c r="Z96" s="141"/>
      <c r="AS96" s="19"/>
      <c r="AT96" s="19"/>
    </row>
    <row r="97" spans="1:46" x14ac:dyDescent="0.2">
      <c r="A97" s="31">
        <f>'Raw Data'!A97</f>
        <v>1807.3441162109375</v>
      </c>
      <c r="B97" s="110">
        <f>'Raw Data'!E97</f>
        <v>0.75521835527268411</v>
      </c>
      <c r="C97" s="110">
        <f t="shared" si="1"/>
        <v>0.24478164472731589</v>
      </c>
      <c r="D97" s="99">
        <f t="shared" si="2"/>
        <v>2.0957462593681031E-2</v>
      </c>
      <c r="E97" s="86">
        <f>(2*Table!$AC$16*0.147)/A97</f>
        <v>6.0436900845055583E-2</v>
      </c>
      <c r="F97" s="86">
        <f t="shared" si="3"/>
        <v>0.12087380169011117</v>
      </c>
      <c r="G97" s="31">
        <f>IF((('Raw Data'!C97)/('Raw Data'!C$136)*100)&lt;0,0,('Raw Data'!C97)/('Raw Data'!C$136)*100)</f>
        <v>75.521835527268408</v>
      </c>
      <c r="H97" s="31">
        <f t="shared" si="4"/>
        <v>2.0957462593680987</v>
      </c>
      <c r="I97" s="8">
        <f t="shared" si="5"/>
        <v>4.0290087408995312E-2</v>
      </c>
      <c r="J97" s="86">
        <f>'Raw Data'!F97/I97</f>
        <v>0.52016423744471674</v>
      </c>
      <c r="K97" s="123">
        <f t="shared" si="6"/>
        <v>6.9171106016690018</v>
      </c>
      <c r="L97" s="31">
        <f>A97*Table!$AC$9/$AC$16</f>
        <v>340.52043887494727</v>
      </c>
      <c r="M97" s="31">
        <f>A97*Table!$AD$9/$AC$16</f>
        <v>116.74986475712477</v>
      </c>
      <c r="N97" s="31">
        <f>ABS(A97*Table!$AE$9/$AC$16)</f>
        <v>147.44967528676526</v>
      </c>
      <c r="O97" s="31">
        <f>($L97*(Table!$AC$10/Table!$AC$9)/(Table!$AC$12-Table!$AC$14))</f>
        <v>730.41707180383389</v>
      </c>
      <c r="P97" s="31">
        <f>$N97*(Table!$AE$10/Table!$AE$9)/(Table!$AC$12-Table!$AC$13)</f>
        <v>1210.5884670506175</v>
      </c>
      <c r="Q97" s="31">
        <f>'Raw Data'!C97</f>
        <v>0.91717947482073214</v>
      </c>
      <c r="R97" s="31">
        <f>'Raw Data'!C97/'Raw Data'!I$23*100</f>
        <v>15.608612512144818</v>
      </c>
      <c r="S97" s="36">
        <f t="shared" si="7"/>
        <v>0.40126386072824116</v>
      </c>
      <c r="T97" s="36">
        <f t="shared" si="8"/>
        <v>1.2908811763956418E-4</v>
      </c>
      <c r="U97" s="3">
        <f t="shared" si="9"/>
        <v>8.6362150805392706E-3</v>
      </c>
      <c r="V97" s="3">
        <f t="shared" si="10"/>
        <v>0.12920991747269062</v>
      </c>
      <c r="W97" s="3">
        <f t="shared" si="11"/>
        <v>1.8320799939885353E-4</v>
      </c>
      <c r="X97" s="148">
        <f t="shared" si="12"/>
        <v>4.9890216850681393</v>
      </c>
      <c r="Z97" s="110"/>
      <c r="AS97" s="19"/>
      <c r="AT97" s="19"/>
    </row>
    <row r="98" spans="1:46" x14ac:dyDescent="0.2">
      <c r="A98" s="31">
        <f>'Raw Data'!A98</f>
        <v>1978.230712890625</v>
      </c>
      <c r="B98" s="110">
        <f>'Raw Data'!E98</f>
        <v>0.77460296486060187</v>
      </c>
      <c r="C98" s="110">
        <f t="shared" si="1"/>
        <v>0.22539703513939813</v>
      </c>
      <c r="D98" s="99">
        <f t="shared" si="2"/>
        <v>1.9384609587917767E-2</v>
      </c>
      <c r="E98" s="86">
        <f>(2*Table!$AC$16*0.147)/A98</f>
        <v>5.5216146646882187E-2</v>
      </c>
      <c r="F98" s="86">
        <f t="shared" si="3"/>
        <v>0.11043229329376437</v>
      </c>
      <c r="G98" s="31">
        <f>IF((('Raw Data'!C98)/('Raw Data'!C$136)*100)&lt;0,0,('Raw Data'!C98)/('Raw Data'!C$136)*100)</f>
        <v>77.460296486060187</v>
      </c>
      <c r="H98" s="31">
        <f t="shared" si="4"/>
        <v>1.9384609587917794</v>
      </c>
      <c r="I98" s="8">
        <f t="shared" si="5"/>
        <v>3.9236090592994044E-2</v>
      </c>
      <c r="J98" s="86">
        <f>'Raw Data'!F98/I98</f>
        <v>0.4940504850240881</v>
      </c>
      <c r="K98" s="123">
        <f t="shared" si="6"/>
        <v>7.5711318691044074</v>
      </c>
      <c r="L98" s="31">
        <f>A98*Table!$AC$9/$AC$16</f>
        <v>372.71706284781209</v>
      </c>
      <c r="M98" s="31">
        <f>A98*Table!$AD$9/$AC$16</f>
        <v>127.788707262107</v>
      </c>
      <c r="N98" s="31">
        <f>ABS(A98*Table!$AE$9/$AC$16)</f>
        <v>161.39122242506323</v>
      </c>
      <c r="O98" s="31">
        <f>($L98*(Table!$AC$10/Table!$AC$9)/(Table!$AC$12-Table!$AC$14))</f>
        <v>799.47889928745633</v>
      </c>
      <c r="P98" s="31">
        <f>$N98*(Table!$AE$10/Table!$AE$9)/(Table!$AC$12-Table!$AC$13)</f>
        <v>1325.0510872336879</v>
      </c>
      <c r="Q98" s="31">
        <f>'Raw Data'!C98</f>
        <v>0.94072123054915568</v>
      </c>
      <c r="R98" s="31">
        <f>'Raw Data'!C98/'Raw Data'!I$23*100</f>
        <v>16.009247451225146</v>
      </c>
      <c r="S98" s="36">
        <f t="shared" si="7"/>
        <v>0.37114909532525386</v>
      </c>
      <c r="T98" s="36">
        <f t="shared" si="8"/>
        <v>1.0074033118356862E-4</v>
      </c>
      <c r="U98" s="3">
        <f t="shared" si="9"/>
        <v>8.0927099892368747E-3</v>
      </c>
      <c r="V98" s="3">
        <f t="shared" si="10"/>
        <v>0.11576034468435856</v>
      </c>
      <c r="W98" s="3">
        <f t="shared" si="11"/>
        <v>1.4144598034764635E-4</v>
      </c>
      <c r="X98" s="148">
        <f t="shared" si="12"/>
        <v>4.9891631310484872</v>
      </c>
      <c r="Z98" s="110"/>
      <c r="AS98" s="19"/>
      <c r="AT98" s="19"/>
    </row>
    <row r="99" spans="1:46" x14ac:dyDescent="0.2">
      <c r="A99" s="31">
        <f>'Raw Data'!A99</f>
        <v>2155.401611328125</v>
      </c>
      <c r="B99" s="110">
        <f>'Raw Data'!E99</f>
        <v>0.79243139932944073</v>
      </c>
      <c r="C99" s="110">
        <f t="shared" si="1"/>
        <v>0.20756860067055927</v>
      </c>
      <c r="D99" s="99">
        <f t="shared" si="2"/>
        <v>1.7828434468838861E-2</v>
      </c>
      <c r="E99" s="86">
        <f>(2*Table!$AC$16*0.147)/A99</f>
        <v>5.0677459165964459E-2</v>
      </c>
      <c r="F99" s="86">
        <f t="shared" si="3"/>
        <v>0.10135491833192892</v>
      </c>
      <c r="G99" s="31">
        <f>IF((('Raw Data'!C99)/('Raw Data'!C$136)*100)&lt;0,0,('Raw Data'!C99)/('Raw Data'!C$136)*100)</f>
        <v>79.243139932944075</v>
      </c>
      <c r="H99" s="31">
        <f t="shared" si="4"/>
        <v>1.7828434468838879</v>
      </c>
      <c r="I99" s="8">
        <f t="shared" si="5"/>
        <v>3.7251263000159129E-2</v>
      </c>
      <c r="J99" s="86">
        <f>'Raw Data'!F99/I99</f>
        <v>0.47859946302391682</v>
      </c>
      <c r="K99" s="123">
        <f t="shared" si="6"/>
        <v>8.249204566438058</v>
      </c>
      <c r="L99" s="31">
        <f>A99*Table!$AC$9/$AC$16</f>
        <v>406.09770771265806</v>
      </c>
      <c r="M99" s="31">
        <f>A99*Table!$AD$9/$AC$16</f>
        <v>139.23349978719705</v>
      </c>
      <c r="N99" s="31">
        <f>ABS(A99*Table!$AE$9/$AC$16)</f>
        <v>175.84546564889482</v>
      </c>
      <c r="O99" s="31">
        <f>($L99*(Table!$AC$10/Table!$AC$9)/(Table!$AC$12-Table!$AC$14))</f>
        <v>871.0804541241057</v>
      </c>
      <c r="P99" s="31">
        <f>$N99*(Table!$AE$10/Table!$AE$9)/(Table!$AC$12-Table!$AC$13)</f>
        <v>1443.7230348841936</v>
      </c>
      <c r="Q99" s="31">
        <f>'Raw Data'!C99</f>
        <v>0.96237308004254007</v>
      </c>
      <c r="R99" s="31">
        <f>'Raw Data'!C99/'Raw Data'!I$23*100</f>
        <v>16.377719858416302</v>
      </c>
      <c r="S99" s="36">
        <f t="shared" si="7"/>
        <v>0.34135365451463262</v>
      </c>
      <c r="T99" s="36">
        <f t="shared" si="8"/>
        <v>7.8778286186964586E-5</v>
      </c>
      <c r="U99" s="3">
        <f t="shared" si="9"/>
        <v>7.5984539365378896E-3</v>
      </c>
      <c r="V99" s="3">
        <f t="shared" si="10"/>
        <v>0.10405890896861501</v>
      </c>
      <c r="W99" s="3">
        <f t="shared" si="11"/>
        <v>1.0958326463369194E-4</v>
      </c>
      <c r="X99" s="148">
        <f t="shared" si="12"/>
        <v>4.9892727143131212</v>
      </c>
      <c r="Z99" s="110"/>
      <c r="AS99" s="19"/>
      <c r="AT99" s="19"/>
    </row>
    <row r="100" spans="1:46" x14ac:dyDescent="0.2">
      <c r="A100" s="31">
        <f>'Raw Data'!A100</f>
        <v>2365.459716796875</v>
      </c>
      <c r="B100" s="110">
        <f>'Raw Data'!E100</f>
        <v>0.81040344474108583</v>
      </c>
      <c r="C100" s="110">
        <f t="shared" si="1"/>
        <v>0.18959655525891417</v>
      </c>
      <c r="D100" s="99">
        <f t="shared" si="2"/>
        <v>1.7972045411645099E-2</v>
      </c>
      <c r="E100" s="86">
        <f>(2*Table!$AC$16*0.147)/A100</f>
        <v>4.6177187617570739E-2</v>
      </c>
      <c r="F100" s="86">
        <f t="shared" si="3"/>
        <v>9.2354375235141478E-2</v>
      </c>
      <c r="G100" s="31">
        <f>IF((('Raw Data'!C100)/('Raw Data'!C$136)*100)&lt;0,0,('Raw Data'!C100)/('Raw Data'!C$136)*100)</f>
        <v>81.040344474108579</v>
      </c>
      <c r="H100" s="31">
        <f t="shared" si="4"/>
        <v>1.7972045411645041</v>
      </c>
      <c r="I100" s="8">
        <f t="shared" si="5"/>
        <v>4.0387353328588782E-2</v>
      </c>
      <c r="J100" s="86">
        <f>'Raw Data'!F100/I100</f>
        <v>0.44499190787338178</v>
      </c>
      <c r="K100" s="123">
        <f t="shared" si="6"/>
        <v>9.0531439686093353</v>
      </c>
      <c r="L100" s="31">
        <f>A100*Table!$AC$9/$AC$16</f>
        <v>445.67460821648575</v>
      </c>
      <c r="M100" s="31">
        <f>A100*Table!$AD$9/$AC$16</f>
        <v>152.80272281708085</v>
      </c>
      <c r="N100" s="31">
        <f>ABS(A100*Table!$AE$9/$AC$16)</f>
        <v>192.98276626857682</v>
      </c>
      <c r="O100" s="31">
        <f>($L100*(Table!$AC$10/Table!$AC$9)/(Table!$AC$12-Table!$AC$14))</f>
        <v>955.97299059735258</v>
      </c>
      <c r="P100" s="31">
        <f>$N100*(Table!$AE$10/Table!$AE$9)/(Table!$AC$12-Table!$AC$13)</f>
        <v>1584.4233683791197</v>
      </c>
      <c r="Q100" s="31">
        <f>'Raw Data'!C100</f>
        <v>0.9841993387093535</v>
      </c>
      <c r="R100" s="31">
        <f>'Raw Data'!C100/'Raw Data'!I$23*100</f>
        <v>16.749160370848966</v>
      </c>
      <c r="S100" s="36">
        <f t="shared" si="7"/>
        <v>0.34410331378734577</v>
      </c>
      <c r="T100" s="36">
        <f t="shared" si="8"/>
        <v>6.039672608459945E-5</v>
      </c>
      <c r="U100" s="3">
        <f t="shared" si="9"/>
        <v>7.0807210335965473E-3</v>
      </c>
      <c r="V100" s="3">
        <f t="shared" si="10"/>
        <v>9.2353619692003078E-2</v>
      </c>
      <c r="W100" s="3">
        <f t="shared" si="11"/>
        <v>9.1717841639863139E-5</v>
      </c>
      <c r="X100" s="148">
        <f t="shared" si="12"/>
        <v>4.989364432154761</v>
      </c>
      <c r="Z100" s="110"/>
      <c r="AS100" s="19"/>
      <c r="AT100" s="19"/>
    </row>
    <row r="101" spans="1:46" x14ac:dyDescent="0.2">
      <c r="A101" s="31">
        <f>'Raw Data'!A101</f>
        <v>2588.0927734375</v>
      </c>
      <c r="B101" s="110">
        <f>'Raw Data'!E101</f>
        <v>0.82628766022962141</v>
      </c>
      <c r="C101" s="110">
        <f t="shared" si="1"/>
        <v>0.17371233977037859</v>
      </c>
      <c r="D101" s="99">
        <f t="shared" si="2"/>
        <v>1.588421548853558E-2</v>
      </c>
      <c r="E101" s="86">
        <f>(2*Table!$AC$16*0.147)/A101</f>
        <v>4.2204931084930002E-2</v>
      </c>
      <c r="F101" s="86">
        <f t="shared" si="3"/>
        <v>8.4409862169860003E-2</v>
      </c>
      <c r="G101" s="31">
        <f>IF((('Raw Data'!C101)/('Raw Data'!C$136)*100)&lt;0,0,('Raw Data'!C101)/('Raw Data'!C$136)*100)</f>
        <v>82.628766022962139</v>
      </c>
      <c r="H101" s="31">
        <f t="shared" si="4"/>
        <v>1.5884215488535602</v>
      </c>
      <c r="I101" s="8">
        <f t="shared" si="5"/>
        <v>3.9064283588847282E-2</v>
      </c>
      <c r="J101" s="86">
        <f>'Raw Data'!F101/I101</f>
        <v>0.40661735040932556</v>
      </c>
      <c r="K101" s="123">
        <f t="shared" si="6"/>
        <v>9.9052105244788251</v>
      </c>
      <c r="L101" s="31">
        <f>A101*Table!$AC$9/$AC$16</f>
        <v>487.62074646174324</v>
      </c>
      <c r="M101" s="31">
        <f>A101*Table!$AD$9/$AC$16</f>
        <v>167.18425592974054</v>
      </c>
      <c r="N101" s="31">
        <f>ABS(A101*Table!$AE$9/$AC$16)</f>
        <v>211.1459769241003</v>
      </c>
      <c r="O101" s="31">
        <f>($L101*(Table!$AC$10/Table!$AC$9)/(Table!$AC$12-Table!$AC$14))</f>
        <v>1045.9475471079866</v>
      </c>
      <c r="P101" s="31">
        <f>$N101*(Table!$AE$10/Table!$AE$9)/(Table!$AC$12-Table!$AC$13)</f>
        <v>1733.5466085722517</v>
      </c>
      <c r="Q101" s="31">
        <f>'Raw Data'!C101</f>
        <v>1.0034900197660317</v>
      </c>
      <c r="R101" s="31">
        <f>'Raw Data'!C101/'Raw Data'!I$23*100</f>
        <v>17.077450279176791</v>
      </c>
      <c r="S101" s="36">
        <f t="shared" si="7"/>
        <v>0.30412849852781754</v>
      </c>
      <c r="T101" s="36">
        <f t="shared" si="8"/>
        <v>4.68254069165841E-5</v>
      </c>
      <c r="U101" s="3">
        <f t="shared" si="9"/>
        <v>6.5984691331194261E-3</v>
      </c>
      <c r="V101" s="3">
        <f t="shared" si="10"/>
        <v>8.1969319390818973E-2</v>
      </c>
      <c r="W101" s="3">
        <f t="shared" si="11"/>
        <v>6.7716346999627613E-5</v>
      </c>
      <c r="X101" s="148">
        <f t="shared" si="12"/>
        <v>4.989432148501761</v>
      </c>
      <c r="Z101" s="110"/>
      <c r="AS101" s="19"/>
      <c r="AT101" s="19"/>
    </row>
    <row r="102" spans="1:46" x14ac:dyDescent="0.2">
      <c r="A102" s="31">
        <f>'Raw Data'!A102</f>
        <v>2827.990234375</v>
      </c>
      <c r="B102" s="110">
        <f>'Raw Data'!E102</f>
        <v>0.84100698947897856</v>
      </c>
      <c r="C102" s="110">
        <f t="shared" si="1"/>
        <v>0.15899301052102144</v>
      </c>
      <c r="D102" s="99">
        <f t="shared" si="2"/>
        <v>1.4719329249357149E-2</v>
      </c>
      <c r="E102" s="86">
        <f>(2*Table!$AC$16*0.147)/A102</f>
        <v>3.8624700968415998E-2</v>
      </c>
      <c r="F102" s="86">
        <f t="shared" si="3"/>
        <v>7.7249401936831996E-2</v>
      </c>
      <c r="G102" s="31">
        <f>IF((('Raw Data'!C102)/('Raw Data'!C$136)*100)&lt;0,0,('Raw Data'!C102)/('Raw Data'!C$136)*100)</f>
        <v>84.100698947897854</v>
      </c>
      <c r="H102" s="31">
        <f t="shared" si="4"/>
        <v>1.4719329249357145</v>
      </c>
      <c r="I102" s="8">
        <f t="shared" si="5"/>
        <v>3.8498065313240515E-2</v>
      </c>
      <c r="J102" s="86">
        <f>'Raw Data'!F102/I102</f>
        <v>0.38233945341390385</v>
      </c>
      <c r="K102" s="123">
        <f t="shared" si="6"/>
        <v>10.823351821136349</v>
      </c>
      <c r="L102" s="31">
        <f>A102*Table!$AC$9/$AC$16</f>
        <v>532.81965902670868</v>
      </c>
      <c r="M102" s="31">
        <f>A102*Table!$AD$9/$AC$16</f>
        <v>182.68102595201441</v>
      </c>
      <c r="N102" s="31">
        <f>ABS(A102*Table!$AE$9/$AC$16)</f>
        <v>230.71768017644618</v>
      </c>
      <c r="O102" s="31">
        <f>($L102*(Table!$AC$10/Table!$AC$9)/(Table!$AC$12-Table!$AC$14))</f>
        <v>1142.8993115116018</v>
      </c>
      <c r="P102" s="31">
        <f>$N102*(Table!$AE$10/Table!$AE$9)/(Table!$AC$12-Table!$AC$13)</f>
        <v>1894.2338273928253</v>
      </c>
      <c r="Q102" s="31">
        <f>'Raw Data'!C102</f>
        <v>1.0213659977217904</v>
      </c>
      <c r="R102" s="31">
        <f>'Raw Data'!C102/'Raw Data'!I$23*100</f>
        <v>17.38166468960242</v>
      </c>
      <c r="S102" s="36">
        <f t="shared" si="7"/>
        <v>0.28182490392267318</v>
      </c>
      <c r="T102" s="36">
        <f t="shared" si="8"/>
        <v>3.6292501521928422E-5</v>
      </c>
      <c r="U102" s="3">
        <f t="shared" si="9"/>
        <v>6.1462958670519792E-3</v>
      </c>
      <c r="V102" s="3">
        <f t="shared" si="10"/>
        <v>7.2697296490173841E-2</v>
      </c>
      <c r="W102" s="3">
        <f t="shared" si="11"/>
        <v>5.2555677733771692E-5</v>
      </c>
      <c r="X102" s="148">
        <f t="shared" si="12"/>
        <v>4.9894847041794952</v>
      </c>
      <c r="Z102" s="110"/>
      <c r="AS102" s="19"/>
      <c r="AT102" s="19"/>
    </row>
    <row r="103" spans="1:46" x14ac:dyDescent="0.2">
      <c r="A103" s="31">
        <f>'Raw Data'!A103</f>
        <v>3095.387939453125</v>
      </c>
      <c r="B103" s="110">
        <f>'Raw Data'!E103</f>
        <v>0.85536008441123701</v>
      </c>
      <c r="C103" s="110">
        <f t="shared" si="1"/>
        <v>0.14463991558876299</v>
      </c>
      <c r="D103" s="99">
        <f t="shared" si="2"/>
        <v>1.4353094932258448E-2</v>
      </c>
      <c r="E103" s="86">
        <f>(2*Table!$AC$16*0.147)/A103</f>
        <v>3.5288073508367164E-2</v>
      </c>
      <c r="F103" s="86">
        <f t="shared" si="3"/>
        <v>7.0576147016734328E-2</v>
      </c>
      <c r="G103" s="31">
        <f>IF((('Raw Data'!C103)/('Raw Data'!C$136)*100)&lt;0,0,('Raw Data'!C103)/('Raw Data'!C$136)*100)</f>
        <v>85.536008441123698</v>
      </c>
      <c r="H103" s="31">
        <f t="shared" si="4"/>
        <v>1.4353094932258443</v>
      </c>
      <c r="I103" s="8">
        <f t="shared" si="5"/>
        <v>3.9237180700158802E-2</v>
      </c>
      <c r="J103" s="86">
        <f>'Raw Data'!F103/I103</f>
        <v>0.36580342104447777</v>
      </c>
      <c r="K103" s="123">
        <f t="shared" si="6"/>
        <v>11.84674270949443</v>
      </c>
      <c r="L103" s="31">
        <f>A103*Table!$AC$9/$AC$16</f>
        <v>583.19987332604796</v>
      </c>
      <c r="M103" s="31">
        <f>A103*Table!$AD$9/$AC$16</f>
        <v>199.95424228321642</v>
      </c>
      <c r="N103" s="31">
        <f>ABS(A103*Table!$AE$9/$AC$16)</f>
        <v>252.53295289211206</v>
      </c>
      <c r="O103" s="31">
        <f>($L103*(Table!$AC$10/Table!$AC$9)/(Table!$AC$12-Table!$AC$14))</f>
        <v>1250.9649792493524</v>
      </c>
      <c r="P103" s="31">
        <f>$N103*(Table!$AE$10/Table!$AE$9)/(Table!$AC$12-Table!$AC$13)</f>
        <v>2073.3411567496878</v>
      </c>
      <c r="Q103" s="31">
        <f>'Raw Data'!C103</f>
        <v>1.0387972002079477</v>
      </c>
      <c r="R103" s="31">
        <f>'Raw Data'!C103/'Raw Data'!I$23*100</f>
        <v>17.67830988576792</v>
      </c>
      <c r="S103" s="36">
        <f t="shared" si="7"/>
        <v>0.27481276705957292</v>
      </c>
      <c r="T103" s="36">
        <f t="shared" si="8"/>
        <v>2.7719530427683381E-5</v>
      </c>
      <c r="U103" s="3">
        <f t="shared" si="9"/>
        <v>5.7111774780938184E-3</v>
      </c>
      <c r="V103" s="3">
        <f t="shared" si="10"/>
        <v>6.4209010988410781E-2</v>
      </c>
      <c r="W103" s="3">
        <f t="shared" si="11"/>
        <v>4.2776260601497032E-5</v>
      </c>
      <c r="X103" s="148">
        <f t="shared" si="12"/>
        <v>4.9895274804400964</v>
      </c>
      <c r="Z103" s="110"/>
      <c r="AS103" s="19"/>
      <c r="AT103" s="19"/>
    </row>
    <row r="104" spans="1:46" x14ac:dyDescent="0.2">
      <c r="A104" s="31">
        <f>'Raw Data'!A104</f>
        <v>3387.201904296875</v>
      </c>
      <c r="B104" s="110">
        <f>'Raw Data'!E104</f>
        <v>0.86784835012243144</v>
      </c>
      <c r="C104" s="110">
        <f t="shared" si="1"/>
        <v>0.13215164987756856</v>
      </c>
      <c r="D104" s="99">
        <f t="shared" si="2"/>
        <v>1.2488265711194435E-2</v>
      </c>
      <c r="E104" s="86">
        <f>(2*Table!$AC$16*0.147)/A104</f>
        <v>3.2247938041653108E-2</v>
      </c>
      <c r="F104" s="86">
        <f t="shared" si="3"/>
        <v>6.4495876083306217E-2</v>
      </c>
      <c r="G104" s="31">
        <f>IF((('Raw Data'!C104)/('Raw Data'!C$136)*100)&lt;0,0,('Raw Data'!C104)/('Raw Data'!C$136)*100)</f>
        <v>86.78483501224315</v>
      </c>
      <c r="H104" s="31">
        <f t="shared" si="4"/>
        <v>1.2488265711194515</v>
      </c>
      <c r="I104" s="8">
        <f t="shared" si="5"/>
        <v>3.9125998716792898E-2</v>
      </c>
      <c r="J104" s="86">
        <f>'Raw Data'!F104/I104</f>
        <v>0.31918075246049799</v>
      </c>
      <c r="K104" s="123">
        <f t="shared" si="6"/>
        <v>12.963580090838018</v>
      </c>
      <c r="L104" s="31">
        <f>A104*Table!$AC$9/$AC$16</f>
        <v>638.1803380240251</v>
      </c>
      <c r="M104" s="31">
        <f>A104*Table!$AD$9/$AC$16</f>
        <v>218.80468732252288</v>
      </c>
      <c r="N104" s="31">
        <f>ABS(A104*Table!$AE$9/$AC$16)</f>
        <v>276.34019246227291</v>
      </c>
      <c r="O104" s="31">
        <f>($L104*(Table!$AC$10/Table!$AC$9)/(Table!$AC$12-Table!$AC$14))</f>
        <v>1368.8981939597281</v>
      </c>
      <c r="P104" s="31">
        <f>$N104*(Table!$AE$10/Table!$AE$9)/(Table!$AC$12-Table!$AC$13)</f>
        <v>2268.8028937789231</v>
      </c>
      <c r="Q104" s="31">
        <f>'Raw Data'!C104</f>
        <v>1.0539636496281017</v>
      </c>
      <c r="R104" s="31">
        <f>'Raw Data'!C104/'Raw Data'!I$23*100</f>
        <v>17.936413385337072</v>
      </c>
      <c r="S104" s="36">
        <f t="shared" si="7"/>
        <v>0.23910765392872071</v>
      </c>
      <c r="T104" s="36">
        <f t="shared" si="8"/>
        <v>2.1490277926639045E-5</v>
      </c>
      <c r="U104" s="3">
        <f t="shared" si="9"/>
        <v>5.2953481640948602E-3</v>
      </c>
      <c r="V104" s="3">
        <f t="shared" si="10"/>
        <v>5.6503913542129865E-2</v>
      </c>
      <c r="W104" s="3">
        <f t="shared" si="11"/>
        <v>3.1081888111796916E-5</v>
      </c>
      <c r="X104" s="148">
        <f t="shared" si="12"/>
        <v>4.9895585623282086</v>
      </c>
      <c r="Z104" s="110"/>
      <c r="AS104" s="19"/>
      <c r="AT104" s="19"/>
    </row>
    <row r="105" spans="1:46" x14ac:dyDescent="0.2">
      <c r="A105" s="31">
        <f>'Raw Data'!A105</f>
        <v>3705.329345703125</v>
      </c>
      <c r="B105" s="110">
        <f>'Raw Data'!E105</f>
        <v>0.87937239249351296</v>
      </c>
      <c r="C105" s="110">
        <f t="shared" si="1"/>
        <v>0.12062760750648704</v>
      </c>
      <c r="D105" s="99">
        <f t="shared" si="2"/>
        <v>1.1524042371081511E-2</v>
      </c>
      <c r="E105" s="86">
        <f>(2*Table!$AC$16*0.147)/A105</f>
        <v>2.9479235704379055E-2</v>
      </c>
      <c r="F105" s="86">
        <f t="shared" si="3"/>
        <v>5.8958471408758109E-2</v>
      </c>
      <c r="G105" s="31">
        <f>IF((('Raw Data'!C105)/('Raw Data'!C$136)*100)&lt;0,0,('Raw Data'!C105)/('Raw Data'!C$136)*100)</f>
        <v>87.937239249351293</v>
      </c>
      <c r="H105" s="31">
        <f t="shared" si="4"/>
        <v>1.1524042371081435</v>
      </c>
      <c r="I105" s="8">
        <f t="shared" si="5"/>
        <v>3.8985731166206516E-2</v>
      </c>
      <c r="J105" s="86">
        <f>'Raw Data'!F105/I105</f>
        <v>0.29559641505635642</v>
      </c>
      <c r="K105" s="123">
        <f t="shared" si="6"/>
        <v>14.18112503864041</v>
      </c>
      <c r="L105" s="31">
        <f>A105*Table!$AC$9/$AC$16</f>
        <v>698.11850640832245</v>
      </c>
      <c r="M105" s="31">
        <f>A105*Table!$AD$9/$AC$16</f>
        <v>239.35491648285341</v>
      </c>
      <c r="N105" s="31">
        <f>ABS(A105*Table!$AE$9/$AC$16)</f>
        <v>302.29418070082835</v>
      </c>
      <c r="O105" s="31">
        <f>($L105*(Table!$AC$10/Table!$AC$9)/(Table!$AC$12-Table!$AC$14))</f>
        <v>1497.4656937115456</v>
      </c>
      <c r="P105" s="31">
        <f>$N105*(Table!$AE$10/Table!$AE$9)/(Table!$AC$12-Table!$AC$13)</f>
        <v>2481.8898251299529</v>
      </c>
      <c r="Q105" s="31">
        <f>'Raw Data'!C105</f>
        <v>1.0679590922122588</v>
      </c>
      <c r="R105" s="31">
        <f>'Raw Data'!C105/'Raw Data'!I$23*100</f>
        <v>18.17458862391268</v>
      </c>
      <c r="S105" s="36">
        <f t="shared" si="7"/>
        <v>0.22064606878555312</v>
      </c>
      <c r="T105" s="36">
        <f t="shared" si="8"/>
        <v>1.6686674026766823E-5</v>
      </c>
      <c r="U105" s="3">
        <f t="shared" si="9"/>
        <v>4.9049860156125643E-3</v>
      </c>
      <c r="V105" s="3">
        <f t="shared" si="10"/>
        <v>4.9641097053198295E-2</v>
      </c>
      <c r="W105" s="3">
        <f t="shared" si="11"/>
        <v>2.3968378055213266E-5</v>
      </c>
      <c r="X105" s="148">
        <f t="shared" si="12"/>
        <v>4.9895825307062642</v>
      </c>
      <c r="Z105" s="110"/>
      <c r="AS105" s="19"/>
      <c r="AT105" s="19"/>
    </row>
    <row r="106" spans="1:46" x14ac:dyDescent="0.2">
      <c r="A106" s="31">
        <f>'Raw Data'!A106</f>
        <v>4058.8623046875</v>
      </c>
      <c r="B106" s="110">
        <f>'Raw Data'!E106</f>
        <v>0.89077765208793802</v>
      </c>
      <c r="C106" s="110">
        <f t="shared" si="1"/>
        <v>0.10922234791206198</v>
      </c>
      <c r="D106" s="99">
        <f t="shared" si="2"/>
        <v>1.1405259594425066E-2</v>
      </c>
      <c r="E106" s="86">
        <f>(2*Table!$AC$16*0.147)/A106</f>
        <v>2.6911550317483584E-2</v>
      </c>
      <c r="F106" s="86">
        <f t="shared" si="3"/>
        <v>5.3823100634967168E-2</v>
      </c>
      <c r="G106" s="31">
        <f>IF((('Raw Data'!C106)/('Raw Data'!C$136)*100)&lt;0,0,('Raw Data'!C106)/('Raw Data'!C$136)*100)</f>
        <v>89.077765208793807</v>
      </c>
      <c r="H106" s="31">
        <f t="shared" si="4"/>
        <v>1.1405259594425132</v>
      </c>
      <c r="I106" s="8">
        <f t="shared" si="5"/>
        <v>3.9577502293643319E-2</v>
      </c>
      <c r="J106" s="86">
        <f>'Raw Data'!F106/I106</f>
        <v>0.28817532520885997</v>
      </c>
      <c r="K106" s="123">
        <f t="shared" si="6"/>
        <v>15.534174829599435</v>
      </c>
      <c r="L106" s="31">
        <f>A106*Table!$AC$9/$AC$16</f>
        <v>764.72740355763972</v>
      </c>
      <c r="M106" s="31">
        <f>A106*Table!$AD$9/$AC$16</f>
        <v>262.19225264833364</v>
      </c>
      <c r="N106" s="31">
        <f>ABS(A106*Table!$AE$9/$AC$16)</f>
        <v>331.13667922551519</v>
      </c>
      <c r="O106" s="31">
        <f>($L106*(Table!$AC$10/Table!$AC$9)/(Table!$AC$12-Table!$AC$14))</f>
        <v>1640.3419209730584</v>
      </c>
      <c r="P106" s="31">
        <f>$N106*(Table!$AE$10/Table!$AE$9)/(Table!$AC$12-Table!$AC$13)</f>
        <v>2718.6919476643275</v>
      </c>
      <c r="Q106" s="31">
        <f>'Raw Data'!C106</f>
        <v>1.0818102783387293</v>
      </c>
      <c r="R106" s="31">
        <f>'Raw Data'!C106/'Raw Data'!I$23*100</f>
        <v>18.410308897879705</v>
      </c>
      <c r="S106" s="36">
        <f t="shared" si="7"/>
        <v>0.21837178413224034</v>
      </c>
      <c r="T106" s="36">
        <f t="shared" si="8"/>
        <v>1.2724691896393026E-5</v>
      </c>
      <c r="U106" s="3">
        <f t="shared" si="9"/>
        <v>4.5358298744497946E-3</v>
      </c>
      <c r="V106" s="3">
        <f t="shared" si="10"/>
        <v>4.3489005052150705E-2</v>
      </c>
      <c r="W106" s="3">
        <f t="shared" si="11"/>
        <v>1.9768966702717575E-5</v>
      </c>
      <c r="X106" s="148">
        <f t="shared" si="12"/>
        <v>4.989602299672967</v>
      </c>
      <c r="Z106" s="110"/>
      <c r="AS106" s="19"/>
      <c r="AT106" s="19"/>
    </row>
    <row r="107" spans="1:46" x14ac:dyDescent="0.2">
      <c r="A107" s="31">
        <f>'Raw Data'!A107</f>
        <v>4434.1650390625</v>
      </c>
      <c r="B107" s="110">
        <f>'Raw Data'!E107</f>
        <v>0.90039430266741283</v>
      </c>
      <c r="C107" s="110">
        <f t="shared" si="1"/>
        <v>9.9605697332587173E-2</v>
      </c>
      <c r="D107" s="99">
        <f t="shared" si="2"/>
        <v>9.6166505794748058E-3</v>
      </c>
      <c r="E107" s="86">
        <f>(2*Table!$AC$16*0.147)/A107</f>
        <v>2.4633787011100791E-2</v>
      </c>
      <c r="F107" s="86">
        <f t="shared" si="3"/>
        <v>4.9267574022201582E-2</v>
      </c>
      <c r="G107" s="31">
        <f>IF((('Raw Data'!C107)/('Raw Data'!C$136)*100)&lt;0,0,('Raw Data'!C107)/('Raw Data'!C$136)*100)</f>
        <v>90.039430266741277</v>
      </c>
      <c r="H107" s="31">
        <f t="shared" si="4"/>
        <v>0.96166505794747081</v>
      </c>
      <c r="I107" s="8">
        <f t="shared" si="5"/>
        <v>3.840753516789186E-2</v>
      </c>
      <c r="J107" s="86">
        <f>'Raw Data'!F107/I107</f>
        <v>0.25038447631271549</v>
      </c>
      <c r="K107" s="123">
        <f t="shared" si="6"/>
        <v>16.970542425286286</v>
      </c>
      <c r="L107" s="31">
        <f>A107*Table!$AC$9/$AC$16</f>
        <v>835.43792883838671</v>
      </c>
      <c r="M107" s="31">
        <f>A107*Table!$AD$9/$AC$16</f>
        <v>286.4358613160183</v>
      </c>
      <c r="N107" s="31">
        <f>ABS(A107*Table!$AE$9/$AC$16)</f>
        <v>361.75523482954947</v>
      </c>
      <c r="O107" s="31">
        <f>($L107*(Table!$AC$10/Table!$AC$9)/(Table!$AC$12-Table!$AC$14))</f>
        <v>1792.016149374489</v>
      </c>
      <c r="P107" s="31">
        <f>$N107*(Table!$AE$10/Table!$AE$9)/(Table!$AC$12-Table!$AC$13)</f>
        <v>2970.0758196186321</v>
      </c>
      <c r="Q107" s="31">
        <f>'Raw Data'!C107</f>
        <v>1.0934892774870386</v>
      </c>
      <c r="R107" s="31">
        <f>'Raw Data'!C107/'Raw Data'!I$23*100</f>
        <v>18.609062770202524</v>
      </c>
      <c r="S107" s="36">
        <f t="shared" si="7"/>
        <v>0.18412602773572526</v>
      </c>
      <c r="T107" s="36">
        <f t="shared" si="8"/>
        <v>9.9256067884745391E-6</v>
      </c>
      <c r="U107" s="3">
        <f t="shared" si="9"/>
        <v>4.1967456344694318E-3</v>
      </c>
      <c r="V107" s="3">
        <f t="shared" si="10"/>
        <v>3.8134511048286433E-2</v>
      </c>
      <c r="W107" s="3">
        <f t="shared" si="11"/>
        <v>1.3966499211061005E-5</v>
      </c>
      <c r="X107" s="148">
        <f t="shared" si="12"/>
        <v>4.9896162661721783</v>
      </c>
      <c r="Z107" s="110"/>
      <c r="AS107" s="19"/>
      <c r="AT107" s="19"/>
    </row>
    <row r="108" spans="1:46" x14ac:dyDescent="0.2">
      <c r="A108" s="31">
        <f>'Raw Data'!A108</f>
        <v>4844.50341796875</v>
      </c>
      <c r="B108" s="110">
        <f>'Raw Data'!E108</f>
        <v>0.90975965296336436</v>
      </c>
      <c r="C108" s="110">
        <f t="shared" si="1"/>
        <v>9.0240347036635638E-2</v>
      </c>
      <c r="D108" s="99">
        <f t="shared" si="2"/>
        <v>9.3653502959515356E-3</v>
      </c>
      <c r="E108" s="86">
        <f>(2*Table!$AC$16*0.147)/A108</f>
        <v>2.2547259795336085E-2</v>
      </c>
      <c r="F108" s="86">
        <f t="shared" si="3"/>
        <v>4.509451959067217E-2</v>
      </c>
      <c r="G108" s="31">
        <f>IF((('Raw Data'!C108)/('Raw Data'!C$136)*100)&lt;0,0,('Raw Data'!C108)/('Raw Data'!C$136)*100)</f>
        <v>90.97596529633644</v>
      </c>
      <c r="H108" s="31">
        <f t="shared" si="4"/>
        <v>0.93653502959516288</v>
      </c>
      <c r="I108" s="8">
        <f t="shared" si="5"/>
        <v>3.8437413187218716E-2</v>
      </c>
      <c r="J108" s="86">
        <f>'Raw Data'!F108/I108</f>
        <v>0.24365194011197716</v>
      </c>
      <c r="K108" s="123">
        <f t="shared" si="6"/>
        <v>18.540999277163863</v>
      </c>
      <c r="L108" s="31">
        <f>A108*Table!$AC$9/$AC$16</f>
        <v>912.74949536249119</v>
      </c>
      <c r="M108" s="31">
        <f>A108*Table!$AD$9/$AC$16</f>
        <v>312.94268412428266</v>
      </c>
      <c r="N108" s="31">
        <f>ABS(A108*Table!$AE$9/$AC$16)</f>
        <v>395.23212513767203</v>
      </c>
      <c r="O108" s="31">
        <f>($L108*(Table!$AC$10/Table!$AC$9)/(Table!$AC$12-Table!$AC$14))</f>
        <v>1957.8496254021691</v>
      </c>
      <c r="P108" s="31">
        <f>$N108*(Table!$AE$10/Table!$AE$9)/(Table!$AC$12-Table!$AC$13)</f>
        <v>3244.9271357772736</v>
      </c>
      <c r="Q108" s="31">
        <f>'Raw Data'!C108</f>
        <v>1.104863083494245</v>
      </c>
      <c r="R108" s="31">
        <f>'Raw Data'!C108/'Raw Data'!I$23*100</f>
        <v>18.802622848277199</v>
      </c>
      <c r="S108" s="36">
        <f t="shared" si="7"/>
        <v>0.17931448523539162</v>
      </c>
      <c r="T108" s="36">
        <f t="shared" si="8"/>
        <v>7.6418940879730002E-6</v>
      </c>
      <c r="U108" s="3">
        <f t="shared" si="9"/>
        <v>3.8812281107154104E-3</v>
      </c>
      <c r="V108" s="3">
        <f t="shared" si="10"/>
        <v>3.3413329936411593E-2</v>
      </c>
      <c r="W108" s="3">
        <f t="shared" si="11"/>
        <v>1.139496313893746E-5</v>
      </c>
      <c r="X108" s="148">
        <f t="shared" si="12"/>
        <v>4.9896276611353176</v>
      </c>
      <c r="Z108" s="110"/>
      <c r="AS108" s="19"/>
      <c r="AT108" s="19"/>
    </row>
    <row r="109" spans="1:46" x14ac:dyDescent="0.2">
      <c r="A109" s="31">
        <f>'Raw Data'!A109</f>
        <v>5303.28662109375</v>
      </c>
      <c r="B109" s="110">
        <f>'Raw Data'!E109</f>
        <v>0.91849652615385602</v>
      </c>
      <c r="C109" s="110">
        <f t="shared" si="1"/>
        <v>8.1503473846143981E-2</v>
      </c>
      <c r="D109" s="99">
        <f t="shared" si="2"/>
        <v>8.7368731904916563E-3</v>
      </c>
      <c r="E109" s="86">
        <f>(2*Table!$AC$16*0.147)/A109</f>
        <v>2.0596713877366748E-2</v>
      </c>
      <c r="F109" s="86">
        <f t="shared" si="3"/>
        <v>4.1193427754733496E-2</v>
      </c>
      <c r="G109" s="31">
        <f>IF((('Raw Data'!C109)/('Raw Data'!C$136)*100)&lt;0,0,('Raw Data'!C109)/('Raw Data'!C$136)*100)</f>
        <v>91.849652615385608</v>
      </c>
      <c r="H109" s="31">
        <f t="shared" si="4"/>
        <v>0.87368731904916785</v>
      </c>
      <c r="I109" s="8">
        <f t="shared" si="5"/>
        <v>3.9295832952744636E-2</v>
      </c>
      <c r="J109" s="86">
        <f>'Raw Data'!F109/I109</f>
        <v>0.22233586958185156</v>
      </c>
      <c r="K109" s="123">
        <f t="shared" si="6"/>
        <v>20.296865318245565</v>
      </c>
      <c r="L109" s="31">
        <f>A109*Table!$AC$9/$AC$16</f>
        <v>999.18851728162736</v>
      </c>
      <c r="M109" s="31">
        <f>A109*Table!$AD$9/$AC$16</f>
        <v>342.57892021084365</v>
      </c>
      <c r="N109" s="31">
        <f>ABS(A109*Table!$AE$9/$AC$16)</f>
        <v>432.66131956779793</v>
      </c>
      <c r="O109" s="31">
        <f>($L109*(Table!$AC$10/Table!$AC$9)/(Table!$AC$12-Table!$AC$14))</f>
        <v>2143.2615128306038</v>
      </c>
      <c r="P109" s="31">
        <f>$N109*(Table!$AE$10/Table!$AE$9)/(Table!$AC$12-Table!$AC$13)</f>
        <v>3552.2275826584382</v>
      </c>
      <c r="Q109" s="31">
        <f>'Raw Data'!C109</f>
        <v>1.1154736316999188</v>
      </c>
      <c r="R109" s="31">
        <f>'Raw Data'!C109/'Raw Data'!I$23*100</f>
        <v>18.983193761637601</v>
      </c>
      <c r="S109" s="36">
        <f t="shared" si="7"/>
        <v>0.1672812942615865</v>
      </c>
      <c r="T109" s="36">
        <f t="shared" si="8"/>
        <v>5.8640985682867353E-6</v>
      </c>
      <c r="U109" s="3">
        <f t="shared" si="9"/>
        <v>3.5795149532616638E-3</v>
      </c>
      <c r="V109" s="3">
        <f t="shared" si="10"/>
        <v>2.9140002571783844E-2</v>
      </c>
      <c r="W109" s="3">
        <f t="shared" si="11"/>
        <v>8.8706054896433276E-6</v>
      </c>
      <c r="X109" s="148">
        <f t="shared" si="12"/>
        <v>4.9896365317408069</v>
      </c>
      <c r="Z109" s="110"/>
      <c r="AS109" s="19"/>
      <c r="AT109" s="19"/>
    </row>
    <row r="110" spans="1:46" x14ac:dyDescent="0.2">
      <c r="A110" s="31">
        <f>'Raw Data'!A110</f>
        <v>5806.0048828125</v>
      </c>
      <c r="B110" s="110">
        <f>'Raw Data'!E110</f>
        <v>0.92627476045497936</v>
      </c>
      <c r="C110" s="110">
        <f t="shared" si="1"/>
        <v>7.3725239545020638E-2</v>
      </c>
      <c r="D110" s="99">
        <f t="shared" si="2"/>
        <v>7.7782343011233435E-3</v>
      </c>
      <c r="E110" s="86">
        <f>(2*Table!$AC$16*0.147)/A110</f>
        <v>1.881332850195995E-2</v>
      </c>
      <c r="F110" s="86">
        <f t="shared" si="3"/>
        <v>3.76266570039199E-2</v>
      </c>
      <c r="G110" s="31">
        <f>IF((('Raw Data'!C110)/('Raw Data'!C$136)*100)&lt;0,0,('Raw Data'!C110)/('Raw Data'!C$136)*100)</f>
        <v>92.627476045497943</v>
      </c>
      <c r="H110" s="31">
        <f t="shared" si="4"/>
        <v>0.77782343011233479</v>
      </c>
      <c r="I110" s="8">
        <f t="shared" si="5"/>
        <v>3.9332297129652583E-2</v>
      </c>
      <c r="J110" s="86">
        <f>'Raw Data'!F110/I110</f>
        <v>0.19775692926054247</v>
      </c>
      <c r="K110" s="123">
        <f t="shared" si="6"/>
        <v>22.220880665736548</v>
      </c>
      <c r="L110" s="31">
        <f>A110*Table!$AC$9/$AC$16</f>
        <v>1093.9053128135192</v>
      </c>
      <c r="M110" s="31">
        <f>A110*Table!$AD$9/$AC$16</f>
        <v>375.05325010749232</v>
      </c>
      <c r="N110" s="31">
        <f>ABS(A110*Table!$AE$9/$AC$16)</f>
        <v>473.67489511563542</v>
      </c>
      <c r="O110" s="31">
        <f>($L110*(Table!$AC$10/Table!$AC$9)/(Table!$AC$12-Table!$AC$14))</f>
        <v>2346.4292424142418</v>
      </c>
      <c r="P110" s="31">
        <f>$N110*(Table!$AE$10/Table!$AE$9)/(Table!$AC$12-Table!$AC$13)</f>
        <v>3888.9564459411768</v>
      </c>
      <c r="Q110" s="31">
        <f>'Raw Data'!C110</f>
        <v>1.1249199551393976</v>
      </c>
      <c r="R110" s="31">
        <f>'Raw Data'!C110/'Raw Data'!I$23*100</f>
        <v>19.143951831654416</v>
      </c>
      <c r="S110" s="36">
        <f t="shared" si="7"/>
        <v>0.14892663228508629</v>
      </c>
      <c r="T110" s="36">
        <f t="shared" si="8"/>
        <v>4.543587024952167E-6</v>
      </c>
      <c r="U110" s="3">
        <f t="shared" si="9"/>
        <v>3.2972676079426324E-3</v>
      </c>
      <c r="V110" s="3">
        <f t="shared" si="10"/>
        <v>2.536130759082043E-2</v>
      </c>
      <c r="W110" s="3">
        <f t="shared" si="11"/>
        <v>6.5889112753162771E-6</v>
      </c>
      <c r="X110" s="148">
        <f t="shared" si="12"/>
        <v>4.9896431206520822</v>
      </c>
      <c r="Z110" s="110"/>
      <c r="AS110" s="19"/>
      <c r="AT110" s="19"/>
    </row>
    <row r="111" spans="1:46" x14ac:dyDescent="0.2">
      <c r="A111" s="31">
        <f>'Raw Data'!A111</f>
        <v>6353.31787109375</v>
      </c>
      <c r="B111" s="110">
        <f>'Raw Data'!E111</f>
        <v>0.93337787994036747</v>
      </c>
      <c r="C111" s="110">
        <f t="shared" si="1"/>
        <v>6.6622120059632528E-2</v>
      </c>
      <c r="D111" s="99">
        <f t="shared" si="2"/>
        <v>7.1031194853881097E-3</v>
      </c>
      <c r="E111" s="86">
        <f>(2*Table!$AC$16*0.147)/A111</f>
        <v>1.7192635306555282E-2</v>
      </c>
      <c r="F111" s="86">
        <f t="shared" si="3"/>
        <v>3.4385270613110565E-2</v>
      </c>
      <c r="G111" s="31">
        <f>IF((('Raw Data'!C111)/('Raw Data'!C$136)*100)&lt;0,0,('Raw Data'!C111)/('Raw Data'!C$136)*100)</f>
        <v>93.337787994036745</v>
      </c>
      <c r="H111" s="31">
        <f t="shared" si="4"/>
        <v>0.71031194853880208</v>
      </c>
      <c r="I111" s="8">
        <f t="shared" si="5"/>
        <v>3.9123187895183431E-2</v>
      </c>
      <c r="J111" s="86">
        <f>'Raw Data'!F111/I111</f>
        <v>0.18155778880847784</v>
      </c>
      <c r="K111" s="123">
        <f t="shared" si="6"/>
        <v>24.315570016654558</v>
      </c>
      <c r="L111" s="31">
        <f>A111*Table!$AC$9/$AC$16</f>
        <v>1197.024169538056</v>
      </c>
      <c r="M111" s="31">
        <f>A111*Table!$AD$9/$AC$16</f>
        <v>410.40828669876208</v>
      </c>
      <c r="N111" s="31">
        <f>ABS(A111*Table!$AE$9/$AC$16)</f>
        <v>518.32666988196365</v>
      </c>
      <c r="O111" s="31">
        <f>($L111*(Table!$AC$10/Table!$AC$9)/(Table!$AC$12-Table!$AC$14))</f>
        <v>2567.6194112785415</v>
      </c>
      <c r="P111" s="31">
        <f>$N111*(Table!$AE$10/Table!$AE$9)/(Table!$AC$12-Table!$AC$13)</f>
        <v>4255.555581953723</v>
      </c>
      <c r="Q111" s="31">
        <f>'Raw Data'!C111</f>
        <v>1.1335463813295354</v>
      </c>
      <c r="R111" s="31">
        <f>'Raw Data'!C111/'Raw Data'!I$23*100</f>
        <v>19.290756843610005</v>
      </c>
      <c r="S111" s="36">
        <f t="shared" si="7"/>
        <v>0.13600048837878939</v>
      </c>
      <c r="T111" s="36">
        <f t="shared" si="8"/>
        <v>3.5365071313631091E-6</v>
      </c>
      <c r="U111" s="3">
        <f t="shared" si="9"/>
        <v>3.0363279840567811E-3</v>
      </c>
      <c r="V111" s="3">
        <f t="shared" si="10"/>
        <v>2.2060965596019375E-2</v>
      </c>
      <c r="W111" s="3">
        <f t="shared" si="11"/>
        <v>5.0249920941164658E-6</v>
      </c>
      <c r="X111" s="148">
        <f t="shared" si="12"/>
        <v>4.9896481456441766</v>
      </c>
      <c r="Z111" s="110"/>
      <c r="AS111" s="19"/>
      <c r="AT111" s="19"/>
    </row>
    <row r="112" spans="1:46" x14ac:dyDescent="0.2">
      <c r="A112" s="31">
        <f>'Raw Data'!A112</f>
        <v>6944.16162109375</v>
      </c>
      <c r="B112" s="110">
        <f>'Raw Data'!E112</f>
        <v>0.94024516958010684</v>
      </c>
      <c r="C112" s="110">
        <f t="shared" si="1"/>
        <v>5.9754830419893157E-2</v>
      </c>
      <c r="D112" s="99">
        <f t="shared" si="2"/>
        <v>6.8672896397393712E-3</v>
      </c>
      <c r="E112" s="86">
        <f>(2*Table!$AC$16*0.147)/A112</f>
        <v>1.5729800529488625E-2</v>
      </c>
      <c r="F112" s="86">
        <f t="shared" si="3"/>
        <v>3.145960105897725E-2</v>
      </c>
      <c r="G112" s="31">
        <f>IF((('Raw Data'!C112)/('Raw Data'!C$136)*100)&lt;0,0,('Raw Data'!C112)/('Raw Data'!C$136)*100)</f>
        <v>94.024516958010679</v>
      </c>
      <c r="H112" s="31">
        <f t="shared" si="4"/>
        <v>0.68672896397393401</v>
      </c>
      <c r="I112" s="8">
        <f t="shared" si="5"/>
        <v>3.8619235593369883E-2</v>
      </c>
      <c r="J112" s="86">
        <f>'Raw Data'!F112/I112</f>
        <v>0.17782044450714973</v>
      </c>
      <c r="K112" s="123">
        <f t="shared" si="6"/>
        <v>26.576861339318139</v>
      </c>
      <c r="L112" s="31">
        <f>A112*Table!$AC$9/$AC$16</f>
        <v>1308.3446265843434</v>
      </c>
      <c r="M112" s="31">
        <f>A112*Table!$AD$9/$AC$16</f>
        <v>448.57530054320341</v>
      </c>
      <c r="N112" s="31">
        <f>ABS(A112*Table!$AE$9/$AC$16)</f>
        <v>566.52984176345331</v>
      </c>
      <c r="O112" s="31">
        <f>($L112*(Table!$AC$10/Table!$AC$9)/(Table!$AC$12-Table!$AC$14))</f>
        <v>2806.4020304254473</v>
      </c>
      <c r="P112" s="31">
        <f>$N112*(Table!$AE$10/Table!$AE$9)/(Table!$AC$12-Table!$AC$13)</f>
        <v>4651.3123297492048</v>
      </c>
      <c r="Q112" s="31">
        <f>'Raw Data'!C112</f>
        <v>1.1418864025449147</v>
      </c>
      <c r="R112" s="31">
        <f>'Raw Data'!C112/'Raw Data'!I$23*100</f>
        <v>19.432687799401798</v>
      </c>
      <c r="S112" s="36">
        <f t="shared" si="7"/>
        <v>0.13148515194829566</v>
      </c>
      <c r="T112" s="36">
        <f t="shared" si="8"/>
        <v>2.7214994560154082E-6</v>
      </c>
      <c r="U112" s="3">
        <f t="shared" si="9"/>
        <v>2.7984210131821534E-3</v>
      </c>
      <c r="V112" s="3">
        <f t="shared" si="10"/>
        <v>1.9217764570940543E-2</v>
      </c>
      <c r="W112" s="3">
        <f t="shared" si="11"/>
        <v>4.0666159180505989E-6</v>
      </c>
      <c r="X112" s="148">
        <f t="shared" si="12"/>
        <v>4.9896522122600944</v>
      </c>
      <c r="Z112" s="110"/>
      <c r="AS112" s="19"/>
      <c r="AT112" s="19"/>
    </row>
    <row r="113" spans="1:46" x14ac:dyDescent="0.2">
      <c r="A113" s="31">
        <f>'Raw Data'!A113</f>
        <v>7602.1083984375</v>
      </c>
      <c r="B113" s="110">
        <f>'Raw Data'!E113</f>
        <v>0.9463618788535032</v>
      </c>
      <c r="C113" s="110">
        <f t="shared" si="1"/>
        <v>5.3638121146496798E-2</v>
      </c>
      <c r="D113" s="99">
        <f t="shared" si="2"/>
        <v>6.1167092733963591E-3</v>
      </c>
      <c r="E113" s="86">
        <f>(2*Table!$AC$16*0.147)/A113</f>
        <v>1.4368418788501583E-2</v>
      </c>
      <c r="F113" s="86">
        <f t="shared" si="3"/>
        <v>2.8736837577003165E-2</v>
      </c>
      <c r="G113" s="31">
        <f>IF((('Raw Data'!C113)/('Raw Data'!C$136)*100)&lt;0,0,('Raw Data'!C113)/('Raw Data'!C$136)*100)</f>
        <v>94.636187885350324</v>
      </c>
      <c r="H113" s="31">
        <f t="shared" si="4"/>
        <v>0.61167092733964523</v>
      </c>
      <c r="I113" s="8">
        <f t="shared" si="5"/>
        <v>3.9314237691550957E-2</v>
      </c>
      <c r="J113" s="86">
        <f>'Raw Data'!F113/I113</f>
        <v>0.15558509162472975</v>
      </c>
      <c r="K113" s="123">
        <f t="shared" si="6"/>
        <v>29.094970972164198</v>
      </c>
      <c r="L113" s="31">
        <f>A113*Table!$AC$9/$AC$16</f>
        <v>1432.3079180062091</v>
      </c>
      <c r="M113" s="31">
        <f>A113*Table!$AD$9/$AC$16</f>
        <v>491.07700045927169</v>
      </c>
      <c r="N113" s="31">
        <f>ABS(A113*Table!$AE$9/$AC$16)</f>
        <v>620.20752151748798</v>
      </c>
      <c r="O113" s="31">
        <f>($L113*(Table!$AC$10/Table!$AC$9)/(Table!$AC$12-Table!$AC$14))</f>
        <v>3072.3035564268753</v>
      </c>
      <c r="P113" s="31">
        <f>$N113*(Table!$AE$10/Table!$AE$9)/(Table!$AC$12-Table!$AC$13)</f>
        <v>5092.0157760056472</v>
      </c>
      <c r="Q113" s="31">
        <f>'Raw Data'!C113</f>
        <v>1.1493148769190302</v>
      </c>
      <c r="R113" s="31">
        <f>'Raw Data'!C113/'Raw Data'!I$23*100</f>
        <v>19.559105999159954</v>
      </c>
      <c r="S113" s="36">
        <f t="shared" si="7"/>
        <v>0.11711410038423727</v>
      </c>
      <c r="T113" s="36">
        <f t="shared" si="8"/>
        <v>2.1157881257005684E-6</v>
      </c>
      <c r="U113" s="3">
        <f t="shared" si="9"/>
        <v>2.5728528158293607E-3</v>
      </c>
      <c r="V113" s="3">
        <f t="shared" si="10"/>
        <v>1.6671879524435489E-2</v>
      </c>
      <c r="W113" s="3">
        <f t="shared" si="11"/>
        <v>3.0222971041382065E-6</v>
      </c>
      <c r="X113" s="148">
        <f t="shared" si="12"/>
        <v>4.9896552345571985</v>
      </c>
      <c r="Z113" s="110"/>
      <c r="AS113" s="19"/>
      <c r="AT113" s="19"/>
    </row>
    <row r="114" spans="1:46" x14ac:dyDescent="0.2">
      <c r="A114" s="31">
        <f>'Raw Data'!A114</f>
        <v>8312.9404296875</v>
      </c>
      <c r="B114" s="110">
        <f>'Raw Data'!E114</f>
        <v>0.95297688715756146</v>
      </c>
      <c r="C114" s="110">
        <f t="shared" si="1"/>
        <v>4.7023112842438541E-2</v>
      </c>
      <c r="D114" s="99">
        <f t="shared" si="2"/>
        <v>6.6150083040582563E-3</v>
      </c>
      <c r="E114" s="86">
        <f>(2*Table!$AC$16*0.147)/A114</f>
        <v>1.3139788269653369E-2</v>
      </c>
      <c r="F114" s="86">
        <f t="shared" si="3"/>
        <v>2.6279576539306737E-2</v>
      </c>
      <c r="G114" s="31">
        <f>IF((('Raw Data'!C114)/('Raw Data'!C$136)*100)&lt;0,0,('Raw Data'!C114)/('Raw Data'!C$136)*100)</f>
        <v>95.297688715756152</v>
      </c>
      <c r="H114" s="31">
        <f t="shared" si="4"/>
        <v>0.66150083040582786</v>
      </c>
      <c r="I114" s="8">
        <f t="shared" si="5"/>
        <v>3.8820610455450044E-2</v>
      </c>
      <c r="J114" s="86">
        <f>'Raw Data'!F114/I114</f>
        <v>0.17039938904746338</v>
      </c>
      <c r="K114" s="123">
        <f t="shared" si="6"/>
        <v>31.815484312851908</v>
      </c>
      <c r="L114" s="31">
        <f>A114*Table!$AC$9/$AC$16</f>
        <v>1566.2352830699688</v>
      </c>
      <c r="M114" s="31">
        <f>A114*Table!$AD$9/$AC$16</f>
        <v>536.99495419541779</v>
      </c>
      <c r="N114" s="31">
        <f>ABS(A114*Table!$AE$9/$AC$16)</f>
        <v>678.19977172105223</v>
      </c>
      <c r="O114" s="31">
        <f>($L114*(Table!$AC$10/Table!$AC$9)/(Table!$AC$12-Table!$AC$14))</f>
        <v>3359.5780417631249</v>
      </c>
      <c r="P114" s="31">
        <f>$N114*(Table!$AE$10/Table!$AE$9)/(Table!$AC$12-Table!$AC$13)</f>
        <v>5568.1426249675869</v>
      </c>
      <c r="Q114" s="31">
        <f>'Raw Data'!C114</f>
        <v>1.1573485135486117</v>
      </c>
      <c r="R114" s="31">
        <f>'Raw Data'!C114/'Raw Data'!I$23*100</f>
        <v>19.695822884629962</v>
      </c>
      <c r="S114" s="36">
        <f t="shared" si="7"/>
        <v>0.12665482564841218</v>
      </c>
      <c r="T114" s="36">
        <f t="shared" si="8"/>
        <v>1.5679692008108148E-6</v>
      </c>
      <c r="U114" s="3">
        <f t="shared" si="9"/>
        <v>2.3692967670370241E-3</v>
      </c>
      <c r="V114" s="3">
        <f t="shared" si="10"/>
        <v>1.4502885079115076E-2</v>
      </c>
      <c r="W114" s="3">
        <f t="shared" si="11"/>
        <v>2.7334333497639112E-6</v>
      </c>
      <c r="X114" s="148">
        <f t="shared" si="12"/>
        <v>4.9896579679905484</v>
      </c>
      <c r="Z114" s="110"/>
      <c r="AS114" s="19"/>
      <c r="AT114" s="19"/>
    </row>
    <row r="115" spans="1:46" x14ac:dyDescent="0.2">
      <c r="A115" s="31">
        <f>'Raw Data'!A115</f>
        <v>9092.2890625</v>
      </c>
      <c r="B115" s="110">
        <f>'Raw Data'!E115</f>
        <v>0.95848904190504036</v>
      </c>
      <c r="C115" s="110">
        <f t="shared" si="1"/>
        <v>4.1510958094959638E-2</v>
      </c>
      <c r="D115" s="99">
        <f t="shared" si="2"/>
        <v>5.5121547474789034E-3</v>
      </c>
      <c r="E115" s="86">
        <f>(2*Table!$AC$16*0.147)/A115</f>
        <v>1.2013506873075732E-2</v>
      </c>
      <c r="F115" s="86">
        <f t="shared" si="3"/>
        <v>2.4027013746151463E-2</v>
      </c>
      <c r="G115" s="31">
        <f>IF((('Raw Data'!C115)/('Raw Data'!C$136)*100)&lt;0,0,('Raw Data'!C115)/('Raw Data'!C$136)*100)</f>
        <v>95.84890419050403</v>
      </c>
      <c r="H115" s="31">
        <f t="shared" si="4"/>
        <v>0.55121547474787747</v>
      </c>
      <c r="I115" s="8">
        <f t="shared" si="5"/>
        <v>3.8918566013684819E-2</v>
      </c>
      <c r="J115" s="86">
        <f>'Raw Data'!F115/I115</f>
        <v>0.14163303821473486</v>
      </c>
      <c r="K115" s="123">
        <f t="shared" si="6"/>
        <v>34.798226028760098</v>
      </c>
      <c r="L115" s="31">
        <f>A115*Table!$AC$9/$AC$16</f>
        <v>1713.0718130376404</v>
      </c>
      <c r="M115" s="31">
        <f>A115*Table!$AD$9/$AC$16</f>
        <v>587.33890732719101</v>
      </c>
      <c r="N115" s="31">
        <f>ABS(A115*Table!$AE$9/$AC$16)</f>
        <v>741.78185429883149</v>
      </c>
      <c r="O115" s="31">
        <f>($L115*(Table!$AC$10/Table!$AC$9)/(Table!$AC$12-Table!$AC$14))</f>
        <v>3674.5427135084528</v>
      </c>
      <c r="P115" s="31">
        <f>$N115*(Table!$AE$10/Table!$AE$9)/(Table!$AC$12-Table!$AC$13)</f>
        <v>6090.1630073795668</v>
      </c>
      <c r="Q115" s="31">
        <f>'Raw Data'!C115</f>
        <v>1.1640427830418338</v>
      </c>
      <c r="R115" s="31">
        <f>'Raw Data'!C115/'Raw Data'!I$23*100</f>
        <v>19.809746343931099</v>
      </c>
      <c r="S115" s="36">
        <f t="shared" si="7"/>
        <v>0.10553894513793791</v>
      </c>
      <c r="T115" s="36">
        <f t="shared" si="8"/>
        <v>1.1863845410520213E-6</v>
      </c>
      <c r="U115" s="3">
        <f t="shared" si="9"/>
        <v>2.1787413717007636E-3</v>
      </c>
      <c r="V115" s="3">
        <f t="shared" si="10"/>
        <v>1.258573841245539E-2</v>
      </c>
      <c r="W115" s="3">
        <f t="shared" si="11"/>
        <v>1.9039799226503215E-6</v>
      </c>
      <c r="X115" s="148">
        <f t="shared" si="12"/>
        <v>4.9896598719704714</v>
      </c>
      <c r="Z115" s="110"/>
      <c r="AS115" s="19"/>
      <c r="AT115" s="19"/>
    </row>
    <row r="116" spans="1:46" x14ac:dyDescent="0.2">
      <c r="A116" s="31">
        <f>'Raw Data'!A116</f>
        <v>9953.4697265625</v>
      </c>
      <c r="B116" s="110">
        <f>'Raw Data'!E116</f>
        <v>0.96324789952635448</v>
      </c>
      <c r="C116" s="110">
        <f t="shared" si="1"/>
        <v>3.6752100473645521E-2</v>
      </c>
      <c r="D116" s="99">
        <f t="shared" si="2"/>
        <v>4.7588576213141165E-3</v>
      </c>
      <c r="E116" s="86">
        <f>(2*Table!$AC$16*0.147)/A116</f>
        <v>1.0974090457404594E-2</v>
      </c>
      <c r="F116" s="86">
        <f t="shared" si="3"/>
        <v>2.1948180914809188E-2</v>
      </c>
      <c r="G116" s="31">
        <f>IF((('Raw Data'!C116)/('Raw Data'!C$136)*100)&lt;0,0,('Raw Data'!C116)/('Raw Data'!C$136)*100)</f>
        <v>96.324789952635442</v>
      </c>
      <c r="H116" s="31">
        <f t="shared" si="4"/>
        <v>0.47588576213141209</v>
      </c>
      <c r="I116" s="8">
        <f t="shared" si="5"/>
        <v>3.9301265499878779E-2</v>
      </c>
      <c r="J116" s="86">
        <f>'Raw Data'!F116/I116</f>
        <v>0.12108662560315761</v>
      </c>
      <c r="K116" s="123">
        <f t="shared" si="6"/>
        <v>38.094157250661297</v>
      </c>
      <c r="L116" s="31">
        <f>A116*Table!$AC$9/$AC$16</f>
        <v>1875.3262586890714</v>
      </c>
      <c r="M116" s="31">
        <f>A116*Table!$AD$9/$AC$16</f>
        <v>642.9690029791102</v>
      </c>
      <c r="N116" s="31">
        <f>ABS(A116*Table!$AE$9/$AC$16)</f>
        <v>812.04009020438184</v>
      </c>
      <c r="O116" s="31">
        <f>($L116*(Table!$AC$10/Table!$AC$9)/(Table!$AC$12-Table!$AC$14))</f>
        <v>4022.5788474669062</v>
      </c>
      <c r="P116" s="31">
        <f>$N116*(Table!$AE$10/Table!$AE$9)/(Table!$AC$12-Table!$AC$13)</f>
        <v>6666.995814485892</v>
      </c>
      <c r="Q116" s="31">
        <f>'Raw Data'!C116</f>
        <v>1.1698222063084831</v>
      </c>
      <c r="R116" s="31">
        <f>'Raw Data'!C116/'Raw Data'!I$23*100</f>
        <v>19.908100898071591</v>
      </c>
      <c r="S116" s="36">
        <f t="shared" si="7"/>
        <v>9.1115876898202122E-2</v>
      </c>
      <c r="T116" s="36">
        <f t="shared" si="8"/>
        <v>9.1148774006288846E-7</v>
      </c>
      <c r="U116" s="3">
        <f t="shared" si="9"/>
        <v>2.0001166874445294E-3</v>
      </c>
      <c r="V116" s="3">
        <f t="shared" si="10"/>
        <v>1.0890741861341683E-2</v>
      </c>
      <c r="W116" s="3">
        <f t="shared" si="11"/>
        <v>1.3716431644889803E-6</v>
      </c>
      <c r="X116" s="148">
        <f t="shared" si="12"/>
        <v>4.9896612436136358</v>
      </c>
      <c r="Z116" s="110"/>
      <c r="AS116" s="19"/>
      <c r="AT116" s="19"/>
    </row>
    <row r="117" spans="1:46" x14ac:dyDescent="0.2">
      <c r="A117" s="31">
        <f>'Raw Data'!A117</f>
        <v>10893.1201171875</v>
      </c>
      <c r="B117" s="110">
        <f>'Raw Data'!E117</f>
        <v>0.96795868559193166</v>
      </c>
      <c r="C117" s="110">
        <f t="shared" si="1"/>
        <v>3.2041314408068344E-2</v>
      </c>
      <c r="D117" s="99">
        <f t="shared" si="2"/>
        <v>4.7107860655771772E-3</v>
      </c>
      <c r="E117" s="86">
        <f>(2*Table!$AC$16*0.147)/A117</f>
        <v>1.002745549202089E-2</v>
      </c>
      <c r="F117" s="86">
        <f t="shared" si="3"/>
        <v>2.0054910984041781E-2</v>
      </c>
      <c r="G117" s="31">
        <f>IF((('Raw Data'!C117)/('Raw Data'!C$136)*100)&lt;0,0,('Raw Data'!C117)/('Raw Data'!C$136)*100)</f>
        <v>96.795868559193167</v>
      </c>
      <c r="H117" s="31">
        <f t="shared" si="4"/>
        <v>0.47107860655772527</v>
      </c>
      <c r="I117" s="8">
        <f t="shared" si="5"/>
        <v>3.9177792690680224E-2</v>
      </c>
      <c r="J117" s="86">
        <f>'Raw Data'!F117/I117</f>
        <v>0.12024123213806781</v>
      </c>
      <c r="K117" s="123">
        <f t="shared" si="6"/>
        <v>41.690409685687911</v>
      </c>
      <c r="L117" s="31">
        <f>A117*Table!$AC$9/$AC$16</f>
        <v>2052.3651305534136</v>
      </c>
      <c r="M117" s="31">
        <f>A117*Table!$AD$9/$AC$16</f>
        <v>703.66804476117034</v>
      </c>
      <c r="N117" s="31">
        <f>ABS(A117*Table!$AE$9/$AC$16)</f>
        <v>888.70017045031102</v>
      </c>
      <c r="O117" s="31">
        <f>($L117*(Table!$AC$10/Table!$AC$9)/(Table!$AC$12-Table!$AC$14))</f>
        <v>4402.3276073646803</v>
      </c>
      <c r="P117" s="31">
        <f>$N117*(Table!$AE$10/Table!$AE$9)/(Table!$AC$12-Table!$AC$13)</f>
        <v>7296.3889199532905</v>
      </c>
      <c r="Q117" s="31">
        <f>'Raw Data'!C117</f>
        <v>1.1755432487850777</v>
      </c>
      <c r="R117" s="31">
        <f>'Raw Data'!C117/'Raw Data'!I$23*100</f>
        <v>20.005461924603654</v>
      </c>
      <c r="S117" s="36">
        <f t="shared" si="7"/>
        <v>9.0195470720212181E-2</v>
      </c>
      <c r="T117" s="36">
        <f t="shared" si="8"/>
        <v>6.8428960042776765E-7</v>
      </c>
      <c r="U117" s="3">
        <f t="shared" si="9"/>
        <v>1.8365226592001332E-3</v>
      </c>
      <c r="V117" s="3">
        <f t="shared" si="10"/>
        <v>9.4273715532046127E-3</v>
      </c>
      <c r="W117" s="3">
        <f t="shared" si="11"/>
        <v>1.1336427852831514E-6</v>
      </c>
      <c r="X117" s="148">
        <f t="shared" si="12"/>
        <v>4.9896623772564208</v>
      </c>
      <c r="Z117" s="110"/>
      <c r="AS117" s="19"/>
      <c r="AT117" s="19"/>
    </row>
    <row r="118" spans="1:46" x14ac:dyDescent="0.2">
      <c r="A118" s="31">
        <f>'Raw Data'!A118</f>
        <v>11893.9716796875</v>
      </c>
      <c r="B118" s="110">
        <f>'Raw Data'!E118</f>
        <v>0.97199828105040498</v>
      </c>
      <c r="C118" s="110">
        <f t="shared" si="1"/>
        <v>2.8001718949595023E-2</v>
      </c>
      <c r="D118" s="99">
        <f t="shared" si="2"/>
        <v>4.0395954584733218E-3</v>
      </c>
      <c r="E118" s="86">
        <f>(2*Table!$AC$16*0.147)/A118</f>
        <v>9.1836671623220928E-3</v>
      </c>
      <c r="F118" s="86">
        <f t="shared" si="3"/>
        <v>1.8367334324644186E-2</v>
      </c>
      <c r="G118" s="31">
        <f>IF((('Raw Data'!C118)/('Raw Data'!C$136)*100)&lt;0,0,('Raw Data'!C118)/('Raw Data'!C$136)*100)</f>
        <v>97.199828105040496</v>
      </c>
      <c r="H118" s="31">
        <f t="shared" si="4"/>
        <v>0.40395954584732863</v>
      </c>
      <c r="I118" s="8">
        <f t="shared" si="5"/>
        <v>3.8174607506908487E-2</v>
      </c>
      <c r="J118" s="86">
        <f>'Raw Data'!F118/I118</f>
        <v>0.10581891268278981</v>
      </c>
      <c r="K118" s="123">
        <f t="shared" si="6"/>
        <v>45.520892708577691</v>
      </c>
      <c r="L118" s="31">
        <f>A118*Table!$AC$9/$AC$16</f>
        <v>2240.9348723387679</v>
      </c>
      <c r="M118" s="31">
        <f>A118*Table!$AD$9/$AC$16</f>
        <v>768.32052765900619</v>
      </c>
      <c r="N118" s="31">
        <f>ABS(A118*Table!$AE$9/$AC$16)</f>
        <v>970.35326383590564</v>
      </c>
      <c r="O118" s="31">
        <f>($L118*(Table!$AC$10/Table!$AC$9)/(Table!$AC$12-Table!$AC$14))</f>
        <v>4806.8101079767657</v>
      </c>
      <c r="P118" s="31">
        <f>$N118*(Table!$AE$10/Table!$AE$9)/(Table!$AC$12-Table!$AC$13)</f>
        <v>7966.7755651552161</v>
      </c>
      <c r="Q118" s="31">
        <f>'Raw Data'!C118</f>
        <v>1.1804491597911111</v>
      </c>
      <c r="R118" s="31">
        <f>'Raw Data'!C118/'Raw Data'!I$23*100</f>
        <v>20.088950997369057</v>
      </c>
      <c r="S118" s="36">
        <f t="shared" si="7"/>
        <v>7.7344462012114562E-2</v>
      </c>
      <c r="T118" s="36">
        <f t="shared" si="8"/>
        <v>5.2087154078783726E-7</v>
      </c>
      <c r="U118" s="3">
        <f t="shared" si="9"/>
        <v>1.6890027602534925E-3</v>
      </c>
      <c r="V118" s="3">
        <f t="shared" si="10"/>
        <v>8.1826850068040732E-3</v>
      </c>
      <c r="W118" s="3">
        <f t="shared" si="11"/>
        <v>8.1540150170494074E-7</v>
      </c>
      <c r="X118" s="148">
        <f t="shared" si="12"/>
        <v>4.9896631926579227</v>
      </c>
      <c r="Z118" s="110"/>
      <c r="AS118" s="19"/>
      <c r="AT118" s="19"/>
    </row>
    <row r="119" spans="1:46" x14ac:dyDescent="0.2">
      <c r="A119" s="31">
        <f>'Raw Data'!A119</f>
        <v>12992.8955078125</v>
      </c>
      <c r="B119" s="110">
        <f>'Raw Data'!E119</f>
        <v>0.97631521240736097</v>
      </c>
      <c r="C119" s="110">
        <f t="shared" si="1"/>
        <v>2.3684787592639034E-2</v>
      </c>
      <c r="D119" s="99">
        <f t="shared" si="2"/>
        <v>4.3169313569559886E-3</v>
      </c>
      <c r="E119" s="86">
        <f>(2*Table!$AC$16*0.147)/A119</f>
        <v>8.4069233896829198E-3</v>
      </c>
      <c r="F119" s="86">
        <f t="shared" si="3"/>
        <v>1.681384677936584E-2</v>
      </c>
      <c r="G119" s="31">
        <f>IF((('Raw Data'!C119)/('Raw Data'!C$136)*100)&lt;0,0,('Raw Data'!C119)/('Raw Data'!C$136)*100)</f>
        <v>97.631521240736092</v>
      </c>
      <c r="H119" s="31">
        <f t="shared" si="4"/>
        <v>0.4316931356955962</v>
      </c>
      <c r="I119" s="8">
        <f t="shared" si="5"/>
        <v>3.8379045674930889E-2</v>
      </c>
      <c r="J119" s="86">
        <f>'Raw Data'!F119/I119</f>
        <v>0.11248146693172725</v>
      </c>
      <c r="K119" s="123">
        <f t="shared" si="6"/>
        <v>49.726720250643275</v>
      </c>
      <c r="L119" s="31">
        <f>A119*Table!$AC$9/$AC$16</f>
        <v>2447.9823409900496</v>
      </c>
      <c r="M119" s="31">
        <f>A119*Table!$AD$9/$AC$16</f>
        <v>839.30823119658839</v>
      </c>
      <c r="N119" s="31">
        <f>ABS(A119*Table!$AE$9/$AC$16)</f>
        <v>1060.0074476565417</v>
      </c>
      <c r="O119" s="31">
        <f>($L119*(Table!$AC$10/Table!$AC$9)/(Table!$AC$12-Table!$AC$14))</f>
        <v>5250.9273723510296</v>
      </c>
      <c r="P119" s="31">
        <f>$N119*(Table!$AE$10/Table!$AE$9)/(Table!$AC$12-Table!$AC$13)</f>
        <v>8702.8526080175816</v>
      </c>
      <c r="Q119" s="31">
        <f>'Raw Data'!C119</f>
        <v>1.1856918830474605</v>
      </c>
      <c r="R119" s="31">
        <f>'Raw Data'!C119/'Raw Data'!I$23*100</f>
        <v>20.178171960183082</v>
      </c>
      <c r="S119" s="36">
        <f t="shared" si="7"/>
        <v>8.265449765437044E-2</v>
      </c>
      <c r="T119" s="36">
        <f t="shared" si="8"/>
        <v>3.7452609036314755E-7</v>
      </c>
      <c r="U119" s="3">
        <f t="shared" si="9"/>
        <v>1.5530157960594807E-3</v>
      </c>
      <c r="V119" s="3">
        <f t="shared" si="10"/>
        <v>7.099884717282407E-3</v>
      </c>
      <c r="W119" s="3">
        <f t="shared" si="11"/>
        <v>7.3021488807190168E-7</v>
      </c>
      <c r="X119" s="148">
        <f t="shared" si="12"/>
        <v>4.9896639228728104</v>
      </c>
      <c r="Z119" s="110"/>
      <c r="AS119" s="19"/>
      <c r="AT119" s="19"/>
    </row>
    <row r="120" spans="1:46" x14ac:dyDescent="0.2">
      <c r="A120" s="31">
        <f>'Raw Data'!A120</f>
        <v>14293.09375</v>
      </c>
      <c r="B120" s="110">
        <f>'Raw Data'!E120</f>
        <v>0.98014984343038403</v>
      </c>
      <c r="C120" s="110">
        <f t="shared" si="1"/>
        <v>1.9850156569615973E-2</v>
      </c>
      <c r="D120" s="99">
        <f t="shared" si="2"/>
        <v>3.8346310230230607E-3</v>
      </c>
      <c r="E120" s="86">
        <f>(2*Table!$AC$16*0.147)/A120</f>
        <v>7.6421717407636151E-3</v>
      </c>
      <c r="F120" s="86">
        <f t="shared" si="3"/>
        <v>1.528434348152723E-2</v>
      </c>
      <c r="G120" s="31">
        <f>IF((('Raw Data'!C120)/('Raw Data'!C$136)*100)&lt;0,0,('Raw Data'!C120)/('Raw Data'!C$136)*100)</f>
        <v>98.014984343038407</v>
      </c>
      <c r="H120" s="31">
        <f t="shared" si="4"/>
        <v>0.38346310230231495</v>
      </c>
      <c r="I120" s="8">
        <f t="shared" si="5"/>
        <v>4.1420296549826929E-2</v>
      </c>
      <c r="J120" s="86">
        <f>'Raw Data'!F120/I120</f>
        <v>9.2578550672860485E-2</v>
      </c>
      <c r="K120" s="123">
        <f t="shared" si="6"/>
        <v>54.702870041177626</v>
      </c>
      <c r="L120" s="31">
        <f>A120*Table!$AC$9/$AC$16</f>
        <v>2692.9517810003599</v>
      </c>
      <c r="M120" s="31">
        <f>A120*Table!$AD$9/$AC$16</f>
        <v>923.29775348583769</v>
      </c>
      <c r="N120" s="31">
        <f>ABS(A120*Table!$AE$9/$AC$16)</f>
        <v>1166.0823267564301</v>
      </c>
      <c r="O120" s="31">
        <f>($L120*(Table!$AC$10/Table!$AC$9)/(Table!$AC$12-Table!$AC$14))</f>
        <v>5776.3873466331197</v>
      </c>
      <c r="P120" s="31">
        <f>$N120*(Table!$AE$10/Table!$AE$9)/(Table!$AC$12-Table!$AC$13)</f>
        <v>9573.7465250938421</v>
      </c>
      <c r="Q120" s="31">
        <f>'Raw Data'!C120</f>
        <v>1.1903488737618317</v>
      </c>
      <c r="R120" s="31">
        <f>'Raw Data'!C120/'Raw Data'!I$23*100</f>
        <v>20.257424893255408</v>
      </c>
      <c r="S120" s="36">
        <f t="shared" si="7"/>
        <v>7.342009281364327E-2</v>
      </c>
      <c r="T120" s="36">
        <f t="shared" si="8"/>
        <v>2.6710561473741734E-7</v>
      </c>
      <c r="U120" s="3">
        <f t="shared" si="9"/>
        <v>1.4172876248891467E-3</v>
      </c>
      <c r="V120" s="3">
        <f t="shared" si="10"/>
        <v>6.0825875035037903E-3</v>
      </c>
      <c r="W120" s="3">
        <f t="shared" si="11"/>
        <v>5.3599227284235622E-7</v>
      </c>
      <c r="X120" s="148">
        <f t="shared" si="12"/>
        <v>4.9896644588650831</v>
      </c>
      <c r="Z120" s="110"/>
      <c r="AS120" s="19"/>
      <c r="AT120" s="19"/>
    </row>
    <row r="121" spans="1:46" x14ac:dyDescent="0.2">
      <c r="A121" s="31">
        <f>'Raw Data'!A121</f>
        <v>15594.1298828125</v>
      </c>
      <c r="B121" s="110">
        <f>'Raw Data'!E121</f>
        <v>0.98336701531833592</v>
      </c>
      <c r="C121" s="110">
        <f t="shared" si="1"/>
        <v>1.6632984681664076E-2</v>
      </c>
      <c r="D121" s="99">
        <f t="shared" si="2"/>
        <v>3.2171718879518973E-3</v>
      </c>
      <c r="E121" s="86">
        <f>(2*Table!$AC$16*0.147)/A121</f>
        <v>7.0045765916523636E-3</v>
      </c>
      <c r="F121" s="86">
        <f t="shared" si="3"/>
        <v>1.4009153183304727E-2</v>
      </c>
      <c r="G121" s="31">
        <f>IF((('Raw Data'!C121)/('Raw Data'!C$136)*100)&lt;0,0,('Raw Data'!C121)/('Raw Data'!C$136)*100)</f>
        <v>98.336701531833597</v>
      </c>
      <c r="H121" s="31">
        <f t="shared" si="4"/>
        <v>0.32171718879519062</v>
      </c>
      <c r="I121" s="8">
        <f t="shared" si="5"/>
        <v>3.7834904812977133E-2</v>
      </c>
      <c r="J121" s="86">
        <f>'Raw Data'!F121/I121</f>
        <v>8.5031848338321378E-2</v>
      </c>
      <c r="K121" s="123">
        <f t="shared" si="6"/>
        <v>59.682226626739691</v>
      </c>
      <c r="L121" s="31">
        <f>A121*Table!$AC$9/$AC$16</f>
        <v>2938.0790873963765</v>
      </c>
      <c r="M121" s="31">
        <f>A121*Table!$AD$9/$AC$16</f>
        <v>1007.3414013930434</v>
      </c>
      <c r="N121" s="31">
        <f>ABS(A121*Table!$AE$9/$AC$16)</f>
        <v>1272.2255640065312</v>
      </c>
      <c r="O121" s="31">
        <f>($L121*(Table!$AC$10/Table!$AC$9)/(Table!$AC$12-Table!$AC$14))</f>
        <v>6302.1859446511726</v>
      </c>
      <c r="P121" s="31">
        <f>$N121*(Table!$AE$10/Table!$AE$9)/(Table!$AC$12-Table!$AC$13)</f>
        <v>10445.201674930468</v>
      </c>
      <c r="Q121" s="31">
        <f>'Raw Data'!C121</f>
        <v>1.1942559875150909</v>
      </c>
      <c r="R121" s="31">
        <f>'Raw Data'!C121/'Raw Data'!I$23*100</f>
        <v>20.323916377517431</v>
      </c>
      <c r="S121" s="36">
        <f t="shared" si="7"/>
        <v>6.1597858357870947E-2</v>
      </c>
      <c r="T121" s="36">
        <f t="shared" si="8"/>
        <v>1.9139305229565196E-7</v>
      </c>
      <c r="U121" s="3">
        <f t="shared" si="9"/>
        <v>1.3033055726897592E-3</v>
      </c>
      <c r="V121" s="3">
        <f t="shared" si="10"/>
        <v>5.2785678488818655E-3</v>
      </c>
      <c r="W121" s="3">
        <f t="shared" si="11"/>
        <v>3.7778038314196145E-7</v>
      </c>
      <c r="X121" s="148">
        <f t="shared" si="12"/>
        <v>4.9896648366454661</v>
      </c>
      <c r="Z121" s="110"/>
      <c r="AS121" s="19"/>
      <c r="AT121" s="19"/>
    </row>
    <row r="122" spans="1:46" x14ac:dyDescent="0.2">
      <c r="A122" s="31">
        <f>'Raw Data'!A122</f>
        <v>17094.009765625</v>
      </c>
      <c r="B122" s="110">
        <f>'Raw Data'!E122</f>
        <v>0.9861899551699137</v>
      </c>
      <c r="C122" s="110">
        <f t="shared" si="1"/>
        <v>1.3810044830086299E-2</v>
      </c>
      <c r="D122" s="99">
        <f t="shared" si="2"/>
        <v>2.822939851577777E-3</v>
      </c>
      <c r="E122" s="86">
        <f>(2*Table!$AC$16*0.147)/A122</f>
        <v>6.3899739523953242E-3</v>
      </c>
      <c r="F122" s="86">
        <f t="shared" si="3"/>
        <v>1.2779947904790648E-2</v>
      </c>
      <c r="G122" s="31">
        <f>IF((('Raw Data'!C122)/('Raw Data'!C$136)*100)&lt;0,0,('Raw Data'!C122)/('Raw Data'!C$136)*100)</f>
        <v>98.618995516991376</v>
      </c>
      <c r="H122" s="31">
        <f t="shared" si="4"/>
        <v>0.28229398515777859</v>
      </c>
      <c r="I122" s="8">
        <f t="shared" si="5"/>
        <v>3.9882800611888758E-2</v>
      </c>
      <c r="J122" s="86">
        <f>'Raw Data'!F122/I122</f>
        <v>7.0780883194453512E-2</v>
      </c>
      <c r="K122" s="123">
        <f t="shared" si="6"/>
        <v>65.422602765171504</v>
      </c>
      <c r="L122" s="31">
        <f>A122*Table!$AC$9/$AC$16</f>
        <v>3220.670405438108</v>
      </c>
      <c r="M122" s="31">
        <f>A122*Table!$AD$9/$AC$16</f>
        <v>1104.2298532930656</v>
      </c>
      <c r="N122" s="31">
        <f>ABS(A122*Table!$AE$9/$AC$16)</f>
        <v>1394.5911941630648</v>
      </c>
      <c r="O122" s="31">
        <f>($L122*(Table!$AC$10/Table!$AC$9)/(Table!$AC$12-Table!$AC$14))</f>
        <v>6908.3449280096702</v>
      </c>
      <c r="P122" s="31">
        <f>$N122*(Table!$AE$10/Table!$AE$9)/(Table!$AC$12-Table!$AC$13)</f>
        <v>11449.845600681974</v>
      </c>
      <c r="Q122" s="31">
        <f>'Raw Data'!C122</f>
        <v>1.1976843238001456</v>
      </c>
      <c r="R122" s="31">
        <f>'Raw Data'!C122/'Raw Data'!I$23*100</f>
        <v>20.382259999571559</v>
      </c>
      <c r="S122" s="36">
        <f t="shared" si="7"/>
        <v>5.4049660753742443E-2</v>
      </c>
      <c r="T122" s="36">
        <f t="shared" si="8"/>
        <v>1.3610520210871613E-7</v>
      </c>
      <c r="U122" s="3">
        <f t="shared" si="9"/>
        <v>1.1923627211538762E-3</v>
      </c>
      <c r="V122" s="3">
        <f t="shared" si="10"/>
        <v>4.541292573754868E-3</v>
      </c>
      <c r="W122" s="3">
        <f t="shared" si="11"/>
        <v>2.7586789504939143E-7</v>
      </c>
      <c r="X122" s="148">
        <f t="shared" si="12"/>
        <v>4.9896651125133609</v>
      </c>
      <c r="Z122" s="110"/>
      <c r="AS122" s="19"/>
      <c r="AT122" s="19"/>
    </row>
    <row r="123" spans="1:46" x14ac:dyDescent="0.2">
      <c r="A123" s="31">
        <f>'Raw Data'!A123</f>
        <v>18693.4921875</v>
      </c>
      <c r="B123" s="110">
        <f>'Raw Data'!E123</f>
        <v>0.98896135205042668</v>
      </c>
      <c r="C123" s="110">
        <f t="shared" si="1"/>
        <v>1.1038647949573321E-2</v>
      </c>
      <c r="D123" s="99">
        <f t="shared" si="2"/>
        <v>2.7713968805129774E-3</v>
      </c>
      <c r="E123" s="86">
        <f>(2*Table!$AC$16*0.147)/A123</f>
        <v>5.8432247997715139E-3</v>
      </c>
      <c r="F123" s="86">
        <f t="shared" si="3"/>
        <v>1.1686449599543028E-2</v>
      </c>
      <c r="G123" s="31">
        <f>IF((('Raw Data'!C123)/('Raw Data'!C$136)*100)&lt;0,0,('Raw Data'!C123)/('Raw Data'!C$136)*100)</f>
        <v>98.896135205042668</v>
      </c>
      <c r="H123" s="31">
        <f t="shared" si="4"/>
        <v>0.27713968805129241</v>
      </c>
      <c r="I123" s="8">
        <f t="shared" si="5"/>
        <v>3.8846493085427092E-2</v>
      </c>
      <c r="J123" s="86">
        <f>'Raw Data'!F123/I123</f>
        <v>7.1342266969077875E-2</v>
      </c>
      <c r="K123" s="123">
        <f t="shared" si="6"/>
        <v>71.544180121856527</v>
      </c>
      <c r="L123" s="31">
        <f>A123*Table!$AC$9/$AC$16</f>
        <v>3522.0277680921554</v>
      </c>
      <c r="M123" s="31">
        <f>A123*Table!$AD$9/$AC$16</f>
        <v>1207.5523776315963</v>
      </c>
      <c r="N123" s="31">
        <f>ABS(A123*Table!$AE$9/$AC$16)</f>
        <v>1525.0827600010073</v>
      </c>
      <c r="O123" s="31">
        <f>($L123*(Table!$AC$10/Table!$AC$9)/(Table!$AC$12-Table!$AC$14))</f>
        <v>7554.7571173147917</v>
      </c>
      <c r="P123" s="31">
        <f>$N123*(Table!$AE$10/Table!$AE$9)/(Table!$AC$12-Table!$AC$13)</f>
        <v>12521.204926116641</v>
      </c>
      <c r="Q123" s="31">
        <f>'Raw Data'!C123</f>
        <v>1.2010500634139172</v>
      </c>
      <c r="R123" s="31">
        <f>'Raw Data'!C123/'Raw Data'!I$23*100</f>
        <v>20.439538347910531</v>
      </c>
      <c r="S123" s="36">
        <f t="shared" si="7"/>
        <v>5.3062788823497339E-2</v>
      </c>
      <c r="T123" s="36">
        <f t="shared" si="8"/>
        <v>9.0717957590413789E-8</v>
      </c>
      <c r="U123" s="3">
        <f t="shared" si="9"/>
        <v>1.0934039580671867E-3</v>
      </c>
      <c r="V123" s="3">
        <f t="shared" si="10"/>
        <v>3.9223916957024027E-3</v>
      </c>
      <c r="W123" s="3">
        <f t="shared" si="11"/>
        <v>2.2646718091867886E-7</v>
      </c>
      <c r="X123" s="148">
        <f t="shared" si="12"/>
        <v>4.9896653389805419</v>
      </c>
      <c r="Z123" s="110"/>
      <c r="AS123" s="19"/>
      <c r="AT123" s="19"/>
    </row>
    <row r="124" spans="1:46" x14ac:dyDescent="0.2">
      <c r="A124" s="31">
        <f>'Raw Data'!A124</f>
        <v>20393.2109375</v>
      </c>
      <c r="B124" s="110">
        <f>'Raw Data'!E124</f>
        <v>0.99142998114190173</v>
      </c>
      <c r="C124" s="110">
        <f t="shared" si="1"/>
        <v>8.5700188580982717E-3</v>
      </c>
      <c r="D124" s="99">
        <f t="shared" si="2"/>
        <v>2.4686290914750497E-3</v>
      </c>
      <c r="E124" s="86">
        <f>(2*Table!$AC$16*0.147)/A124</f>
        <v>5.356207881098177E-3</v>
      </c>
      <c r="F124" s="86">
        <f t="shared" si="3"/>
        <v>1.0712415762196354E-2</v>
      </c>
      <c r="G124" s="31">
        <f>IF((('Raw Data'!C124)/('Raw Data'!C$136)*100)&lt;0,0,('Raw Data'!C124)/('Raw Data'!C$136)*100)</f>
        <v>99.142998114190178</v>
      </c>
      <c r="H124" s="31">
        <f t="shared" si="4"/>
        <v>0.24686290914750941</v>
      </c>
      <c r="I124" s="8">
        <f t="shared" si="5"/>
        <v>3.7795170574768555E-2</v>
      </c>
      <c r="J124" s="86">
        <f>'Raw Data'!F124/I124</f>
        <v>6.5315992861878142E-2</v>
      </c>
      <c r="K124" s="123">
        <f t="shared" si="6"/>
        <v>78.049384349443926</v>
      </c>
      <c r="L124" s="31">
        <f>A124*Table!$AC$9/$AC$16</f>
        <v>3842.2705871118101</v>
      </c>
      <c r="M124" s="31">
        <f>A124*Table!$AD$9/$AC$16</f>
        <v>1317.3499155811921</v>
      </c>
      <c r="N124" s="31">
        <f>ABS(A124*Table!$AE$9/$AC$16)</f>
        <v>1663.7519683262888</v>
      </c>
      <c r="O124" s="31">
        <f>($L124*(Table!$AC$10/Table!$AC$9)/(Table!$AC$12-Table!$AC$14))</f>
        <v>8241.6786510334841</v>
      </c>
      <c r="P124" s="31">
        <f>$N124*(Table!$AE$10/Table!$AE$9)/(Table!$AC$12-Table!$AC$13)</f>
        <v>13659.704173450644</v>
      </c>
      <c r="Q124" s="31">
        <f>'Raw Data'!C124</f>
        <v>1.2040481048648943</v>
      </c>
      <c r="R124" s="31">
        <f>'Raw Data'!C124/'Raw Data'!I$23*100</f>
        <v>20.490559187984168</v>
      </c>
      <c r="S124" s="36">
        <f t="shared" si="7"/>
        <v>4.7265819300567433E-2</v>
      </c>
      <c r="T124" s="36">
        <f t="shared" si="8"/>
        <v>5.6747562870995694E-8</v>
      </c>
      <c r="U124" s="3">
        <f t="shared" si="9"/>
        <v>1.0047735616908252E-3</v>
      </c>
      <c r="V124" s="3">
        <f t="shared" si="10"/>
        <v>3.3999319159799071E-3</v>
      </c>
      <c r="W124" s="3">
        <f t="shared" si="11"/>
        <v>1.6950091684040236E-7</v>
      </c>
      <c r="X124" s="148">
        <f t="shared" si="12"/>
        <v>4.9896655084814583</v>
      </c>
      <c r="Z124" s="110"/>
      <c r="AS124" s="19"/>
      <c r="AT124" s="19"/>
    </row>
    <row r="125" spans="1:46" x14ac:dyDescent="0.2">
      <c r="A125" s="31">
        <f>'Raw Data'!A125</f>
        <v>22293.62890625</v>
      </c>
      <c r="B125" s="110">
        <f>'Raw Data'!E125</f>
        <v>0.99297347804847869</v>
      </c>
      <c r="C125" s="110">
        <f t="shared" si="1"/>
        <v>7.026521951521314E-3</v>
      </c>
      <c r="D125" s="99">
        <f t="shared" si="2"/>
        <v>1.5434969065769577E-3</v>
      </c>
      <c r="E125" s="86">
        <f>(2*Table!$AC$16*0.147)/A125</f>
        <v>4.8996185234657973E-3</v>
      </c>
      <c r="F125" s="86">
        <f t="shared" si="3"/>
        <v>9.7992370469315946E-3</v>
      </c>
      <c r="G125" s="31">
        <f>IF((('Raw Data'!C125)/('Raw Data'!C$136)*100)&lt;0,0,('Raw Data'!C125)/('Raw Data'!C$136)*100)</f>
        <v>99.297347804847874</v>
      </c>
      <c r="H125" s="31">
        <f t="shared" si="4"/>
        <v>0.15434969065769621</v>
      </c>
      <c r="I125" s="8">
        <f t="shared" si="5"/>
        <v>3.8695156312151369E-2</v>
      </c>
      <c r="J125" s="86">
        <f>'Raw Data'!F125/I125</f>
        <v>3.988863345390483E-2</v>
      </c>
      <c r="K125" s="123">
        <f t="shared" si="6"/>
        <v>85.322709424251457</v>
      </c>
      <c r="L125" s="31">
        <f>A125*Table!$AC$9/$AC$16</f>
        <v>4200.3270053445949</v>
      </c>
      <c r="M125" s="31">
        <f>A125*Table!$AD$9/$AC$16</f>
        <v>1440.1121161181468</v>
      </c>
      <c r="N125" s="31">
        <f>ABS(A125*Table!$AE$9/$AC$16)</f>
        <v>1818.7949454151174</v>
      </c>
      <c r="O125" s="31">
        <f>($L125*(Table!$AC$10/Table!$AC$9)/(Table!$AC$12-Table!$AC$14))</f>
        <v>9009.7104361745933</v>
      </c>
      <c r="P125" s="31">
        <f>$N125*(Table!$AE$10/Table!$AE$9)/(Table!$AC$12-Table!$AC$13)</f>
        <v>14932.635019828547</v>
      </c>
      <c r="Q125" s="31">
        <f>'Raw Data'!C125</f>
        <v>1.2059226139684907</v>
      </c>
      <c r="R125" s="31">
        <f>'Raw Data'!C125/'Raw Data'!I$23*100</f>
        <v>20.522459690613974</v>
      </c>
      <c r="S125" s="36">
        <f t="shared" si="7"/>
        <v>2.9552696324120362E-2</v>
      </c>
      <c r="T125" s="36">
        <f t="shared" si="8"/>
        <v>3.8974584892770281E-8</v>
      </c>
      <c r="U125" s="3">
        <f t="shared" si="9"/>
        <v>9.2055267345284107E-4</v>
      </c>
      <c r="V125" s="3">
        <f t="shared" si="10"/>
        <v>2.9321025256447732E-3</v>
      </c>
      <c r="W125" s="3">
        <f t="shared" si="11"/>
        <v>8.8681220146637499E-8</v>
      </c>
      <c r="X125" s="148">
        <f t="shared" si="12"/>
        <v>4.9896655971626789</v>
      </c>
      <c r="Z125" s="110"/>
      <c r="AS125" s="19"/>
      <c r="AT125" s="19"/>
    </row>
    <row r="126" spans="1:46" x14ac:dyDescent="0.2">
      <c r="A126" s="31">
        <f>'Raw Data'!A126</f>
        <v>24394.32421875</v>
      </c>
      <c r="B126" s="110">
        <f>'Raw Data'!E126</f>
        <v>0.99421232052725272</v>
      </c>
      <c r="C126" s="110">
        <f t="shared" si="1"/>
        <v>5.7876794727472758E-3</v>
      </c>
      <c r="D126" s="99">
        <f t="shared" si="2"/>
        <v>1.2388424787740382E-3</v>
      </c>
      <c r="E126" s="86">
        <f>(2*Table!$AC$16*0.147)/A126</f>
        <v>4.4776922764836547E-3</v>
      </c>
      <c r="F126" s="86">
        <f t="shared" si="3"/>
        <v>8.9553845529673094E-3</v>
      </c>
      <c r="G126" s="31">
        <f>IF((('Raw Data'!C126)/('Raw Data'!C$136)*100)&lt;0,0,('Raw Data'!C126)/('Raw Data'!C$136)*100)</f>
        <v>99.421232052725273</v>
      </c>
      <c r="H126" s="31">
        <f t="shared" si="4"/>
        <v>0.12388424787739893</v>
      </c>
      <c r="I126" s="8">
        <f t="shared" si="5"/>
        <v>3.910802391351309E-2</v>
      </c>
      <c r="J126" s="86">
        <f>'Raw Data'!F126/I126</f>
        <v>3.1677450170167709E-2</v>
      </c>
      <c r="K126" s="123">
        <f t="shared" si="6"/>
        <v>93.362540736195285</v>
      </c>
      <c r="L126" s="31">
        <f>A126*Table!$AC$9/$AC$16</f>
        <v>4596.117537617286</v>
      </c>
      <c r="M126" s="31">
        <f>A126*Table!$AD$9/$AC$16</f>
        <v>1575.8117271830697</v>
      </c>
      <c r="N126" s="31">
        <f>ABS(A126*Table!$AE$9/$AC$16)</f>
        <v>1990.1772731778751</v>
      </c>
      <c r="O126" s="31">
        <f>($L126*(Table!$AC$10/Table!$AC$9)/(Table!$AC$12-Table!$AC$14))</f>
        <v>9858.6819768710575</v>
      </c>
      <c r="P126" s="31">
        <f>$N126*(Table!$AE$10/Table!$AE$9)/(Table!$AC$12-Table!$AC$13)</f>
        <v>16339.714886517853</v>
      </c>
      <c r="Q126" s="31">
        <f>'Raw Data'!C126</f>
        <v>1.2074271336694946</v>
      </c>
      <c r="R126" s="31">
        <f>'Raw Data'!C126/'Raw Data'!I$23*100</f>
        <v>20.548063692529137</v>
      </c>
      <c r="S126" s="36">
        <f t="shared" si="7"/>
        <v>2.3719604109750297E-2</v>
      </c>
      <c r="T126" s="36">
        <f t="shared" si="8"/>
        <v>2.7060670482192961E-8</v>
      </c>
      <c r="U126" s="3">
        <f t="shared" si="9"/>
        <v>8.423296955582584E-4</v>
      </c>
      <c r="V126" s="3">
        <f t="shared" si="10"/>
        <v>2.5232666427952807E-3</v>
      </c>
      <c r="W126" s="3">
        <f t="shared" si="11"/>
        <v>5.9446451697859139E-8</v>
      </c>
      <c r="X126" s="148">
        <f t="shared" si="12"/>
        <v>4.9896656566091302</v>
      </c>
      <c r="Z126" s="110"/>
      <c r="AS126" s="19"/>
      <c r="AT126" s="19"/>
    </row>
    <row r="127" spans="1:46" x14ac:dyDescent="0.2">
      <c r="A127" s="31">
        <f>'Raw Data'!A127</f>
        <v>26695.080078125</v>
      </c>
      <c r="B127" s="110">
        <f>'Raw Data'!E127</f>
        <v>0.99491294269909347</v>
      </c>
      <c r="C127" s="110">
        <f t="shared" si="1"/>
        <v>5.0870573009065279E-3</v>
      </c>
      <c r="D127" s="99">
        <f t="shared" si="2"/>
        <v>7.0062217184074793E-4</v>
      </c>
      <c r="E127" s="86">
        <f>(2*Table!$AC$16*0.147)/A127</f>
        <v>4.0917755940295024E-3</v>
      </c>
      <c r="F127" s="86">
        <f t="shared" si="3"/>
        <v>8.1835511880590048E-3</v>
      </c>
      <c r="G127" s="31">
        <f>IF((('Raw Data'!C127)/('Raw Data'!C$136)*100)&lt;0,0,('Raw Data'!C127)/('Raw Data'!C$136)*100)</f>
        <v>99.491294269909346</v>
      </c>
      <c r="H127" s="31">
        <f t="shared" si="4"/>
        <v>7.0062217184073461E-2</v>
      </c>
      <c r="I127" s="8">
        <f t="shared" si="5"/>
        <v>3.9142436346726317E-2</v>
      </c>
      <c r="J127" s="86">
        <f>'Raw Data'!F127/I127</f>
        <v>1.7899299002100685E-2</v>
      </c>
      <c r="K127" s="123">
        <f t="shared" si="6"/>
        <v>102.16804855509339</v>
      </c>
      <c r="L127" s="31">
        <f>A127*Table!$AC$9/$AC$16</f>
        <v>5029.6013373825344</v>
      </c>
      <c r="M127" s="31">
        <f>A127*Table!$AD$9/$AC$16</f>
        <v>1724.4347442454405</v>
      </c>
      <c r="N127" s="31">
        <f>ABS(A127*Table!$AE$9/$AC$16)</f>
        <v>2177.8812645407311</v>
      </c>
      <c r="O127" s="31">
        <f>($L127*(Table!$AC$10/Table!$AC$9)/(Table!$AC$12-Table!$AC$14))</f>
        <v>10788.505657191195</v>
      </c>
      <c r="P127" s="31">
        <f>$N127*(Table!$AE$10/Table!$AE$9)/(Table!$AC$12-Table!$AC$13)</f>
        <v>17880.798559447707</v>
      </c>
      <c r="Q127" s="31">
        <f>'Raw Data'!C127</f>
        <v>1.2082780084809055</v>
      </c>
      <c r="R127" s="31">
        <f>'Raw Data'!C127/'Raw Data'!I$23*100</f>
        <v>20.56254392850504</v>
      </c>
      <c r="S127" s="36">
        <f t="shared" si="7"/>
        <v>1.34145226946219E-2</v>
      </c>
      <c r="T127" s="36">
        <f t="shared" si="8"/>
        <v>2.1434182428947679E-8</v>
      </c>
      <c r="U127" s="3">
        <f t="shared" si="9"/>
        <v>7.7027466740415575E-4</v>
      </c>
      <c r="V127" s="3">
        <f t="shared" si="10"/>
        <v>2.1691552229148175E-3</v>
      </c>
      <c r="W127" s="3">
        <f t="shared" si="11"/>
        <v>2.8074294590740373E-8</v>
      </c>
      <c r="X127" s="148">
        <f t="shared" si="12"/>
        <v>4.9896656846834251</v>
      </c>
      <c r="Z127" s="110"/>
      <c r="AS127" s="19"/>
      <c r="AT127" s="19"/>
    </row>
    <row r="128" spans="1:46" x14ac:dyDescent="0.2">
      <c r="A128" s="31">
        <f>'Raw Data'!A128</f>
        <v>29295.568359375</v>
      </c>
      <c r="B128" s="110">
        <f>'Raw Data'!E128</f>
        <v>0.99597096971861188</v>
      </c>
      <c r="C128" s="110">
        <f t="shared" si="1"/>
        <v>4.029030281388124E-3</v>
      </c>
      <c r="D128" s="99">
        <f t="shared" si="2"/>
        <v>1.0580270195184038E-3</v>
      </c>
      <c r="E128" s="86">
        <f>(2*Table!$AC$16*0.147)/A128</f>
        <v>3.7285597536249812E-3</v>
      </c>
      <c r="F128" s="86">
        <f t="shared" si="3"/>
        <v>7.4571195072499624E-3</v>
      </c>
      <c r="G128" s="31">
        <f>IF((('Raw Data'!C128)/('Raw Data'!C$136)*100)&lt;0,0,('Raw Data'!C128)/('Raw Data'!C$136)*100)</f>
        <v>99.597096971861191</v>
      </c>
      <c r="H128" s="31">
        <f t="shared" si="4"/>
        <v>0.10580270195184482</v>
      </c>
      <c r="I128" s="8">
        <f t="shared" si="5"/>
        <v>4.0370700150432537E-2</v>
      </c>
      <c r="J128" s="86">
        <f>'Raw Data'!F128/I128</f>
        <v>2.6207794652455835E-2</v>
      </c>
      <c r="K128" s="123">
        <f t="shared" si="6"/>
        <v>112.12069946335626</v>
      </c>
      <c r="L128" s="31">
        <f>A128*Table!$AC$9/$AC$16</f>
        <v>5519.5575127880693</v>
      </c>
      <c r="M128" s="31">
        <f>A128*Table!$AD$9/$AC$16</f>
        <v>1892.4197186701952</v>
      </c>
      <c r="N128" s="31">
        <f>ABS(A128*Table!$AE$9/$AC$16)</f>
        <v>2390.0385118618597</v>
      </c>
      <c r="O128" s="31">
        <f>($L128*(Table!$AC$10/Table!$AC$9)/(Table!$AC$12-Table!$AC$14))</f>
        <v>11839.462704393114</v>
      </c>
      <c r="P128" s="31">
        <f>$N128*(Table!$AE$10/Table!$AE$9)/(Table!$AC$12-Table!$AC$13)</f>
        <v>19622.647880639237</v>
      </c>
      <c r="Q128" s="31">
        <f>'Raw Data'!C128</f>
        <v>1.2095629357596627</v>
      </c>
      <c r="R128" s="31">
        <f>'Raw Data'!C128/'Raw Data'!I$23*100</f>
        <v>20.584410894078296</v>
      </c>
      <c r="S128" s="36">
        <f t="shared" si="7"/>
        <v>2.0257605361765317E-2</v>
      </c>
      <c r="T128" s="36">
        <f t="shared" si="8"/>
        <v>1.4378989665608799E-8</v>
      </c>
      <c r="U128" s="3">
        <f t="shared" si="9"/>
        <v>7.026458965248575E-4</v>
      </c>
      <c r="V128" s="3">
        <f t="shared" si="10"/>
        <v>1.8569676644011298E-3</v>
      </c>
      <c r="W128" s="3">
        <f t="shared" si="11"/>
        <v>3.5203053390723945E-8</v>
      </c>
      <c r="X128" s="148">
        <f t="shared" si="12"/>
        <v>4.9896657198864789</v>
      </c>
      <c r="Z128" s="110"/>
      <c r="AS128" s="19"/>
      <c r="AT128" s="19"/>
    </row>
    <row r="129" spans="1:46" x14ac:dyDescent="0.2">
      <c r="A129" s="31">
        <f>'Raw Data'!A129</f>
        <v>31995.552734375</v>
      </c>
      <c r="B129" s="110">
        <f>'Raw Data'!E129</f>
        <v>0.99682856023571631</v>
      </c>
      <c r="C129" s="110">
        <f t="shared" si="1"/>
        <v>3.17143976428369E-3</v>
      </c>
      <c r="D129" s="99">
        <f t="shared" si="2"/>
        <v>8.5759051710443401E-4</v>
      </c>
      <c r="E129" s="86">
        <f>(2*Table!$AC$16*0.147)/A129</f>
        <v>3.4139206173794748E-3</v>
      </c>
      <c r="F129" s="86">
        <f t="shared" si="3"/>
        <v>6.8278412347589496E-3</v>
      </c>
      <c r="G129" s="31">
        <f>IF((('Raw Data'!C129)/('Raw Data'!C$136)*100)&lt;0,0,('Raw Data'!C129)/('Raw Data'!C$136)*100)</f>
        <v>99.682856023571631</v>
      </c>
      <c r="H129" s="31">
        <f t="shared" si="4"/>
        <v>8.5759051710439849E-2</v>
      </c>
      <c r="I129" s="8">
        <f t="shared" si="5"/>
        <v>3.8287689045131135E-2</v>
      </c>
      <c r="J129" s="86">
        <f>'Raw Data'!F129/I129</f>
        <v>2.2398597003166213E-2</v>
      </c>
      <c r="K129" s="123">
        <f t="shared" si="6"/>
        <v>122.45414419982804</v>
      </c>
      <c r="L129" s="31">
        <f>A129*Table!$AC$9/$AC$16</f>
        <v>6028.2596775191578</v>
      </c>
      <c r="M129" s="31">
        <f>A129*Table!$AD$9/$AC$16</f>
        <v>2066.8318894351401</v>
      </c>
      <c r="N129" s="31">
        <f>ABS(A129*Table!$AE$9/$AC$16)</f>
        <v>2610.3130106704893</v>
      </c>
      <c r="O129" s="31">
        <f>($L129*(Table!$AC$10/Table!$AC$9)/(Table!$AC$12-Table!$AC$14))</f>
        <v>12930.629938908532</v>
      </c>
      <c r="P129" s="31">
        <f>$N129*(Table!$AE$10/Table!$AE$9)/(Table!$AC$12-Table!$AC$13)</f>
        <v>21431.141302713371</v>
      </c>
      <c r="Q129" s="31">
        <f>'Raw Data'!C129</f>
        <v>1.2106044417222728</v>
      </c>
      <c r="R129" s="31">
        <f>'Raw Data'!C129/'Raw Data'!I$23*100</f>
        <v>20.602135301836817</v>
      </c>
      <c r="S129" s="36">
        <f t="shared" si="7"/>
        <v>1.6419930622756353E-2</v>
      </c>
      <c r="T129" s="36">
        <f t="shared" si="8"/>
        <v>9.5847834113982344E-9</v>
      </c>
      <c r="U129" s="3">
        <f t="shared" si="9"/>
        <v>6.4390621636933128E-4</v>
      </c>
      <c r="V129" s="3">
        <f t="shared" si="10"/>
        <v>1.6021085660511895E-3</v>
      </c>
      <c r="W129" s="3">
        <f t="shared" si="11"/>
        <v>2.3921486724874616E-8</v>
      </c>
      <c r="X129" s="148">
        <f t="shared" si="12"/>
        <v>4.9896657438079659</v>
      </c>
      <c r="Z129" s="110"/>
      <c r="AS129" s="19"/>
      <c r="AT129" s="19"/>
    </row>
    <row r="130" spans="1:46" x14ac:dyDescent="0.2">
      <c r="A130" s="31">
        <f>'Raw Data'!A130</f>
        <v>34995.55078125</v>
      </c>
      <c r="B130" s="110">
        <f>'Raw Data'!E130</f>
        <v>0.99751439115963803</v>
      </c>
      <c r="C130" s="110">
        <f t="shared" si="1"/>
        <v>2.4856088403619747E-3</v>
      </c>
      <c r="D130" s="99">
        <f t="shared" si="2"/>
        <v>6.858309239217153E-4</v>
      </c>
      <c r="E130" s="86">
        <f>(2*Table!$AC$16*0.147)/A130</f>
        <v>3.1212618377436342E-3</v>
      </c>
      <c r="F130" s="86">
        <f t="shared" si="3"/>
        <v>6.2425236754872684E-3</v>
      </c>
      <c r="G130" s="31">
        <f>IF((('Raw Data'!C130)/('Raw Data'!C$136)*100)&lt;0,0,('Raw Data'!C130)/('Raw Data'!C$136)*100)</f>
        <v>99.751439115963805</v>
      </c>
      <c r="H130" s="31">
        <f t="shared" si="4"/>
        <v>6.8583092392174194E-2</v>
      </c>
      <c r="I130" s="8">
        <f t="shared" si="5"/>
        <v>3.8923215934626665E-2</v>
      </c>
      <c r="J130" s="86">
        <f>'Raw Data'!F130/I130</f>
        <v>1.7620099147860752E-2</v>
      </c>
      <c r="K130" s="123">
        <f t="shared" si="6"/>
        <v>133.9358084323872</v>
      </c>
      <c r="L130" s="31">
        <f>A130*Table!$AC$9/$AC$16</f>
        <v>6593.487208006015</v>
      </c>
      <c r="M130" s="31">
        <f>A130*Table!$AD$9/$AC$16</f>
        <v>2260.6241856020624</v>
      </c>
      <c r="N130" s="31">
        <f>ABS(A130*Table!$AE$9/$AC$16)</f>
        <v>2855.0637108304704</v>
      </c>
      <c r="O130" s="31">
        <f>($L130*(Table!$AC$10/Table!$AC$9)/(Table!$AC$12-Table!$AC$14))</f>
        <v>14143.044204217107</v>
      </c>
      <c r="P130" s="31">
        <f>$N130*(Table!$AE$10/Table!$AE$9)/(Table!$AC$12-Table!$AC$13)</f>
        <v>23440.588758870854</v>
      </c>
      <c r="Q130" s="31">
        <f>'Raw Data'!C130</f>
        <v>1.2114373532136669</v>
      </c>
      <c r="R130" s="31">
        <f>'Raw Data'!C130/'Raw Data'!I$23*100</f>
        <v>20.616309837010128</v>
      </c>
      <c r="S130" s="36">
        <f t="shared" si="7"/>
        <v>1.3131320793702408E-2</v>
      </c>
      <c r="T130" s="36">
        <f t="shared" si="8"/>
        <v>6.3799359129035338E-9</v>
      </c>
      <c r="U130" s="3">
        <f t="shared" si="9"/>
        <v>5.8911231218729623E-4</v>
      </c>
      <c r="V130" s="3">
        <f t="shared" si="10"/>
        <v>1.3784083070987327E-3</v>
      </c>
      <c r="W130" s="3">
        <f t="shared" si="11"/>
        <v>1.599111804033181E-8</v>
      </c>
      <c r="X130" s="148">
        <f t="shared" si="12"/>
        <v>4.9896657597990837</v>
      </c>
      <c r="Z130" s="110"/>
      <c r="AS130" s="19"/>
      <c r="AT130" s="19"/>
    </row>
    <row r="131" spans="1:46" x14ac:dyDescent="0.2">
      <c r="A131" s="31">
        <f>'Raw Data'!A131</f>
        <v>38296.70703125</v>
      </c>
      <c r="B131" s="110">
        <f>'Raw Data'!E131</f>
        <v>0.99758283841403916</v>
      </c>
      <c r="C131" s="110">
        <f t="shared" si="1"/>
        <v>2.4171615859608364E-3</v>
      </c>
      <c r="D131" s="99">
        <f t="shared" si="2"/>
        <v>6.8447254401138302E-5</v>
      </c>
      <c r="E131" s="86">
        <f>(2*Table!$AC$16*0.147)/A131</f>
        <v>2.8522106889034469E-3</v>
      </c>
      <c r="F131" s="86">
        <f t="shared" si="3"/>
        <v>5.7044213778068937E-3</v>
      </c>
      <c r="G131" s="31">
        <f>IF((('Raw Data'!C131)/('Raw Data'!C$136)*100)&lt;0,0,('Raw Data'!C131)/('Raw Data'!C$136)*100)</f>
        <v>99.758283841403923</v>
      </c>
      <c r="H131" s="31">
        <f t="shared" si="4"/>
        <v>6.844725440117827E-3</v>
      </c>
      <c r="I131" s="8">
        <f t="shared" si="5"/>
        <v>3.9148599369892345E-2</v>
      </c>
      <c r="J131" s="86">
        <f>'Raw Data'!F131/I131</f>
        <v>1.7483959963527688E-3</v>
      </c>
      <c r="K131" s="123">
        <f t="shared" si="6"/>
        <v>146.57007253839092</v>
      </c>
      <c r="L131" s="31">
        <f>A131*Table!$AC$9/$AC$16</f>
        <v>7215.4557445796991</v>
      </c>
      <c r="M131" s="31">
        <f>A131*Table!$AD$9/$AC$16</f>
        <v>2473.8705409987538</v>
      </c>
      <c r="N131" s="31">
        <f>ABS(A131*Table!$AE$9/$AC$16)</f>
        <v>3124.3839873441907</v>
      </c>
      <c r="O131" s="31">
        <f>($L131*(Table!$AC$10/Table!$AC$9)/(Table!$AC$12-Table!$AC$14))</f>
        <v>15477.168049291507</v>
      </c>
      <c r="P131" s="31">
        <f>$N131*(Table!$AE$10/Table!$AE$9)/(Table!$AC$12-Table!$AC$13)</f>
        <v>25651.756874747043</v>
      </c>
      <c r="Q131" s="31">
        <f>'Raw Data'!C131</f>
        <v>1.2115204793935408</v>
      </c>
      <c r="R131" s="31">
        <f>'Raw Data'!C131/'Raw Data'!I$23*100</f>
        <v>20.617724483071107</v>
      </c>
      <c r="S131" s="36">
        <f t="shared" si="7"/>
        <v>1.3105312455874338E-3</v>
      </c>
      <c r="T131" s="36">
        <f t="shared" si="8"/>
        <v>6.1128511141816944E-9</v>
      </c>
      <c r="U131" s="3">
        <f t="shared" si="9"/>
        <v>5.3836807603972595E-4</v>
      </c>
      <c r="V131" s="3">
        <f t="shared" si="10"/>
        <v>1.1836627781739207E-3</v>
      </c>
      <c r="W131" s="3">
        <f t="shared" si="11"/>
        <v>1.3326637944086859E-9</v>
      </c>
      <c r="X131" s="148">
        <f t="shared" si="12"/>
        <v>4.9896657611317474</v>
      </c>
      <c r="Z131" s="110"/>
      <c r="AS131" s="19"/>
      <c r="AT131" s="19"/>
    </row>
    <row r="132" spans="1:46" x14ac:dyDescent="0.2">
      <c r="A132" s="31">
        <f>'Raw Data'!A132</f>
        <v>41892.23828125</v>
      </c>
      <c r="B132" s="110">
        <f>'Raw Data'!E132</f>
        <v>0.99758283841403916</v>
      </c>
      <c r="C132" s="110">
        <f t="shared" si="1"/>
        <v>2.4171615859608364E-3</v>
      </c>
      <c r="D132" s="99">
        <f t="shared" si="2"/>
        <v>0</v>
      </c>
      <c r="E132" s="86">
        <f>(2*Table!$AC$16*0.147)/A132</f>
        <v>2.6074108623893701E-3</v>
      </c>
      <c r="F132" s="86">
        <f t="shared" si="3"/>
        <v>5.2148217247787402E-3</v>
      </c>
      <c r="G132" s="31">
        <f>IF((('Raw Data'!C132)/('Raw Data'!C$136)*100)&lt;0,0,('Raw Data'!C132)/('Raw Data'!C$136)*100)</f>
        <v>99.758283841403923</v>
      </c>
      <c r="H132" s="31">
        <f t="shared" si="4"/>
        <v>0</v>
      </c>
      <c r="I132" s="8">
        <f t="shared" si="5"/>
        <v>3.8972132653513736E-2</v>
      </c>
      <c r="J132" s="86">
        <f>'Raw Data'!F132/I132</f>
        <v>0</v>
      </c>
      <c r="K132" s="123">
        <f t="shared" si="6"/>
        <v>160.33097568070349</v>
      </c>
      <c r="L132" s="31">
        <f>A132*Table!$AC$9/$AC$16</f>
        <v>7892.8872686911218</v>
      </c>
      <c r="M132" s="31">
        <f>A132*Table!$AD$9/$AC$16</f>
        <v>2706.1327778369559</v>
      </c>
      <c r="N132" s="31">
        <f>ABS(A132*Table!$AE$9/$AC$16)</f>
        <v>3417.720441946642</v>
      </c>
      <c r="O132" s="31">
        <f>($L132*(Table!$AC$10/Table!$AC$9)/(Table!$AC$12-Table!$AC$14))</f>
        <v>16930.26012160258</v>
      </c>
      <c r="P132" s="31">
        <f>$N132*(Table!$AE$10/Table!$AE$9)/(Table!$AC$12-Table!$AC$13)</f>
        <v>28060.102150629238</v>
      </c>
      <c r="Q132" s="31">
        <f>'Raw Data'!C132</f>
        <v>1.2115204793935408</v>
      </c>
      <c r="R132" s="31">
        <f>'Raw Data'!C132/'Raw Data'!I$23*100</f>
        <v>20.617724483071107</v>
      </c>
      <c r="S132" s="36">
        <f t="shared" si="7"/>
        <v>0</v>
      </c>
      <c r="T132" s="36">
        <f t="shared" si="8"/>
        <v>6.1128511141816944E-9</v>
      </c>
      <c r="U132" s="3">
        <f t="shared" si="9"/>
        <v>4.9216096654112476E-4</v>
      </c>
      <c r="V132" s="3">
        <f t="shared" si="10"/>
        <v>1.0170120872064565E-3</v>
      </c>
      <c r="W132" s="3">
        <f t="shared" si="11"/>
        <v>0</v>
      </c>
      <c r="X132" s="148">
        <f t="shared" si="12"/>
        <v>4.9896657611317474</v>
      </c>
      <c r="Z132" s="110"/>
      <c r="AS132" s="19"/>
      <c r="AT132" s="19"/>
    </row>
    <row r="133" spans="1:46" x14ac:dyDescent="0.2">
      <c r="A133" s="31">
        <f>'Raw Data'!A133</f>
        <v>45790.60546875</v>
      </c>
      <c r="B133" s="110">
        <f>'Raw Data'!E133</f>
        <v>0.99891842772869222</v>
      </c>
      <c r="C133" s="110">
        <f t="shared" si="1"/>
        <v>1.0815722713077847E-3</v>
      </c>
      <c r="D133" s="99">
        <f t="shared" si="2"/>
        <v>1.3355893146530518E-3</v>
      </c>
      <c r="E133" s="86">
        <f>(2*Table!$AC$16*0.147)/A133</f>
        <v>2.3854298502097712E-3</v>
      </c>
      <c r="F133" s="86">
        <f t="shared" si="3"/>
        <v>4.7708597004195424E-3</v>
      </c>
      <c r="G133" s="31">
        <f>IF((('Raw Data'!C133)/('Raw Data'!C$136)*100)&lt;0,0,('Raw Data'!C133)/('Raw Data'!C$136)*100)</f>
        <v>99.891842772869225</v>
      </c>
      <c r="H133" s="31">
        <f t="shared" si="4"/>
        <v>0.13355893146530207</v>
      </c>
      <c r="I133" s="8">
        <f t="shared" si="5"/>
        <v>3.8642820930700594E-2</v>
      </c>
      <c r="J133" s="86">
        <f>'Raw Data'!F133/I133</f>
        <v>3.4562417610458793E-2</v>
      </c>
      <c r="K133" s="123">
        <f t="shared" si="6"/>
        <v>175.25089976156269</v>
      </c>
      <c r="L133" s="31">
        <f>A133*Table!$AC$9/$AC$16</f>
        <v>8627.3758996476972</v>
      </c>
      <c r="M133" s="31">
        <f>A133*Table!$AD$9/$AC$16</f>
        <v>2957.9574513077819</v>
      </c>
      <c r="N133" s="31">
        <f>ABS(A133*Table!$AE$9/$AC$16)</f>
        <v>3735.7633485462661</v>
      </c>
      <c r="O133" s="31">
        <f>($L133*(Table!$AC$10/Table!$AC$9)/(Table!$AC$12-Table!$AC$14))</f>
        <v>18505.739810484123</v>
      </c>
      <c r="P133" s="31">
        <f>$N133*(Table!$AE$10/Table!$AE$9)/(Table!$AC$12-Table!$AC$13)</f>
        <v>30671.291859985758</v>
      </c>
      <c r="Q133" s="31">
        <f>'Raw Data'!C133</f>
        <v>1.2131424938713899</v>
      </c>
      <c r="R133" s="31">
        <f>'Raw Data'!C133/'Raw Data'!I$23*100</f>
        <v>20.645328017786913</v>
      </c>
      <c r="S133" s="36">
        <f t="shared" si="7"/>
        <v>2.5571975726997494E-2</v>
      </c>
      <c r="T133" s="36">
        <f t="shared" si="8"/>
        <v>2.4675270715590614E-9</v>
      </c>
      <c r="U133" s="3">
        <f t="shared" si="9"/>
        <v>4.5086383563712446E-4</v>
      </c>
      <c r="V133" s="3">
        <f t="shared" si="10"/>
        <v>8.769274593983167E-4</v>
      </c>
      <c r="W133" s="3">
        <f t="shared" si="11"/>
        <v>1.81889485953647E-8</v>
      </c>
      <c r="X133" s="148">
        <f t="shared" si="12"/>
        <v>4.9896657793206964</v>
      </c>
      <c r="Z133" s="110"/>
      <c r="AS133" s="19"/>
      <c r="AT133" s="19"/>
    </row>
    <row r="134" spans="1:46" x14ac:dyDescent="0.2">
      <c r="A134" s="31">
        <f>'Raw Data'!A134</f>
        <v>50084.66796875</v>
      </c>
      <c r="B134" s="110">
        <f>'Raw Data'!E134</f>
        <v>1</v>
      </c>
      <c r="C134" s="110">
        <f t="shared" si="1"/>
        <v>0</v>
      </c>
      <c r="D134" s="99">
        <f t="shared" si="2"/>
        <v>1.0815722713077847E-3</v>
      </c>
      <c r="E134" s="86">
        <f>(2*Table!$AC$16*0.147)/A134</f>
        <v>2.1809124743022868E-3</v>
      </c>
      <c r="F134" s="86">
        <f t="shared" si="3"/>
        <v>4.3618249486045736E-3</v>
      </c>
      <c r="G134" s="31">
        <f>IF((('Raw Data'!C134)/('Raw Data'!C$136)*100)&lt;0,0,('Raw Data'!C134)/('Raw Data'!C$136)*100)</f>
        <v>100</v>
      </c>
      <c r="H134" s="31">
        <f t="shared" si="4"/>
        <v>0.10815722713077491</v>
      </c>
      <c r="I134" s="8">
        <f t="shared" si="5"/>
        <v>3.8928412960303138E-2</v>
      </c>
      <c r="J134" s="86">
        <f>'Raw Data'!F134/I134</f>
        <v>2.7783620986827982E-2</v>
      </c>
      <c r="K134" s="123">
        <f t="shared" si="6"/>
        <v>191.68523840054311</v>
      </c>
      <c r="L134" s="31">
        <f>A134*Table!$AC$9/$AC$16</f>
        <v>9436.4172072443725</v>
      </c>
      <c r="M134" s="31">
        <f>A134*Table!$AD$9/$AC$16</f>
        <v>3235.3430424837848</v>
      </c>
      <c r="N134" s="31">
        <f>ABS(A134*Table!$AE$9/$AC$16)</f>
        <v>4086.0885110911163</v>
      </c>
      <c r="O134" s="31">
        <f>($L134*(Table!$AC$10/Table!$AC$9)/(Table!$AC$12-Table!$AC$14))</f>
        <v>20241.13515067433</v>
      </c>
      <c r="P134" s="31">
        <f>$N134*(Table!$AE$10/Table!$AE$9)/(Table!$AC$12-Table!$AC$13)</f>
        <v>33547.524721601934</v>
      </c>
      <c r="Q134" s="31">
        <f>'Raw Data'!C134</f>
        <v>1.2144560158228268</v>
      </c>
      <c r="R134" s="31">
        <f>'Raw Data'!C134/'Raw Data'!I$23*100</f>
        <v>20.667681609127563</v>
      </c>
      <c r="S134" s="36">
        <f t="shared" si="7"/>
        <v>2.0708416550982191E-2</v>
      </c>
      <c r="T134" s="36">
        <f t="shared" si="8"/>
        <v>0</v>
      </c>
      <c r="U134" s="3">
        <f t="shared" si="9"/>
        <v>4.1265485920807197E-4</v>
      </c>
      <c r="V134" s="3">
        <f t="shared" si="10"/>
        <v>7.5497131493820595E-4</v>
      </c>
      <c r="W134" s="3">
        <f t="shared" si="11"/>
        <v>1.2312135271743015E-8</v>
      </c>
      <c r="X134" s="148">
        <f t="shared" si="12"/>
        <v>4.9896657916328317</v>
      </c>
      <c r="Z134" s="110"/>
      <c r="AS134" s="19"/>
      <c r="AT134" s="19"/>
    </row>
    <row r="135" spans="1:46" x14ac:dyDescent="0.2">
      <c r="A135" s="31">
        <f>'Raw Data'!A135</f>
        <v>54780.1484375</v>
      </c>
      <c r="B135" s="110">
        <f>'Raw Data'!E135</f>
        <v>1</v>
      </c>
      <c r="C135" s="110">
        <f t="shared" si="1"/>
        <v>0</v>
      </c>
      <c r="D135" s="99">
        <f t="shared" si="2"/>
        <v>0</v>
      </c>
      <c r="E135" s="86">
        <f>(2*Table!$AC$16*0.147)/A135</f>
        <v>1.9939755597588151E-3</v>
      </c>
      <c r="F135" s="86">
        <f t="shared" si="3"/>
        <v>3.9879511195176302E-3</v>
      </c>
      <c r="G135" s="31">
        <f>IF((('Raw Data'!C135)/('Raw Data'!C$136)*100)&lt;0,0,('Raw Data'!C135)/('Raw Data'!C$136)*100)</f>
        <v>100</v>
      </c>
      <c r="H135" s="31">
        <f t="shared" si="4"/>
        <v>0</v>
      </c>
      <c r="I135" s="8">
        <f t="shared" si="5"/>
        <v>3.8918405716996674E-2</v>
      </c>
      <c r="J135" s="86">
        <f>'Raw Data'!F135/I135</f>
        <v>0</v>
      </c>
      <c r="K135" s="123">
        <f t="shared" si="6"/>
        <v>209.65589348443069</v>
      </c>
      <c r="L135" s="31">
        <f>A135*Table!$AC$9/$AC$16</f>
        <v>10321.089393136437</v>
      </c>
      <c r="M135" s="31">
        <f>A135*Table!$AD$9/$AC$16</f>
        <v>3538.6592205039215</v>
      </c>
      <c r="N135" s="31">
        <f>ABS(A135*Table!$AE$9/$AC$16)</f>
        <v>4469.1628045931357</v>
      </c>
      <c r="O135" s="31">
        <f>($L135*(Table!$AC$10/Table!$AC$9)/(Table!$AC$12-Table!$AC$14))</f>
        <v>22138.758887036547</v>
      </c>
      <c r="P135" s="31">
        <f>$N135*(Table!$AE$10/Table!$AE$9)/(Table!$AC$12-Table!$AC$13)</f>
        <v>36692.633863654635</v>
      </c>
      <c r="Q135" s="31">
        <f>'Raw Data'!C135</f>
        <v>1.2144560158228268</v>
      </c>
      <c r="R135" s="31">
        <f>'Raw Data'!C135/'Raw Data'!I$23*100</f>
        <v>20.667681609127563</v>
      </c>
      <c r="S135" s="36">
        <f t="shared" si="7"/>
        <v>0</v>
      </c>
      <c r="T135" s="36">
        <f t="shared" si="8"/>
        <v>0</v>
      </c>
      <c r="U135" s="3">
        <f t="shared" si="9"/>
        <v>3.7728414760883355E-4</v>
      </c>
      <c r="V135" s="3">
        <f t="shared" si="10"/>
        <v>6.4881282644496663E-4</v>
      </c>
      <c r="W135" s="3">
        <f t="shared" si="11"/>
        <v>0</v>
      </c>
      <c r="X135" s="148">
        <f t="shared" si="12"/>
        <v>4.9896657916328317</v>
      </c>
      <c r="AS135" s="19"/>
      <c r="AT135" s="19"/>
    </row>
    <row r="136" spans="1:46" x14ac:dyDescent="0.2">
      <c r="A136" s="31">
        <f>'Raw Data'!A136</f>
        <v>59479.92578125</v>
      </c>
      <c r="B136" s="110">
        <f>'Raw Data'!E136</f>
        <v>1</v>
      </c>
      <c r="C136" s="110">
        <f t="shared" si="1"/>
        <v>0</v>
      </c>
      <c r="D136" s="99">
        <f t="shared" si="2"/>
        <v>0</v>
      </c>
      <c r="E136" s="86">
        <f>(2*Table!$AC$16*0.147)/A136</f>
        <v>1.8364225528130697E-3</v>
      </c>
      <c r="F136" s="86">
        <f t="shared" si="3"/>
        <v>3.6728451056261394E-3</v>
      </c>
      <c r="G136" s="31">
        <f>IF((('Raw Data'!C136)/('Raw Data'!C$136)*100)&lt;0,0,('Raw Data'!C136)/('Raw Data'!C$136)*100)</f>
        <v>100</v>
      </c>
      <c r="H136" s="31">
        <f t="shared" si="4"/>
        <v>0</v>
      </c>
      <c r="I136" s="8">
        <f t="shared" si="5"/>
        <v>3.5747213214632367E-2</v>
      </c>
      <c r="J136" s="86">
        <f>'Raw Data'!F136/I136</f>
        <v>0</v>
      </c>
      <c r="K136" s="123">
        <f t="shared" si="6"/>
        <v>227.64299367102441</v>
      </c>
      <c r="L136" s="31">
        <f>A136*Table!$AC$9/$AC$16</f>
        <v>11206.571150237254</v>
      </c>
      <c r="M136" s="31">
        <f>A136*Table!$AD$9/$AC$16</f>
        <v>3842.2529657956302</v>
      </c>
      <c r="N136" s="31">
        <f>ABS(A136*Table!$AE$9/$AC$16)</f>
        <v>4852.5876527116297</v>
      </c>
      <c r="O136" s="31">
        <f>($L136*(Table!$AC$10/Table!$AC$9)/(Table!$AC$12-Table!$AC$14))</f>
        <v>24038.11915537807</v>
      </c>
      <c r="P136" s="31">
        <f>$N136*(Table!$AE$10/Table!$AE$9)/(Table!$AC$12-Table!$AC$13)</f>
        <v>39840.621122427168</v>
      </c>
      <c r="Q136" s="31">
        <f>'Raw Data'!C136</f>
        <v>1.2144560158228268</v>
      </c>
      <c r="R136" s="31">
        <f>'Raw Data'!C136/'Raw Data'!I$23*100</f>
        <v>20.667681609127563</v>
      </c>
      <c r="S136" s="36">
        <f t="shared" si="7"/>
        <v>0</v>
      </c>
      <c r="T136" s="36">
        <f t="shared" si="8"/>
        <v>0</v>
      </c>
      <c r="U136" s="3">
        <f t="shared" si="9"/>
        <v>3.4747322458231254E-4</v>
      </c>
      <c r="V136" s="3">
        <f t="shared" si="10"/>
        <v>5.6450902476709597E-4</v>
      </c>
      <c r="W136" s="3">
        <f t="shared" si="11"/>
        <v>0</v>
      </c>
      <c r="X136" s="148">
        <f t="shared" si="12"/>
        <v>4.9896657916328317</v>
      </c>
      <c r="AS136" s="19"/>
      <c r="AT136" s="19"/>
    </row>
    <row r="137" spans="1:46" x14ac:dyDescent="0.2">
      <c r="A137" s="31"/>
      <c r="B137" s="110"/>
      <c r="C137" s="110"/>
      <c r="D137" s="57"/>
      <c r="E137" s="57"/>
      <c r="F137" s="57"/>
      <c r="G137" s="57"/>
      <c r="H137" s="57"/>
      <c r="I137" s="57"/>
      <c r="J137" s="86"/>
      <c r="K137" s="71"/>
      <c r="L137" s="31"/>
      <c r="M137" s="31"/>
      <c r="N137" s="31"/>
      <c r="O137" s="31"/>
      <c r="P137" s="31"/>
      <c r="Q137" s="31"/>
      <c r="AS137" s="19"/>
      <c r="AT137" s="19"/>
    </row>
    <row r="138" spans="1:46" x14ac:dyDescent="0.2">
      <c r="A138" s="31"/>
      <c r="B138" s="110"/>
      <c r="C138" s="110"/>
      <c r="D138" s="57"/>
      <c r="E138" s="57"/>
      <c r="F138" s="57"/>
      <c r="G138" s="57"/>
      <c r="H138" s="57"/>
      <c r="I138" s="57"/>
      <c r="J138" s="86"/>
      <c r="K138" s="71"/>
      <c r="L138" s="31"/>
      <c r="M138" s="31"/>
      <c r="N138" s="31"/>
      <c r="O138" s="31"/>
      <c r="P138" s="31"/>
      <c r="Q138" s="31"/>
      <c r="AS138" s="19"/>
      <c r="AT138" s="19"/>
    </row>
    <row r="139" spans="1:46" x14ac:dyDescent="0.2">
      <c r="A139" s="31"/>
      <c r="B139" s="110"/>
      <c r="C139" s="110"/>
      <c r="D139" s="57"/>
      <c r="E139" s="57"/>
      <c r="F139" s="57"/>
      <c r="G139" s="57"/>
      <c r="H139" s="57"/>
      <c r="I139" s="57"/>
      <c r="J139" s="86"/>
      <c r="K139" s="71"/>
      <c r="L139" s="31"/>
      <c r="M139" s="31"/>
      <c r="N139" s="31"/>
      <c r="O139" s="31"/>
      <c r="P139" s="31"/>
      <c r="Q139" s="31"/>
      <c r="AS139" s="19"/>
      <c r="AT139" s="19"/>
    </row>
    <row r="140" spans="1:46" x14ac:dyDescent="0.2">
      <c r="A140" s="31"/>
      <c r="B140" s="110"/>
      <c r="C140" s="110"/>
      <c r="D140" s="57"/>
      <c r="E140" s="57"/>
      <c r="F140" s="57"/>
      <c r="G140" s="57"/>
      <c r="H140" s="57"/>
      <c r="I140" s="57"/>
      <c r="J140" s="86"/>
      <c r="K140" s="71"/>
      <c r="L140" s="31"/>
      <c r="M140" s="31"/>
      <c r="N140" s="31"/>
      <c r="O140" s="31"/>
      <c r="P140" s="31"/>
      <c r="Q140" s="31"/>
      <c r="AS140" s="19"/>
      <c r="AT140" s="19"/>
    </row>
    <row r="141" spans="1:46" x14ac:dyDescent="0.2">
      <c r="A141" s="31"/>
      <c r="B141" s="110"/>
      <c r="C141" s="110"/>
      <c r="D141" s="57"/>
      <c r="E141" s="57"/>
      <c r="F141" s="57"/>
      <c r="G141" s="57"/>
      <c r="H141" s="57"/>
      <c r="I141" s="57"/>
      <c r="J141" s="86"/>
      <c r="K141" s="71"/>
      <c r="L141" s="31"/>
      <c r="M141" s="31"/>
      <c r="N141" s="31"/>
      <c r="O141" s="31"/>
      <c r="P141" s="31"/>
      <c r="Q141" s="31"/>
      <c r="AS141" s="19"/>
      <c r="AT141" s="19"/>
    </row>
    <row r="142" spans="1:46" x14ac:dyDescent="0.2">
      <c r="A142" s="31"/>
      <c r="B142" s="110"/>
      <c r="C142" s="110"/>
      <c r="D142" s="57"/>
      <c r="E142" s="57"/>
      <c r="F142" s="57"/>
      <c r="G142" s="57"/>
      <c r="H142" s="57"/>
      <c r="I142" s="57"/>
      <c r="J142" s="86"/>
      <c r="K142" s="71"/>
      <c r="L142" s="31"/>
      <c r="M142" s="31"/>
      <c r="N142" s="31"/>
      <c r="O142" s="31"/>
      <c r="P142" s="31"/>
      <c r="Q142" s="31"/>
      <c r="AS142" s="19"/>
      <c r="AT142" s="19"/>
    </row>
    <row r="143" spans="1:46" x14ac:dyDescent="0.2">
      <c r="J143" s="86"/>
      <c r="AS143" s="19"/>
      <c r="AT143" s="19"/>
    </row>
    <row r="144" spans="1:46" x14ac:dyDescent="0.2">
      <c r="J144" s="86"/>
      <c r="AS144" s="19"/>
      <c r="AT144" s="19"/>
    </row>
    <row r="145" spans="10:46" x14ac:dyDescent="0.2">
      <c r="J145" s="86"/>
      <c r="AS145" s="19"/>
      <c r="AT145" s="19"/>
    </row>
    <row r="146" spans="10:46" x14ac:dyDescent="0.2">
      <c r="J146" s="86"/>
      <c r="AS146" s="19"/>
      <c r="AT146" s="19"/>
    </row>
    <row r="147" spans="10:46" x14ac:dyDescent="0.2">
      <c r="J147" s="86"/>
      <c r="AS147" s="19"/>
      <c r="AT147" s="19"/>
    </row>
    <row r="148" spans="10:46" x14ac:dyDescent="0.2">
      <c r="J148" s="86"/>
      <c r="AS148" s="19"/>
      <c r="AT148" s="19"/>
    </row>
    <row r="149" spans="10:46" x14ac:dyDescent="0.2">
      <c r="J149" s="86"/>
      <c r="AS149" s="19"/>
      <c r="AT149" s="19"/>
    </row>
    <row r="150" spans="10:46" x14ac:dyDescent="0.2">
      <c r="J150" s="86"/>
      <c r="AS150" s="19"/>
      <c r="AT150" s="19"/>
    </row>
    <row r="151" spans="10:46" x14ac:dyDescent="0.2">
      <c r="J151" s="86"/>
      <c r="AS151" s="19"/>
      <c r="AT151" s="19"/>
    </row>
    <row r="152" spans="10:46" x14ac:dyDescent="0.2">
      <c r="J152" s="86"/>
      <c r="AS152" s="19"/>
      <c r="AT152" s="19"/>
    </row>
    <row r="153" spans="10:46" x14ac:dyDescent="0.2">
      <c r="J153" s="86"/>
      <c r="AS153" s="19"/>
      <c r="AT153" s="19"/>
    </row>
    <row r="154" spans="10:46" x14ac:dyDescent="0.2">
      <c r="J154" s="86"/>
      <c r="AS154" s="19"/>
      <c r="AT154" s="19"/>
    </row>
    <row r="155" spans="10:46" x14ac:dyDescent="0.2">
      <c r="J155" s="86"/>
      <c r="AS155" s="19"/>
      <c r="AT155" s="19"/>
    </row>
    <row r="156" spans="10:46" x14ac:dyDescent="0.2">
      <c r="J156" s="86"/>
      <c r="AS156" s="19"/>
      <c r="AT156" s="19"/>
    </row>
    <row r="157" spans="10:46" x14ac:dyDescent="0.2">
      <c r="J157" s="86"/>
      <c r="AS157" s="19"/>
      <c r="AT157" s="19"/>
    </row>
    <row r="158" spans="10:46" x14ac:dyDescent="0.2">
      <c r="J158" s="86"/>
      <c r="AS158" s="19"/>
      <c r="AT158" s="19"/>
    </row>
    <row r="159" spans="10:46" x14ac:dyDescent="0.2">
      <c r="J159" s="86"/>
      <c r="AS159" s="19"/>
      <c r="AT159" s="19"/>
    </row>
    <row r="160" spans="10:46" x14ac:dyDescent="0.2">
      <c r="J160" s="86"/>
      <c r="AS160" s="19"/>
      <c r="AT160" s="19"/>
    </row>
    <row r="161" spans="10:46" x14ac:dyDescent="0.2">
      <c r="J161" s="86"/>
      <c r="AS161" s="19"/>
      <c r="AT161" s="19"/>
    </row>
    <row r="162" spans="10:46" x14ac:dyDescent="0.2">
      <c r="J162" s="86"/>
    </row>
    <row r="163" spans="10:46" x14ac:dyDescent="0.2">
      <c r="J163" s="86"/>
    </row>
    <row r="164" spans="10:46" x14ac:dyDescent="0.2">
      <c r="J164" s="86"/>
    </row>
    <row r="165" spans="10:46" x14ac:dyDescent="0.2">
      <c r="J165" s="86"/>
    </row>
    <row r="166" spans="10:46" x14ac:dyDescent="0.2">
      <c r="J166" s="86"/>
    </row>
    <row r="167" spans="10:46" x14ac:dyDescent="0.2">
      <c r="J167" s="86"/>
    </row>
    <row r="168" spans="10:46" x14ac:dyDescent="0.2">
      <c r="J168" s="86"/>
    </row>
    <row r="169" spans="10:46" x14ac:dyDescent="0.2">
      <c r="J169" s="86"/>
    </row>
    <row r="170" spans="10:46" x14ac:dyDescent="0.2">
      <c r="J170" s="86"/>
    </row>
    <row r="171" spans="10:46" x14ac:dyDescent="0.2">
      <c r="J171" s="86"/>
    </row>
    <row r="172" spans="10:46" x14ac:dyDescent="0.2">
      <c r="J172" s="86"/>
    </row>
    <row r="173" spans="10:46" x14ac:dyDescent="0.2">
      <c r="J173" s="86"/>
    </row>
    <row r="174" spans="10:46" x14ac:dyDescent="0.2">
      <c r="J174" s="86"/>
    </row>
    <row r="175" spans="10:46" x14ac:dyDescent="0.2">
      <c r="J175" s="86"/>
    </row>
    <row r="176" spans="10:46" x14ac:dyDescent="0.2">
      <c r="J176" s="86"/>
    </row>
    <row r="177" spans="10:10" x14ac:dyDescent="0.2">
      <c r="J177" s="86"/>
    </row>
    <row r="178" spans="10:10" x14ac:dyDescent="0.2">
      <c r="J178" s="86"/>
    </row>
    <row r="179" spans="10:10" x14ac:dyDescent="0.2">
      <c r="J179" s="86"/>
    </row>
    <row r="180" spans="10:10" x14ac:dyDescent="0.2">
      <c r="J180" s="86"/>
    </row>
    <row r="181" spans="10:10" x14ac:dyDescent="0.2">
      <c r="J181" s="86"/>
    </row>
    <row r="182" spans="10:10" x14ac:dyDescent="0.2">
      <c r="J182" s="86"/>
    </row>
    <row r="183" spans="10:10" x14ac:dyDescent="0.2">
      <c r="J183" s="86"/>
    </row>
    <row r="184" spans="10:10" x14ac:dyDescent="0.2">
      <c r="J184" s="86"/>
    </row>
    <row r="185" spans="10:10" x14ac:dyDescent="0.2">
      <c r="J185" s="86"/>
    </row>
    <row r="186" spans="10:10" x14ac:dyDescent="0.2">
      <c r="J186" s="86"/>
    </row>
    <row r="187" spans="10:10" x14ac:dyDescent="0.2">
      <c r="J187" s="86"/>
    </row>
    <row r="188" spans="10:10" x14ac:dyDescent="0.2">
      <c r="J188" s="86"/>
    </row>
    <row r="189" spans="10:10" x14ac:dyDescent="0.2">
      <c r="J189" s="86"/>
    </row>
    <row r="190" spans="10:10" x14ac:dyDescent="0.2">
      <c r="J190" s="86"/>
    </row>
  </sheetData>
  <mergeCells count="3">
    <mergeCell ref="AR4:AT4"/>
    <mergeCell ref="AN4:AP4"/>
    <mergeCell ref="A5:P5"/>
  </mergeCells>
  <printOptions horizontalCentered="1"/>
  <pageMargins left="0.5" right="0.5" top="0.1" bottom="0.25" header="0" footer="0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Raw Data</vt:lpstr>
      <vt:lpstr>Compilation</vt:lpstr>
      <vt:lpstr>Compilation 2</vt:lpstr>
      <vt:lpstr>Table</vt:lpstr>
      <vt:lpstr>Compilation!Print_Area</vt:lpstr>
      <vt:lpstr>'Compilation 2'!Print_Area</vt:lpstr>
      <vt:lpstr>'Raw Data'!Print_Area</vt:lpstr>
      <vt:lpstr>Table!Print_Area</vt:lpstr>
      <vt:lpstr>'Raw Data'!Print_Titles</vt:lpstr>
      <vt:lpstr>Table!Print_Titles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Morris, Kristi D</dc:creator>
  <cp:lastModifiedBy>Morris, Kristi D</cp:lastModifiedBy>
  <dcterms:created xsi:type="dcterms:W3CDTF">2016-03-31T19:39:03Z</dcterms:created>
  <dcterms:modified xsi:type="dcterms:W3CDTF">2016-04-04T20:19:17Z</dcterms:modified>
</cp:coreProperties>
</file>