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600" yWindow="60" windowWidth="12645" windowHeight="12510" tabRatio="835" activeTab="3"/>
  </bookViews>
  <sheets>
    <sheet name="Raw Data" sheetId="3" r:id="rId1"/>
    <sheet name="Compilation" sheetId="4" r:id="rId2"/>
    <sheet name="Compilation 2" sheetId="5" r:id="rId3"/>
    <sheet name="Table" sheetId="6" r:id="rId4"/>
  </sheets>
  <definedNames>
    <definedName name="_xlnm.Print_Area" localSheetId="1">Compilation!$A$1:$O$44</definedName>
    <definedName name="_xlnm.Print_Area" localSheetId="2">'Compilation 2'!$A$1:$O$54</definedName>
    <definedName name="_xlnm.Print_Area" localSheetId="0">'Raw Data'!$A$1:$M$162</definedName>
    <definedName name="_xlnm.Print_Area" localSheetId="3">Table!$A$1:$X$138</definedName>
    <definedName name="_xlnm.Print_Titles" localSheetId="0">'Raw Data'!$1:$17</definedName>
    <definedName name="_xlnm.Print_Titles" localSheetId="3">Table!$1:$16</definedName>
  </definedNames>
  <calcPr calcId="145621"/>
</workbook>
</file>

<file path=xl/calcChain.xml><?xml version="1.0" encoding="utf-8"?>
<calcChain xmlns="http://schemas.openxmlformats.org/spreadsheetml/2006/main">
  <c r="B19" i="6" l="1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8" i="6"/>
  <c r="M30" i="3" l="1"/>
  <c r="A45" i="6"/>
  <c r="AC16" i="6"/>
  <c r="AE10" i="6"/>
  <c r="AC10" i="6"/>
  <c r="C5" i="5"/>
  <c r="AE9" i="6"/>
  <c r="AD9" i="6"/>
  <c r="AC9" i="6"/>
  <c r="C4" i="5"/>
  <c r="O3" i="4"/>
  <c r="K3" i="4"/>
  <c r="K6" i="5"/>
  <c r="K5" i="5"/>
  <c r="K4" i="5"/>
  <c r="K2" i="5"/>
  <c r="K6" i="4"/>
  <c r="K5" i="4"/>
  <c r="K4" i="4"/>
  <c r="K2" i="4"/>
  <c r="I11" i="3"/>
  <c r="I10" i="3"/>
  <c r="I9" i="3"/>
  <c r="I7" i="3"/>
  <c r="A10" i="3" l="1"/>
  <c r="O2" i="5"/>
  <c r="L23" i="3"/>
  <c r="C5" i="4"/>
  <c r="I8" i="3"/>
  <c r="K3" i="5"/>
  <c r="M8" i="3"/>
  <c r="O3" i="5"/>
  <c r="A9" i="3"/>
  <c r="C4" i="4"/>
  <c r="A28" i="6"/>
  <c r="A57" i="6"/>
  <c r="E57" i="6" s="1"/>
  <c r="A74" i="6"/>
  <c r="A134" i="6"/>
  <c r="A29" i="6"/>
  <c r="A46" i="6"/>
  <c r="A69" i="6"/>
  <c r="A75" i="6"/>
  <c r="A86" i="6"/>
  <c r="A70" i="6"/>
  <c r="E70" i="6" s="1"/>
  <c r="A93" i="6"/>
  <c r="A71" i="6"/>
  <c r="A25" i="6"/>
  <c r="E25" i="6" s="1"/>
  <c r="A37" i="6"/>
  <c r="A66" i="6"/>
  <c r="A58" i="6"/>
  <c r="A78" i="6"/>
  <c r="A118" i="6"/>
  <c r="A21" i="6"/>
  <c r="A38" i="6"/>
  <c r="A61" i="6"/>
  <c r="E61" i="6" s="1"/>
  <c r="A73" i="6"/>
  <c r="A125" i="6"/>
  <c r="A39" i="6"/>
  <c r="E39" i="6" s="1"/>
  <c r="A50" i="6"/>
  <c r="A62" i="6"/>
  <c r="A102" i="6"/>
  <c r="A126" i="6"/>
  <c r="A67" i="6"/>
  <c r="E67" i="6" s="1"/>
  <c r="A19" i="6"/>
  <c r="A27" i="6"/>
  <c r="A35" i="6"/>
  <c r="A53" i="6"/>
  <c r="A94" i="6"/>
  <c r="A110" i="6"/>
  <c r="E110" i="6" s="1"/>
  <c r="A20" i="6"/>
  <c r="E20" i="6" s="1"/>
  <c r="A63" i="6"/>
  <c r="A44" i="6"/>
  <c r="A76" i="6"/>
  <c r="A83" i="6"/>
  <c r="E83" i="6" s="1"/>
  <c r="A99" i="6"/>
  <c r="A115" i="6"/>
  <c r="E115" i="6" s="1"/>
  <c r="A81" i="6"/>
  <c r="E81" i="6" s="1"/>
  <c r="A90" i="6"/>
  <c r="A113" i="6"/>
  <c r="A122" i="6"/>
  <c r="C3" i="5"/>
  <c r="C3" i="4"/>
  <c r="A8" i="3"/>
  <c r="E69" i="6"/>
  <c r="A34" i="6"/>
  <c r="A55" i="6"/>
  <c r="A127" i="6"/>
  <c r="A77" i="6"/>
  <c r="E77" i="6" s="1"/>
  <c r="A109" i="6"/>
  <c r="A123" i="6"/>
  <c r="N45" i="6"/>
  <c r="P45" i="6" s="1"/>
  <c r="L45" i="6"/>
  <c r="O45" i="6" s="1"/>
  <c r="A36" i="6"/>
  <c r="A42" i="6"/>
  <c r="E42" i="6" s="1"/>
  <c r="A49" i="6"/>
  <c r="A54" i="6"/>
  <c r="A65" i="6"/>
  <c r="E65" i="6" s="1"/>
  <c r="A84" i="6"/>
  <c r="E84" i="6" s="1"/>
  <c r="A92" i="6"/>
  <c r="E92" i="6" s="1"/>
  <c r="A95" i="6"/>
  <c r="A100" i="6"/>
  <c r="A108" i="6"/>
  <c r="E108" i="6" s="1"/>
  <c r="A111" i="6"/>
  <c r="A116" i="6"/>
  <c r="A124" i="6"/>
  <c r="A130" i="6"/>
  <c r="E130" i="6" s="1"/>
  <c r="A41" i="6"/>
  <c r="A32" i="6"/>
  <c r="A60" i="6"/>
  <c r="A89" i="6"/>
  <c r="E89" i="6" s="1"/>
  <c r="A18" i="6"/>
  <c r="E18" i="6" s="1"/>
  <c r="A22" i="6"/>
  <c r="A24" i="6"/>
  <c r="A30" i="6"/>
  <c r="E30" i="6" s="1"/>
  <c r="M45" i="6"/>
  <c r="A51" i="6"/>
  <c r="A105" i="6"/>
  <c r="E105" i="6" s="1"/>
  <c r="A121" i="6"/>
  <c r="A133" i="6"/>
  <c r="E133" i="6" s="1"/>
  <c r="A91" i="6"/>
  <c r="A52" i="6"/>
  <c r="E52" i="6" s="1"/>
  <c r="A68" i="6"/>
  <c r="A131" i="6"/>
  <c r="E131" i="6" s="1"/>
  <c r="A31" i="6"/>
  <c r="A97" i="6"/>
  <c r="A106" i="6"/>
  <c r="E106" i="6" s="1"/>
  <c r="A129" i="6"/>
  <c r="C2" i="5"/>
  <c r="C2" i="4"/>
  <c r="A7" i="3"/>
  <c r="A43" i="6"/>
  <c r="E43" i="6" s="1"/>
  <c r="A59" i="6"/>
  <c r="E59" i="6" s="1"/>
  <c r="A82" i="6"/>
  <c r="A85" i="6"/>
  <c r="A98" i="6"/>
  <c r="A101" i="6"/>
  <c r="E101" i="6" s="1"/>
  <c r="A114" i="6"/>
  <c r="A117" i="6"/>
  <c r="E117" i="6" s="1"/>
  <c r="A23" i="6"/>
  <c r="A107" i="6"/>
  <c r="A26" i="6"/>
  <c r="E26" i="6" s="1"/>
  <c r="A33" i="6"/>
  <c r="A79" i="6"/>
  <c r="E79" i="6" s="1"/>
  <c r="A40" i="6"/>
  <c r="E40" i="6" s="1"/>
  <c r="A48" i="6"/>
  <c r="E48" i="6" s="1"/>
  <c r="A56" i="6"/>
  <c r="A64" i="6"/>
  <c r="A72" i="6"/>
  <c r="A80" i="6"/>
  <c r="A88" i="6"/>
  <c r="A96" i="6"/>
  <c r="E96" i="6" s="1"/>
  <c r="A104" i="6"/>
  <c r="A112" i="6"/>
  <c r="A120" i="6"/>
  <c r="A128" i="6"/>
  <c r="E128" i="6" s="1"/>
  <c r="A136" i="6"/>
  <c r="E21" i="6"/>
  <c r="E35" i="6"/>
  <c r="A47" i="6"/>
  <c r="E33" i="6"/>
  <c r="E62" i="6"/>
  <c r="A132" i="6"/>
  <c r="A87" i="6"/>
  <c r="A103" i="6"/>
  <c r="A119" i="6"/>
  <c r="E119" i="6" s="1"/>
  <c r="A135" i="6"/>
  <c r="E135" i="6" s="1"/>
  <c r="E129" i="6"/>
  <c r="E124" i="6"/>
  <c r="E127" i="6"/>
  <c r="E123" i="6"/>
  <c r="E125" i="6"/>
  <c r="E122" i="6"/>
  <c r="E121" i="6"/>
  <c r="E126" i="6"/>
  <c r="E111" i="6"/>
  <c r="E112" i="6"/>
  <c r="E107" i="6"/>
  <c r="E103" i="6"/>
  <c r="E99" i="6"/>
  <c r="E109" i="6"/>
  <c r="E114" i="6"/>
  <c r="E98" i="6"/>
  <c r="E49" i="6"/>
  <c r="E41" i="6"/>
  <c r="E93" i="6"/>
  <c r="E91" i="6"/>
  <c r="E87" i="6"/>
  <c r="E85" i="6"/>
  <c r="E74" i="6"/>
  <c r="E58" i="6"/>
  <c r="E50" i="6"/>
  <c r="E86" i="6"/>
  <c r="E71" i="6"/>
  <c r="E120" i="6"/>
  <c r="E76" i="6"/>
  <c r="E45" i="6"/>
  <c r="E44" i="6"/>
  <c r="E38" i="6"/>
  <c r="E34" i="6"/>
  <c r="E100" i="6"/>
  <c r="E80" i="6"/>
  <c r="E78" i="6"/>
  <c r="E47" i="6"/>
  <c r="E46" i="6"/>
  <c r="E32" i="6"/>
  <c r="E31" i="6"/>
  <c r="E29" i="6"/>
  <c r="E28" i="6"/>
  <c r="E53" i="6"/>
  <c r="E51" i="6"/>
  <c r="E37" i="6"/>
  <c r="E36" i="6"/>
  <c r="E27" i="6"/>
  <c r="O2" i="4" l="1"/>
  <c r="M7" i="3"/>
  <c r="H23" i="3"/>
  <c r="K23" i="3" s="1"/>
  <c r="I27" i="6"/>
  <c r="F26" i="6"/>
  <c r="I106" i="6"/>
  <c r="F105" i="6"/>
  <c r="I131" i="6"/>
  <c r="F130" i="6"/>
  <c r="F43" i="6"/>
  <c r="I44" i="6"/>
  <c r="F48" i="6"/>
  <c r="I49" i="6"/>
  <c r="F89" i="6"/>
  <c r="F65" i="6"/>
  <c r="F115" i="6"/>
  <c r="F83" i="6"/>
  <c r="I84" i="6"/>
  <c r="F59" i="6"/>
  <c r="I132" i="6"/>
  <c r="F131" i="6"/>
  <c r="F135" i="6"/>
  <c r="AN8" i="6"/>
  <c r="I41" i="6"/>
  <c r="F40" i="6"/>
  <c r="I120" i="6"/>
  <c r="F119" i="6"/>
  <c r="I21" i="6"/>
  <c r="F20" i="6"/>
  <c r="AN24" i="6"/>
  <c r="I40" i="6"/>
  <c r="F39" i="6"/>
  <c r="N66" i="6"/>
  <c r="P66" i="6" s="1"/>
  <c r="M66" i="6"/>
  <c r="L66" i="6"/>
  <c r="O66" i="6" s="1"/>
  <c r="AN22" i="6"/>
  <c r="F47" i="6"/>
  <c r="I48" i="6"/>
  <c r="F38" i="6"/>
  <c r="I39" i="6"/>
  <c r="AN27" i="6"/>
  <c r="I18" i="6"/>
  <c r="F18" i="6"/>
  <c r="F42" i="6"/>
  <c r="AN23" i="6"/>
  <c r="I43" i="6"/>
  <c r="F85" i="6"/>
  <c r="I86" i="6"/>
  <c r="I58" i="6"/>
  <c r="F57" i="6"/>
  <c r="I115" i="6"/>
  <c r="F114" i="6"/>
  <c r="F103" i="6"/>
  <c r="I127" i="6"/>
  <c r="F126" i="6"/>
  <c r="I128" i="6"/>
  <c r="F127" i="6"/>
  <c r="F133" i="6"/>
  <c r="AN9" i="6"/>
  <c r="N103" i="6"/>
  <c r="P103" i="6" s="1"/>
  <c r="L103" i="6"/>
  <c r="O103" i="6" s="1"/>
  <c r="M103" i="6"/>
  <c r="F33" i="6"/>
  <c r="I34" i="6"/>
  <c r="N101" i="6"/>
  <c r="P101" i="6" s="1"/>
  <c r="L101" i="6"/>
  <c r="O101" i="6" s="1"/>
  <c r="M101" i="6"/>
  <c r="N82" i="6"/>
  <c r="P82" i="6" s="1"/>
  <c r="L82" i="6"/>
  <c r="O82" i="6" s="1"/>
  <c r="M82" i="6"/>
  <c r="L68" i="6"/>
  <c r="O68" i="6" s="1"/>
  <c r="N68" i="6"/>
  <c r="P68" i="6" s="1"/>
  <c r="M68" i="6"/>
  <c r="E68" i="6"/>
  <c r="I68" i="6" s="1"/>
  <c r="M133" i="6"/>
  <c r="L133" i="6"/>
  <c r="O133" i="6" s="1"/>
  <c r="N133" i="6"/>
  <c r="P133" i="6" s="1"/>
  <c r="L60" i="6"/>
  <c r="O60" i="6" s="1"/>
  <c r="M60" i="6"/>
  <c r="N60" i="6"/>
  <c r="P60" i="6" s="1"/>
  <c r="L116" i="6"/>
  <c r="O116" i="6" s="1"/>
  <c r="N116" i="6"/>
  <c r="P116" i="6" s="1"/>
  <c r="M116" i="6"/>
  <c r="N95" i="6"/>
  <c r="P95" i="6" s="1"/>
  <c r="M95" i="6"/>
  <c r="L95" i="6"/>
  <c r="O95" i="6" s="1"/>
  <c r="M54" i="6"/>
  <c r="L54" i="6"/>
  <c r="O54" i="6" s="1"/>
  <c r="N54" i="6"/>
  <c r="P54" i="6" s="1"/>
  <c r="L123" i="6"/>
  <c r="O123" i="6" s="1"/>
  <c r="M123" i="6"/>
  <c r="N123" i="6"/>
  <c r="P123" i="6" s="1"/>
  <c r="M55" i="6"/>
  <c r="N55" i="6"/>
  <c r="P55" i="6" s="1"/>
  <c r="L55" i="6"/>
  <c r="O55" i="6" s="1"/>
  <c r="M62" i="6"/>
  <c r="N62" i="6"/>
  <c r="P62" i="6" s="1"/>
  <c r="L62" i="6"/>
  <c r="O62" i="6" s="1"/>
  <c r="N73" i="6"/>
  <c r="P73" i="6" s="1"/>
  <c r="M73" i="6"/>
  <c r="L73" i="6"/>
  <c r="O73" i="6" s="1"/>
  <c r="M118" i="6"/>
  <c r="N118" i="6"/>
  <c r="P118" i="6" s="1"/>
  <c r="L118" i="6"/>
  <c r="O118" i="6" s="1"/>
  <c r="E60" i="6"/>
  <c r="I51" i="6"/>
  <c r="F50" i="6"/>
  <c r="F87" i="6"/>
  <c r="E55" i="6"/>
  <c r="M128" i="6"/>
  <c r="N128" i="6"/>
  <c r="P128" i="6" s="1"/>
  <c r="L128" i="6"/>
  <c r="O128" i="6" s="1"/>
  <c r="N96" i="6"/>
  <c r="P96" i="6" s="1"/>
  <c r="M96" i="6"/>
  <c r="L96" i="6"/>
  <c r="O96" i="6" s="1"/>
  <c r="N64" i="6"/>
  <c r="P64" i="6" s="1"/>
  <c r="M64" i="6"/>
  <c r="L64" i="6"/>
  <c r="O64" i="6" s="1"/>
  <c r="E64" i="6"/>
  <c r="M106" i="6"/>
  <c r="L106" i="6"/>
  <c r="O106" i="6" s="1"/>
  <c r="N106" i="6"/>
  <c r="P106" i="6" s="1"/>
  <c r="N30" i="6"/>
  <c r="P30" i="6" s="1"/>
  <c r="M30" i="6"/>
  <c r="L30" i="6"/>
  <c r="O30" i="6" s="1"/>
  <c r="M18" i="6"/>
  <c r="N18" i="6"/>
  <c r="P18" i="6" s="1"/>
  <c r="L18" i="6"/>
  <c r="N32" i="6"/>
  <c r="P32" i="6" s="1"/>
  <c r="M32" i="6"/>
  <c r="L32" i="6"/>
  <c r="O32" i="6" s="1"/>
  <c r="N109" i="6"/>
  <c r="P109" i="6" s="1"/>
  <c r="M109" i="6"/>
  <c r="L109" i="6"/>
  <c r="O109" i="6" s="1"/>
  <c r="N34" i="6"/>
  <c r="P34" i="6" s="1"/>
  <c r="M34" i="6"/>
  <c r="L34" i="6"/>
  <c r="O34" i="6" s="1"/>
  <c r="M63" i="6"/>
  <c r="N63" i="6"/>
  <c r="P63" i="6" s="1"/>
  <c r="L63" i="6"/>
  <c r="O63" i="6" s="1"/>
  <c r="E63" i="6"/>
  <c r="I63" i="6" s="1"/>
  <c r="N53" i="6"/>
  <c r="P53" i="6" s="1"/>
  <c r="M53" i="6"/>
  <c r="L53" i="6"/>
  <c r="O53" i="6" s="1"/>
  <c r="N37" i="6"/>
  <c r="P37" i="6" s="1"/>
  <c r="M37" i="6"/>
  <c r="L37" i="6"/>
  <c r="O37" i="6" s="1"/>
  <c r="N93" i="6"/>
  <c r="P93" i="6" s="1"/>
  <c r="L93" i="6"/>
  <c r="O93" i="6" s="1"/>
  <c r="M93" i="6"/>
  <c r="N69" i="6"/>
  <c r="P69" i="6" s="1"/>
  <c r="M69" i="6"/>
  <c r="L69" i="6"/>
  <c r="O69" i="6" s="1"/>
  <c r="N74" i="6"/>
  <c r="P74" i="6" s="1"/>
  <c r="M74" i="6"/>
  <c r="L74" i="6"/>
  <c r="O74" i="6" s="1"/>
  <c r="I62" i="6"/>
  <c r="F61" i="6"/>
  <c r="F28" i="6"/>
  <c r="I29" i="6"/>
  <c r="F78" i="6"/>
  <c r="I79" i="6"/>
  <c r="I45" i="6"/>
  <c r="F44" i="6"/>
  <c r="I59" i="6"/>
  <c r="F58" i="6"/>
  <c r="E73" i="6"/>
  <c r="I111" i="6"/>
  <c r="F110" i="6"/>
  <c r="F117" i="6"/>
  <c r="AN12" i="6"/>
  <c r="N87" i="6"/>
  <c r="P87" i="6" s="1"/>
  <c r="L87" i="6"/>
  <c r="O87" i="6" s="1"/>
  <c r="M87" i="6"/>
  <c r="M47" i="6"/>
  <c r="L47" i="6"/>
  <c r="O47" i="6" s="1"/>
  <c r="N47" i="6"/>
  <c r="P47" i="6" s="1"/>
  <c r="M79" i="6"/>
  <c r="L79" i="6"/>
  <c r="O79" i="6" s="1"/>
  <c r="N79" i="6"/>
  <c r="P79" i="6" s="1"/>
  <c r="N117" i="6"/>
  <c r="P117" i="6" s="1"/>
  <c r="L117" i="6"/>
  <c r="O117" i="6" s="1"/>
  <c r="M117" i="6"/>
  <c r="N98" i="6"/>
  <c r="P98" i="6" s="1"/>
  <c r="M98" i="6"/>
  <c r="L98" i="6"/>
  <c r="O98" i="6" s="1"/>
  <c r="M121" i="6"/>
  <c r="L121" i="6"/>
  <c r="O121" i="6" s="1"/>
  <c r="N121" i="6"/>
  <c r="P121" i="6" s="1"/>
  <c r="N41" i="6"/>
  <c r="P41" i="6" s="1"/>
  <c r="M41" i="6"/>
  <c r="L41" i="6"/>
  <c r="O41" i="6" s="1"/>
  <c r="N111" i="6"/>
  <c r="P111" i="6" s="1"/>
  <c r="L111" i="6"/>
  <c r="O111" i="6" s="1"/>
  <c r="M111" i="6"/>
  <c r="N92" i="6"/>
  <c r="P92" i="6" s="1"/>
  <c r="L92" i="6"/>
  <c r="O92" i="6" s="1"/>
  <c r="M92" i="6"/>
  <c r="N49" i="6"/>
  <c r="P49" i="6" s="1"/>
  <c r="M49" i="6"/>
  <c r="L49" i="6"/>
  <c r="O49" i="6" s="1"/>
  <c r="I70" i="6"/>
  <c r="F69" i="6"/>
  <c r="N90" i="6"/>
  <c r="P90" i="6" s="1"/>
  <c r="L90" i="6"/>
  <c r="O90" i="6" s="1"/>
  <c r="M90" i="6"/>
  <c r="E90" i="6"/>
  <c r="L76" i="6"/>
  <c r="O76" i="6" s="1"/>
  <c r="N76" i="6"/>
  <c r="P76" i="6" s="1"/>
  <c r="M76" i="6"/>
  <c r="L67" i="6"/>
  <c r="O67" i="6" s="1"/>
  <c r="N67" i="6"/>
  <c r="P67" i="6" s="1"/>
  <c r="M67" i="6"/>
  <c r="N50" i="6"/>
  <c r="P50" i="6" s="1"/>
  <c r="M50" i="6"/>
  <c r="L50" i="6"/>
  <c r="O50" i="6" s="1"/>
  <c r="M61" i="6"/>
  <c r="L61" i="6"/>
  <c r="O61" i="6" s="1"/>
  <c r="N61" i="6"/>
  <c r="P61" i="6" s="1"/>
  <c r="M78" i="6"/>
  <c r="L78" i="6"/>
  <c r="O78" i="6" s="1"/>
  <c r="N78" i="6"/>
  <c r="P78" i="6" s="1"/>
  <c r="F46" i="6"/>
  <c r="I47" i="6"/>
  <c r="I107" i="6"/>
  <c r="F106" i="6"/>
  <c r="F101" i="6"/>
  <c r="F62" i="6"/>
  <c r="N113" i="6"/>
  <c r="P113" i="6" s="1"/>
  <c r="M113" i="6"/>
  <c r="L113" i="6"/>
  <c r="O113" i="6" s="1"/>
  <c r="F92" i="6"/>
  <c r="I93" i="6"/>
  <c r="F29" i="6"/>
  <c r="I30" i="6"/>
  <c r="AN25" i="6"/>
  <c r="F79" i="6"/>
  <c r="I80" i="6"/>
  <c r="I46" i="6"/>
  <c r="F45" i="6"/>
  <c r="E66" i="6"/>
  <c r="F91" i="6"/>
  <c r="I92" i="6"/>
  <c r="AN16" i="6"/>
  <c r="F81" i="6"/>
  <c r="AN17" i="6"/>
  <c r="F108" i="6"/>
  <c r="I109" i="6"/>
  <c r="F107" i="6"/>
  <c r="I108" i="6"/>
  <c r="AN13" i="6"/>
  <c r="I122" i="6"/>
  <c r="F121" i="6"/>
  <c r="I125" i="6"/>
  <c r="F124" i="6"/>
  <c r="E54" i="6"/>
  <c r="F67" i="6"/>
  <c r="N88" i="6"/>
  <c r="P88" i="6" s="1"/>
  <c r="L88" i="6"/>
  <c r="O88" i="6" s="1"/>
  <c r="M88" i="6"/>
  <c r="L56" i="6"/>
  <c r="O56" i="6" s="1"/>
  <c r="N56" i="6"/>
  <c r="P56" i="6" s="1"/>
  <c r="M56" i="6"/>
  <c r="N33" i="6"/>
  <c r="P33" i="6" s="1"/>
  <c r="M33" i="6"/>
  <c r="L33" i="6"/>
  <c r="O33" i="6" s="1"/>
  <c r="N97" i="6"/>
  <c r="P97" i="6" s="1"/>
  <c r="M97" i="6"/>
  <c r="L97" i="6"/>
  <c r="O97" i="6" s="1"/>
  <c r="L52" i="6"/>
  <c r="O52" i="6" s="1"/>
  <c r="N52" i="6"/>
  <c r="P52" i="6" s="1"/>
  <c r="M52" i="6"/>
  <c r="N24" i="6"/>
  <c r="P24" i="6" s="1"/>
  <c r="L24" i="6"/>
  <c r="O24" i="6" s="1"/>
  <c r="E24" i="6"/>
  <c r="M24" i="6"/>
  <c r="N77" i="6"/>
  <c r="P77" i="6" s="1"/>
  <c r="L77" i="6"/>
  <c r="M77" i="6"/>
  <c r="N99" i="6"/>
  <c r="P99" i="6" s="1"/>
  <c r="L99" i="6"/>
  <c r="O99" i="6" s="1"/>
  <c r="M99" i="6"/>
  <c r="M20" i="6"/>
  <c r="N20" i="6"/>
  <c r="P20" i="6" s="1"/>
  <c r="L20" i="6"/>
  <c r="O20" i="6" s="1"/>
  <c r="N35" i="6"/>
  <c r="P35" i="6" s="1"/>
  <c r="M35" i="6"/>
  <c r="L35" i="6"/>
  <c r="O35" i="6" s="1"/>
  <c r="N25" i="6"/>
  <c r="P25" i="6" s="1"/>
  <c r="M25" i="6"/>
  <c r="L25" i="6"/>
  <c r="O25" i="6" s="1"/>
  <c r="M70" i="6"/>
  <c r="N70" i="6"/>
  <c r="P70" i="6" s="1"/>
  <c r="L70" i="6"/>
  <c r="O70" i="6" s="1"/>
  <c r="M46" i="6"/>
  <c r="L46" i="6"/>
  <c r="O46" i="6" s="1"/>
  <c r="N46" i="6"/>
  <c r="P46" i="6" s="1"/>
  <c r="N57" i="6"/>
  <c r="P57" i="6" s="1"/>
  <c r="L57" i="6"/>
  <c r="O57" i="6" s="1"/>
  <c r="M57" i="6"/>
  <c r="I53" i="6"/>
  <c r="F52" i="6"/>
  <c r="F86" i="6"/>
  <c r="I87" i="6"/>
  <c r="F96" i="6"/>
  <c r="I130" i="6"/>
  <c r="F129" i="6"/>
  <c r="M136" i="6"/>
  <c r="L136" i="6"/>
  <c r="O136" i="6" s="1"/>
  <c r="N136" i="6"/>
  <c r="P136" i="6" s="1"/>
  <c r="N40" i="6"/>
  <c r="P40" i="6" s="1"/>
  <c r="M40" i="6"/>
  <c r="L40" i="6"/>
  <c r="O40" i="6" s="1"/>
  <c r="L59" i="6"/>
  <c r="O59" i="6" s="1"/>
  <c r="M59" i="6"/>
  <c r="N59" i="6"/>
  <c r="P59" i="6" s="1"/>
  <c r="M129" i="6"/>
  <c r="N129" i="6"/>
  <c r="P129" i="6" s="1"/>
  <c r="L129" i="6"/>
  <c r="O129" i="6" s="1"/>
  <c r="L75" i="6"/>
  <c r="O75" i="6" s="1"/>
  <c r="N75" i="6"/>
  <c r="P75" i="6" s="1"/>
  <c r="M75" i="6"/>
  <c r="E116" i="6"/>
  <c r="I116" i="6" s="1"/>
  <c r="F25" i="6"/>
  <c r="I26" i="6"/>
  <c r="F30" i="6"/>
  <c r="I31" i="6"/>
  <c r="I81" i="6"/>
  <c r="F80" i="6"/>
  <c r="E75" i="6"/>
  <c r="I71" i="6"/>
  <c r="F70" i="6"/>
  <c r="F74" i="6"/>
  <c r="I75" i="6"/>
  <c r="F93" i="6"/>
  <c r="I110" i="6"/>
  <c r="F109" i="6"/>
  <c r="E113" i="6"/>
  <c r="E118" i="6"/>
  <c r="I118" i="6" s="1"/>
  <c r="I129" i="6"/>
  <c r="F128" i="6"/>
  <c r="L135" i="6"/>
  <c r="O135" i="6" s="1"/>
  <c r="N135" i="6"/>
  <c r="P135" i="6" s="1"/>
  <c r="M135" i="6"/>
  <c r="M132" i="6"/>
  <c r="N132" i="6"/>
  <c r="P132" i="6" s="1"/>
  <c r="L132" i="6"/>
  <c r="O132" i="6" s="1"/>
  <c r="E56" i="6"/>
  <c r="L120" i="6"/>
  <c r="O120" i="6" s="1"/>
  <c r="M120" i="6"/>
  <c r="N120" i="6"/>
  <c r="P120" i="6" s="1"/>
  <c r="M26" i="6"/>
  <c r="L26" i="6"/>
  <c r="O26" i="6" s="1"/>
  <c r="N26" i="6"/>
  <c r="P26" i="6" s="1"/>
  <c r="N114" i="6"/>
  <c r="P114" i="6" s="1"/>
  <c r="M114" i="6"/>
  <c r="L114" i="6"/>
  <c r="O114" i="6" s="1"/>
  <c r="N105" i="6"/>
  <c r="P105" i="6" s="1"/>
  <c r="L105" i="6"/>
  <c r="O105" i="6" s="1"/>
  <c r="M105" i="6"/>
  <c r="M130" i="6"/>
  <c r="N130" i="6"/>
  <c r="P130" i="6" s="1"/>
  <c r="L130" i="6"/>
  <c r="O130" i="6" s="1"/>
  <c r="M108" i="6"/>
  <c r="L108" i="6"/>
  <c r="O108" i="6" s="1"/>
  <c r="N108" i="6"/>
  <c r="P108" i="6" s="1"/>
  <c r="L84" i="6"/>
  <c r="O84" i="6" s="1"/>
  <c r="M84" i="6"/>
  <c r="N84" i="6"/>
  <c r="P84" i="6" s="1"/>
  <c r="N42" i="6"/>
  <c r="P42" i="6" s="1"/>
  <c r="M42" i="6"/>
  <c r="L42" i="6"/>
  <c r="O42" i="6" s="1"/>
  <c r="N81" i="6"/>
  <c r="P81" i="6" s="1"/>
  <c r="L81" i="6"/>
  <c r="O81" i="6" s="1"/>
  <c r="M81" i="6"/>
  <c r="N126" i="6"/>
  <c r="P126" i="6" s="1"/>
  <c r="M126" i="6"/>
  <c r="L126" i="6"/>
  <c r="O126" i="6" s="1"/>
  <c r="M39" i="6"/>
  <c r="N39" i="6"/>
  <c r="P39" i="6" s="1"/>
  <c r="L39" i="6"/>
  <c r="O39" i="6" s="1"/>
  <c r="N38" i="6"/>
  <c r="P38" i="6" s="1"/>
  <c r="M38" i="6"/>
  <c r="L38" i="6"/>
  <c r="O38" i="6" s="1"/>
  <c r="F36" i="6"/>
  <c r="I37" i="6"/>
  <c r="F34" i="6"/>
  <c r="I35" i="6"/>
  <c r="I121" i="6"/>
  <c r="F120" i="6"/>
  <c r="AN11" i="6"/>
  <c r="I50" i="6"/>
  <c r="F49" i="6"/>
  <c r="I112" i="6"/>
  <c r="F111" i="6"/>
  <c r="I124" i="6"/>
  <c r="F123" i="6"/>
  <c r="N104" i="6"/>
  <c r="P104" i="6" s="1"/>
  <c r="M104" i="6"/>
  <c r="L104" i="6"/>
  <c r="O104" i="6" s="1"/>
  <c r="N72" i="6"/>
  <c r="P72" i="6" s="1"/>
  <c r="M72" i="6"/>
  <c r="L72" i="6"/>
  <c r="O72" i="6" s="1"/>
  <c r="N23" i="6"/>
  <c r="P23" i="6" s="1"/>
  <c r="M23" i="6"/>
  <c r="L23" i="6"/>
  <c r="O23" i="6" s="1"/>
  <c r="L131" i="6"/>
  <c r="O131" i="6" s="1"/>
  <c r="N131" i="6"/>
  <c r="P131" i="6" s="1"/>
  <c r="M131" i="6"/>
  <c r="L115" i="6"/>
  <c r="O115" i="6" s="1"/>
  <c r="N115" i="6"/>
  <c r="P115" i="6" s="1"/>
  <c r="M115" i="6"/>
  <c r="N83" i="6"/>
  <c r="P83" i="6" s="1"/>
  <c r="L83" i="6"/>
  <c r="O83" i="6" s="1"/>
  <c r="M83" i="6"/>
  <c r="N94" i="6"/>
  <c r="P94" i="6" s="1"/>
  <c r="L94" i="6"/>
  <c r="O94" i="6" s="1"/>
  <c r="M94" i="6"/>
  <c r="E94" i="6"/>
  <c r="M19" i="6"/>
  <c r="N19" i="6"/>
  <c r="P19" i="6" s="1"/>
  <c r="L19" i="6"/>
  <c r="O19" i="6" s="1"/>
  <c r="M134" i="6"/>
  <c r="N134" i="6"/>
  <c r="P134" i="6" s="1"/>
  <c r="L134" i="6"/>
  <c r="O134" i="6" s="1"/>
  <c r="I54" i="6"/>
  <c r="F53" i="6"/>
  <c r="E19" i="6"/>
  <c r="F37" i="6"/>
  <c r="I38" i="6"/>
  <c r="F31" i="6"/>
  <c r="I32" i="6"/>
  <c r="I101" i="6"/>
  <c r="F100" i="6"/>
  <c r="I77" i="6"/>
  <c r="F76" i="6"/>
  <c r="I72" i="6"/>
  <c r="F71" i="6"/>
  <c r="E82" i="6"/>
  <c r="E95" i="6"/>
  <c r="I85" i="6"/>
  <c r="F84" i="6"/>
  <c r="E97" i="6"/>
  <c r="F112" i="6"/>
  <c r="I113" i="6"/>
  <c r="I123" i="6"/>
  <c r="F122" i="6"/>
  <c r="E132" i="6"/>
  <c r="F35" i="6"/>
  <c r="I36" i="6"/>
  <c r="M112" i="6"/>
  <c r="L112" i="6"/>
  <c r="O112" i="6" s="1"/>
  <c r="N112" i="6"/>
  <c r="P112" i="6" s="1"/>
  <c r="M80" i="6"/>
  <c r="N80" i="6"/>
  <c r="P80" i="6" s="1"/>
  <c r="L80" i="6"/>
  <c r="O80" i="6" s="1"/>
  <c r="M48" i="6"/>
  <c r="N48" i="6"/>
  <c r="P48" i="6" s="1"/>
  <c r="L48" i="6"/>
  <c r="O48" i="6" s="1"/>
  <c r="N107" i="6"/>
  <c r="P107" i="6" s="1"/>
  <c r="L107" i="6"/>
  <c r="O107" i="6" s="1"/>
  <c r="M107" i="6"/>
  <c r="L43" i="6"/>
  <c r="O43" i="6" s="1"/>
  <c r="N43" i="6"/>
  <c r="P43" i="6" s="1"/>
  <c r="M43" i="6"/>
  <c r="N31" i="6"/>
  <c r="P31" i="6" s="1"/>
  <c r="M31" i="6"/>
  <c r="L31" i="6"/>
  <c r="O31" i="6" s="1"/>
  <c r="N22" i="6"/>
  <c r="P22" i="6" s="1"/>
  <c r="L22" i="6"/>
  <c r="O22" i="6" s="1"/>
  <c r="M22" i="6"/>
  <c r="E22" i="6"/>
  <c r="N110" i="6"/>
  <c r="P110" i="6" s="1"/>
  <c r="M110" i="6"/>
  <c r="L110" i="6"/>
  <c r="O110" i="6" s="1"/>
  <c r="M27" i="6"/>
  <c r="N27" i="6"/>
  <c r="P27" i="6" s="1"/>
  <c r="L27" i="6"/>
  <c r="O27" i="6" s="1"/>
  <c r="N58" i="6"/>
  <c r="P58" i="6" s="1"/>
  <c r="L58" i="6"/>
  <c r="O58" i="6" s="1"/>
  <c r="M58" i="6"/>
  <c r="M71" i="6"/>
  <c r="N71" i="6"/>
  <c r="P71" i="6" s="1"/>
  <c r="L71" i="6"/>
  <c r="O71" i="6" s="1"/>
  <c r="N86" i="6"/>
  <c r="P86" i="6" s="1"/>
  <c r="L86" i="6"/>
  <c r="O86" i="6" s="1"/>
  <c r="M86" i="6"/>
  <c r="N29" i="6"/>
  <c r="P29" i="6" s="1"/>
  <c r="M29" i="6"/>
  <c r="L29" i="6"/>
  <c r="O29" i="6" s="1"/>
  <c r="N28" i="6"/>
  <c r="P28" i="6" s="1"/>
  <c r="M28" i="6"/>
  <c r="L28" i="6"/>
  <c r="O28" i="6" s="1"/>
  <c r="F27" i="6"/>
  <c r="I28" i="6"/>
  <c r="I52" i="6"/>
  <c r="F51" i="6"/>
  <c r="I33" i="6"/>
  <c r="F32" i="6"/>
  <c r="E23" i="6"/>
  <c r="I78" i="6"/>
  <c r="F77" i="6"/>
  <c r="E72" i="6"/>
  <c r="E104" i="6"/>
  <c r="I104" i="6" s="1"/>
  <c r="F41" i="6"/>
  <c r="I42" i="6"/>
  <c r="I99" i="6"/>
  <c r="F98" i="6"/>
  <c r="I100" i="6"/>
  <c r="F99" i="6"/>
  <c r="AN14" i="6"/>
  <c r="E134" i="6"/>
  <c r="I126" i="6"/>
  <c r="F125" i="6"/>
  <c r="AN10" i="6"/>
  <c r="E136" i="6"/>
  <c r="I136" i="6" s="1"/>
  <c r="N119" i="6"/>
  <c r="P119" i="6" s="1"/>
  <c r="M119" i="6"/>
  <c r="L119" i="6"/>
  <c r="O119" i="6" s="1"/>
  <c r="E88" i="6"/>
  <c r="I88" i="6" s="1"/>
  <c r="AN26" i="6"/>
  <c r="F21" i="6"/>
  <c r="N85" i="6"/>
  <c r="P85" i="6" s="1"/>
  <c r="L85" i="6"/>
  <c r="O85" i="6" s="1"/>
  <c r="M85" i="6"/>
  <c r="N91" i="6"/>
  <c r="P91" i="6" s="1"/>
  <c r="L91" i="6"/>
  <c r="O91" i="6" s="1"/>
  <c r="M91" i="6"/>
  <c r="L51" i="6"/>
  <c r="O51" i="6" s="1"/>
  <c r="N51" i="6"/>
  <c r="P51" i="6" s="1"/>
  <c r="M51" i="6"/>
  <c r="N89" i="6"/>
  <c r="P89" i="6" s="1"/>
  <c r="L89" i="6"/>
  <c r="O89" i="6" s="1"/>
  <c r="M89" i="6"/>
  <c r="M124" i="6"/>
  <c r="N124" i="6"/>
  <c r="P124" i="6" s="1"/>
  <c r="L124" i="6"/>
  <c r="O124" i="6" s="1"/>
  <c r="N100" i="6"/>
  <c r="P100" i="6" s="1"/>
  <c r="M100" i="6"/>
  <c r="L100" i="6"/>
  <c r="O100" i="6" s="1"/>
  <c r="N65" i="6"/>
  <c r="P65" i="6" s="1"/>
  <c r="M65" i="6"/>
  <c r="L65" i="6"/>
  <c r="O65" i="6" s="1"/>
  <c r="N36" i="6"/>
  <c r="P36" i="6" s="1"/>
  <c r="L36" i="6"/>
  <c r="O36" i="6" s="1"/>
  <c r="M36" i="6"/>
  <c r="L127" i="6"/>
  <c r="O127" i="6" s="1"/>
  <c r="N127" i="6"/>
  <c r="P127" i="6" s="1"/>
  <c r="M127" i="6"/>
  <c r="N122" i="6"/>
  <c r="P122" i="6" s="1"/>
  <c r="M122" i="6"/>
  <c r="L122" i="6"/>
  <c r="O122" i="6" s="1"/>
  <c r="L44" i="6"/>
  <c r="O44" i="6" s="1"/>
  <c r="N44" i="6"/>
  <c r="P44" i="6" s="1"/>
  <c r="M44" i="6"/>
  <c r="N102" i="6"/>
  <c r="P102" i="6" s="1"/>
  <c r="M102" i="6"/>
  <c r="L102" i="6"/>
  <c r="O102" i="6" s="1"/>
  <c r="E102" i="6"/>
  <c r="I102" i="6" s="1"/>
  <c r="M125" i="6"/>
  <c r="N125" i="6"/>
  <c r="P125" i="6" s="1"/>
  <c r="L125" i="6"/>
  <c r="O125" i="6" s="1"/>
  <c r="L21" i="6"/>
  <c r="O21" i="6" s="1"/>
  <c r="M21" i="6"/>
  <c r="N21" i="6"/>
  <c r="P21" i="6" s="1"/>
  <c r="F22" i="6" l="1"/>
  <c r="I23" i="6"/>
  <c r="F95" i="6"/>
  <c r="I96" i="6"/>
  <c r="AN15" i="6"/>
  <c r="F94" i="6"/>
  <c r="I95" i="6"/>
  <c r="F66" i="6"/>
  <c r="I67" i="6"/>
  <c r="I69" i="6"/>
  <c r="F68" i="6"/>
  <c r="AN19" i="6"/>
  <c r="I135" i="6"/>
  <c r="F134" i="6"/>
  <c r="F23" i="6"/>
  <c r="I24" i="6"/>
  <c r="I83" i="6"/>
  <c r="F82" i="6"/>
  <c r="I20" i="6"/>
  <c r="F19" i="6"/>
  <c r="I114" i="6"/>
  <c r="F113" i="6"/>
  <c r="I65" i="6"/>
  <c r="F64" i="6"/>
  <c r="AN20" i="6"/>
  <c r="I56" i="6"/>
  <c r="F55" i="6"/>
  <c r="AN21" i="6"/>
  <c r="I57" i="6"/>
  <c r="F56" i="6"/>
  <c r="F24" i="6"/>
  <c r="I25" i="6"/>
  <c r="I55" i="6"/>
  <c r="F54" i="6"/>
  <c r="F90" i="6"/>
  <c r="I91" i="6"/>
  <c r="I61" i="6"/>
  <c r="F60" i="6"/>
  <c r="I134" i="6"/>
  <c r="I60" i="6"/>
  <c r="I66" i="6"/>
  <c r="I82" i="6"/>
  <c r="O18" i="6"/>
  <c r="I19" i="6"/>
  <c r="I119" i="6"/>
  <c r="F118" i="6"/>
  <c r="F136" i="6"/>
  <c r="I105" i="6"/>
  <c r="F104" i="6"/>
  <c r="F97" i="6"/>
  <c r="I98" i="6"/>
  <c r="O77" i="6"/>
  <c r="F73" i="6"/>
  <c r="I74" i="6"/>
  <c r="AN18" i="6"/>
  <c r="I117" i="6"/>
  <c r="F116" i="6"/>
  <c r="I22" i="6"/>
  <c r="I73" i="6"/>
  <c r="F72" i="6"/>
  <c r="I133" i="6"/>
  <c r="F132" i="6"/>
  <c r="I94" i="6"/>
  <c r="I97" i="6"/>
  <c r="I90" i="6"/>
  <c r="I103" i="6"/>
  <c r="F102" i="6"/>
  <c r="F88" i="6"/>
  <c r="I89" i="6"/>
  <c r="F75" i="6"/>
  <c r="I76" i="6"/>
  <c r="I64" i="6"/>
  <c r="F63" i="6"/>
  <c r="C18" i="3" l="1"/>
  <c r="D18" i="3"/>
  <c r="D19" i="3" l="1"/>
  <c r="C19" i="3"/>
  <c r="Q18" i="6"/>
  <c r="E18" i="3"/>
  <c r="E19" i="3" l="1"/>
  <c r="Q19" i="6"/>
  <c r="F18" i="3"/>
  <c r="J18" i="6" s="1"/>
  <c r="D20" i="3"/>
  <c r="C20" i="3"/>
  <c r="AO27" i="6" l="1"/>
  <c r="AP27" i="6" s="1"/>
  <c r="C18" i="6"/>
  <c r="D18" i="6"/>
  <c r="E20" i="3"/>
  <c r="Q20" i="6"/>
  <c r="F19" i="3"/>
  <c r="J19" i="6" s="1"/>
  <c r="C21" i="3"/>
  <c r="D21" i="3"/>
  <c r="C19" i="6" l="1"/>
  <c r="D19" i="6"/>
  <c r="F20" i="3"/>
  <c r="J20" i="6" s="1"/>
  <c r="D22" i="3"/>
  <c r="C22" i="3"/>
  <c r="Q21" i="6"/>
  <c r="E21" i="3"/>
  <c r="Q22" i="6" l="1"/>
  <c r="E22" i="3"/>
  <c r="F21" i="3"/>
  <c r="J21" i="6" s="1"/>
  <c r="D20" i="6"/>
  <c r="C20" i="6"/>
  <c r="C23" i="3"/>
  <c r="D23" i="3"/>
  <c r="D21" i="6" l="1"/>
  <c r="C21" i="6"/>
  <c r="F22" i="3"/>
  <c r="J22" i="6" s="1"/>
  <c r="Q23" i="6"/>
  <c r="E23" i="3"/>
  <c r="D24" i="3"/>
  <c r="C24" i="3"/>
  <c r="C25" i="3" l="1"/>
  <c r="D25" i="3"/>
  <c r="Q24" i="6"/>
  <c r="E24" i="3"/>
  <c r="AO26" i="6"/>
  <c r="AP26" i="6" s="1"/>
  <c r="D22" i="6"/>
  <c r="C22" i="6"/>
  <c r="F23" i="3"/>
  <c r="J23" i="6" s="1"/>
  <c r="C26" i="3" l="1"/>
  <c r="D26" i="3"/>
  <c r="Q25" i="6"/>
  <c r="E25" i="3"/>
  <c r="D23" i="6"/>
  <c r="C23" i="6"/>
  <c r="F24" i="3"/>
  <c r="J24" i="6" s="1"/>
  <c r="F25" i="3" l="1"/>
  <c r="J25" i="6" s="1"/>
  <c r="C24" i="6"/>
  <c r="D24" i="6"/>
  <c r="D27" i="3"/>
  <c r="C27" i="3"/>
  <c r="E26" i="3"/>
  <c r="Q26" i="6"/>
  <c r="C28" i="3" l="1"/>
  <c r="D28" i="3"/>
  <c r="F26" i="3"/>
  <c r="J26" i="6" s="1"/>
  <c r="C25" i="6"/>
  <c r="D25" i="6"/>
  <c r="Q27" i="6"/>
  <c r="E27" i="3"/>
  <c r="C29" i="3" l="1"/>
  <c r="D29" i="3"/>
  <c r="F27" i="3"/>
  <c r="J27" i="6" s="1"/>
  <c r="E28" i="3"/>
  <c r="Q28" i="6"/>
  <c r="D26" i="6"/>
  <c r="C26" i="6"/>
  <c r="C30" i="3" l="1"/>
  <c r="D30" i="3"/>
  <c r="F28" i="3"/>
  <c r="J28" i="6" s="1"/>
  <c r="D27" i="6"/>
  <c r="C27" i="6"/>
  <c r="E29" i="3"/>
  <c r="Q29" i="6"/>
  <c r="D28" i="6" l="1"/>
  <c r="C28" i="6"/>
  <c r="F29" i="3"/>
  <c r="J29" i="6" s="1"/>
  <c r="C31" i="3"/>
  <c r="D31" i="3"/>
  <c r="Q30" i="6"/>
  <c r="E30" i="3"/>
  <c r="C32" i="3" l="1"/>
  <c r="D32" i="3"/>
  <c r="D29" i="6"/>
  <c r="AO25" i="6"/>
  <c r="AP25" i="6" s="1"/>
  <c r="C29" i="6"/>
  <c r="F30" i="3"/>
  <c r="J30" i="6" s="1"/>
  <c r="Q31" i="6"/>
  <c r="E31" i="3"/>
  <c r="D33" i="3" l="1"/>
  <c r="C33" i="3"/>
  <c r="F31" i="3"/>
  <c r="J31" i="6" s="1"/>
  <c r="D30" i="6"/>
  <c r="C30" i="6"/>
  <c r="E32" i="3"/>
  <c r="Q32" i="6"/>
  <c r="D34" i="3" l="1"/>
  <c r="C34" i="3"/>
  <c r="F32" i="3"/>
  <c r="J32" i="6" s="1"/>
  <c r="D31" i="6"/>
  <c r="C31" i="6"/>
  <c r="Q33" i="6"/>
  <c r="E33" i="3"/>
  <c r="F33" i="3" l="1"/>
  <c r="J33" i="6" s="1"/>
  <c r="C35" i="3"/>
  <c r="D35" i="3"/>
  <c r="D32" i="6"/>
  <c r="C32" i="6"/>
  <c r="Q34" i="6"/>
  <c r="E34" i="3"/>
  <c r="F34" i="3" l="1"/>
  <c r="J34" i="6" s="1"/>
  <c r="Q35" i="6"/>
  <c r="E35" i="3"/>
  <c r="D36" i="3"/>
  <c r="C36" i="3"/>
  <c r="C33" i="6"/>
  <c r="D33" i="6"/>
  <c r="F35" i="3" l="1"/>
  <c r="J35" i="6" s="1"/>
  <c r="C37" i="3"/>
  <c r="D37" i="3"/>
  <c r="C34" i="6"/>
  <c r="D34" i="6"/>
  <c r="Q36" i="6"/>
  <c r="E36" i="3"/>
  <c r="C38" i="3" l="1"/>
  <c r="D38" i="3"/>
  <c r="Q37" i="6"/>
  <c r="E37" i="3"/>
  <c r="F36" i="3"/>
  <c r="J36" i="6" s="1"/>
  <c r="C35" i="6"/>
  <c r="D35" i="6"/>
  <c r="C36" i="6" l="1"/>
  <c r="D36" i="6"/>
  <c r="F37" i="3"/>
  <c r="J37" i="6" s="1"/>
  <c r="C39" i="3"/>
  <c r="D39" i="3"/>
  <c r="Q38" i="6"/>
  <c r="E38" i="3"/>
  <c r="C37" i="6" l="1"/>
  <c r="D37" i="6"/>
  <c r="D40" i="3"/>
  <c r="C40" i="3"/>
  <c r="F38" i="3"/>
  <c r="J38" i="6" s="1"/>
  <c r="Q39" i="6"/>
  <c r="E39" i="3"/>
  <c r="C41" i="3" l="1"/>
  <c r="D41" i="3"/>
  <c r="Q40" i="6"/>
  <c r="E40" i="3"/>
  <c r="F39" i="3"/>
  <c r="J39" i="6" s="1"/>
  <c r="C38" i="6"/>
  <c r="D38" i="6"/>
  <c r="C42" i="3" l="1"/>
  <c r="D42" i="3"/>
  <c r="D39" i="6"/>
  <c r="C39" i="6"/>
  <c r="AO24" i="6"/>
  <c r="AP24" i="6" s="1"/>
  <c r="F40" i="3"/>
  <c r="J40" i="6" s="1"/>
  <c r="Q41" i="6"/>
  <c r="E41" i="3"/>
  <c r="D43" i="3" l="1"/>
  <c r="C43" i="3"/>
  <c r="F41" i="3"/>
  <c r="J41" i="6" s="1"/>
  <c r="Q42" i="6"/>
  <c r="E42" i="3"/>
  <c r="D40" i="6"/>
  <c r="C40" i="6"/>
  <c r="D41" i="6" l="1"/>
  <c r="C41" i="6"/>
  <c r="F42" i="3"/>
  <c r="J42" i="6" s="1"/>
  <c r="Q43" i="6"/>
  <c r="E43" i="3"/>
  <c r="D44" i="3"/>
  <c r="C44" i="3"/>
  <c r="Q44" i="6" l="1"/>
  <c r="E44" i="3"/>
  <c r="D42" i="6"/>
  <c r="C42" i="6"/>
  <c r="AO23" i="6"/>
  <c r="AP23" i="6" s="1"/>
  <c r="F43" i="3"/>
  <c r="J43" i="6" s="1"/>
  <c r="C45" i="3"/>
  <c r="D45" i="3"/>
  <c r="Q45" i="6" l="1"/>
  <c r="E45" i="3"/>
  <c r="D46" i="3"/>
  <c r="C46" i="3"/>
  <c r="F44" i="3"/>
  <c r="J44" i="6" s="1"/>
  <c r="C43" i="6"/>
  <c r="D43" i="6"/>
  <c r="F45" i="3" l="1"/>
  <c r="J45" i="6" s="1"/>
  <c r="C44" i="6"/>
  <c r="D44" i="6"/>
  <c r="Q46" i="6"/>
  <c r="E46" i="3"/>
  <c r="D47" i="3"/>
  <c r="C47" i="3"/>
  <c r="Q47" i="6" l="1"/>
  <c r="E47" i="3"/>
  <c r="D48" i="3"/>
  <c r="C48" i="3"/>
  <c r="F46" i="3"/>
  <c r="J46" i="6" s="1"/>
  <c r="D45" i="6"/>
  <c r="C45" i="6"/>
  <c r="D46" i="6" l="1"/>
  <c r="C46" i="6"/>
  <c r="C49" i="3"/>
  <c r="D49" i="3"/>
  <c r="F47" i="3"/>
  <c r="J47" i="6" s="1"/>
  <c r="Q48" i="6"/>
  <c r="E48" i="3"/>
  <c r="D50" i="3" l="1"/>
  <c r="C50" i="3"/>
  <c r="Q49" i="6"/>
  <c r="E49" i="3"/>
  <c r="D47" i="6"/>
  <c r="C47" i="6"/>
  <c r="AO22" i="6"/>
  <c r="AP22" i="6" s="1"/>
  <c r="F48" i="3"/>
  <c r="J48" i="6" s="1"/>
  <c r="Q50" i="6" l="1"/>
  <c r="E50" i="3"/>
  <c r="F49" i="3"/>
  <c r="J49" i="6" s="1"/>
  <c r="D51" i="3"/>
  <c r="C51" i="3"/>
  <c r="D48" i="6"/>
  <c r="C48" i="6"/>
  <c r="Q51" i="6" l="1"/>
  <c r="E51" i="3"/>
  <c r="D49" i="6"/>
  <c r="C49" i="6"/>
  <c r="D52" i="3"/>
  <c r="C52" i="3"/>
  <c r="F50" i="3"/>
  <c r="J50" i="6" s="1"/>
  <c r="D50" i="6" l="1"/>
  <c r="C50" i="6"/>
  <c r="F51" i="3"/>
  <c r="J51" i="6" s="1"/>
  <c r="Q52" i="6"/>
  <c r="E52" i="3"/>
  <c r="C53" i="3"/>
  <c r="D53" i="3"/>
  <c r="C51" i="6" l="1"/>
  <c r="D51" i="6"/>
  <c r="D54" i="3"/>
  <c r="C54" i="3"/>
  <c r="F52" i="3"/>
  <c r="J52" i="6" s="1"/>
  <c r="Q53" i="6"/>
  <c r="E53" i="3"/>
  <c r="C52" i="6" l="1"/>
  <c r="D52" i="6"/>
  <c r="D55" i="3"/>
  <c r="C55" i="3"/>
  <c r="Q54" i="6"/>
  <c r="E54" i="3"/>
  <c r="F53" i="3"/>
  <c r="J53" i="6" s="1"/>
  <c r="F54" i="3" l="1"/>
  <c r="J54" i="6" s="1"/>
  <c r="C56" i="3"/>
  <c r="D56" i="3"/>
  <c r="C53" i="6"/>
  <c r="D53" i="6"/>
  <c r="Q55" i="6"/>
  <c r="E55" i="3"/>
  <c r="D54" i="6" l="1"/>
  <c r="C54" i="6"/>
  <c r="Q56" i="6"/>
  <c r="E56" i="3"/>
  <c r="F55" i="3"/>
  <c r="J55" i="6" s="1"/>
  <c r="C57" i="3"/>
  <c r="D57" i="3"/>
  <c r="D58" i="3" l="1"/>
  <c r="C58" i="3"/>
  <c r="D55" i="6"/>
  <c r="AO21" i="6"/>
  <c r="AP21" i="6" s="1"/>
  <c r="C55" i="6"/>
  <c r="E57" i="3"/>
  <c r="Q57" i="6"/>
  <c r="F56" i="3"/>
  <c r="J56" i="6" s="1"/>
  <c r="F57" i="3" l="1"/>
  <c r="J57" i="6" s="1"/>
  <c r="D59" i="3"/>
  <c r="C59" i="3"/>
  <c r="Q58" i="6"/>
  <c r="E58" i="3"/>
  <c r="D56" i="6"/>
  <c r="C56" i="6"/>
  <c r="D57" i="6" l="1"/>
  <c r="C57" i="6"/>
  <c r="D60" i="3"/>
  <c r="C60" i="3"/>
  <c r="Q59" i="6"/>
  <c r="E59" i="3"/>
  <c r="F58" i="3"/>
  <c r="J58" i="6" s="1"/>
  <c r="C61" i="3" l="1"/>
  <c r="D61" i="3"/>
  <c r="Q60" i="6"/>
  <c r="E60" i="3"/>
  <c r="F59" i="3"/>
  <c r="J59" i="6" s="1"/>
  <c r="D58" i="6"/>
  <c r="C58" i="6"/>
  <c r="C62" i="3" l="1"/>
  <c r="D62" i="3"/>
  <c r="F60" i="3"/>
  <c r="J60" i="6" s="1"/>
  <c r="C59" i="6"/>
  <c r="D59" i="6"/>
  <c r="Q61" i="6"/>
  <c r="E61" i="3"/>
  <c r="D63" i="3" l="1"/>
  <c r="C63" i="3"/>
  <c r="C60" i="6"/>
  <c r="D60" i="6"/>
  <c r="F61" i="3"/>
  <c r="J61" i="6" s="1"/>
  <c r="Q62" i="6"/>
  <c r="E62" i="3"/>
  <c r="F62" i="3" l="1"/>
  <c r="J62" i="6" s="1"/>
  <c r="E63" i="3"/>
  <c r="Q63" i="6"/>
  <c r="C64" i="3"/>
  <c r="D64" i="3"/>
  <c r="D61" i="6"/>
  <c r="C61" i="6"/>
  <c r="F63" i="3" l="1"/>
  <c r="J63" i="6" s="1"/>
  <c r="C65" i="3"/>
  <c r="D65" i="3"/>
  <c r="Q64" i="6"/>
  <c r="E64" i="3"/>
  <c r="D62" i="6"/>
  <c r="C62" i="6"/>
  <c r="F64" i="3" l="1"/>
  <c r="J64" i="6" s="1"/>
  <c r="Q65" i="6"/>
  <c r="E65" i="3"/>
  <c r="D66" i="3"/>
  <c r="C66" i="3"/>
  <c r="D63" i="6"/>
  <c r="C63" i="6"/>
  <c r="F65" i="3" l="1"/>
  <c r="J65" i="6" s="1"/>
  <c r="Q66" i="6"/>
  <c r="E66" i="3"/>
  <c r="C67" i="3"/>
  <c r="D67" i="3"/>
  <c r="C64" i="6"/>
  <c r="AO20" i="6"/>
  <c r="AP20" i="6" s="1"/>
  <c r="D64" i="6"/>
  <c r="C68" i="3" l="1"/>
  <c r="D68" i="3"/>
  <c r="F66" i="3"/>
  <c r="J66" i="6" s="1"/>
  <c r="C65" i="6"/>
  <c r="D65" i="6"/>
  <c r="Q67" i="6"/>
  <c r="E67" i="3"/>
  <c r="F67" i="3" l="1"/>
  <c r="J67" i="6" s="1"/>
  <c r="C69" i="3"/>
  <c r="D69" i="3"/>
  <c r="C66" i="6"/>
  <c r="D66" i="6"/>
  <c r="E68" i="3"/>
  <c r="Q68" i="6"/>
  <c r="E69" i="3" l="1"/>
  <c r="Q69" i="6"/>
  <c r="F68" i="3"/>
  <c r="J68" i="6" s="1"/>
  <c r="C67" i="6"/>
  <c r="D67" i="6"/>
  <c r="C70" i="3"/>
  <c r="D70" i="3"/>
  <c r="C71" i="3" l="1"/>
  <c r="D71" i="3"/>
  <c r="E70" i="3"/>
  <c r="Q70" i="6"/>
  <c r="F69" i="3"/>
  <c r="J69" i="6" s="1"/>
  <c r="C68" i="6"/>
  <c r="D68" i="6"/>
  <c r="AO19" i="6"/>
  <c r="AP19" i="6" s="1"/>
  <c r="D69" i="6" l="1"/>
  <c r="C69" i="6"/>
  <c r="D72" i="3"/>
  <c r="C72" i="3"/>
  <c r="F70" i="3"/>
  <c r="J70" i="6" s="1"/>
  <c r="Q71" i="6"/>
  <c r="E71" i="3"/>
  <c r="Q72" i="6" l="1"/>
  <c r="E72" i="3"/>
  <c r="D70" i="6"/>
  <c r="C70" i="6"/>
  <c r="F71" i="3"/>
  <c r="J71" i="6" s="1"/>
  <c r="C73" i="3"/>
  <c r="D73" i="3"/>
  <c r="D74" i="3" l="1"/>
  <c r="C74" i="3"/>
  <c r="F72" i="3"/>
  <c r="J72" i="6" s="1"/>
  <c r="Q73" i="6"/>
  <c r="E73" i="3"/>
  <c r="D71" i="6"/>
  <c r="C71" i="6"/>
  <c r="D75" i="3" l="1"/>
  <c r="C75" i="3"/>
  <c r="Q74" i="6"/>
  <c r="E74" i="3"/>
  <c r="D72" i="6"/>
  <c r="C72" i="6"/>
  <c r="F73" i="3"/>
  <c r="J73" i="6" s="1"/>
  <c r="D73" i="6" l="1"/>
  <c r="C73" i="6"/>
  <c r="AO18" i="6"/>
  <c r="AP18" i="6" s="1"/>
  <c r="F74" i="3"/>
  <c r="J74" i="6" s="1"/>
  <c r="D76" i="3"/>
  <c r="C76" i="3"/>
  <c r="Q75" i="6"/>
  <c r="E75" i="3"/>
  <c r="F75" i="3" l="1"/>
  <c r="J75" i="6" s="1"/>
  <c r="D74" i="6"/>
  <c r="C74" i="6"/>
  <c r="Q76" i="6"/>
  <c r="E76" i="3"/>
  <c r="C77" i="3"/>
  <c r="K34" i="3"/>
  <c r="D77" i="3"/>
  <c r="C78" i="3" l="1"/>
  <c r="D78" i="3"/>
  <c r="Q77" i="6"/>
  <c r="E77" i="3"/>
  <c r="F76" i="3"/>
  <c r="J76" i="6" s="1"/>
  <c r="C75" i="6"/>
  <c r="D75" i="6"/>
  <c r="D79" i="3" l="1"/>
  <c r="C79" i="3"/>
  <c r="C76" i="6"/>
  <c r="D76" i="6"/>
  <c r="F77" i="3"/>
  <c r="J77" i="6" s="1"/>
  <c r="Q78" i="6"/>
  <c r="E78" i="3"/>
  <c r="D80" i="3" l="1"/>
  <c r="C80" i="3"/>
  <c r="D77" i="6"/>
  <c r="C77" i="6"/>
  <c r="Q79" i="6"/>
  <c r="E79" i="3"/>
  <c r="F78" i="3"/>
  <c r="J78" i="6" s="1"/>
  <c r="F79" i="3" l="1"/>
  <c r="J79" i="6" s="1"/>
  <c r="D78" i="6"/>
  <c r="C78" i="6"/>
  <c r="C81" i="3"/>
  <c r="D81" i="3"/>
  <c r="Q80" i="6"/>
  <c r="E80" i="3"/>
  <c r="D79" i="6" l="1"/>
  <c r="C79" i="6"/>
  <c r="Q81" i="6"/>
  <c r="E81" i="3"/>
  <c r="D82" i="3"/>
  <c r="C82" i="3"/>
  <c r="F80" i="3"/>
  <c r="J80" i="6" s="1"/>
  <c r="Q82" i="6" l="1"/>
  <c r="E82" i="3"/>
  <c r="F81" i="3"/>
  <c r="J81" i="6" s="1"/>
  <c r="D80" i="6"/>
  <c r="C80" i="6"/>
  <c r="D83" i="3"/>
  <c r="C83" i="3"/>
  <c r="Q83" i="6" l="1"/>
  <c r="E83" i="3"/>
  <c r="C81" i="6"/>
  <c r="D81" i="6"/>
  <c r="AO17" i="6"/>
  <c r="AP17" i="6" s="1"/>
  <c r="F82" i="3"/>
  <c r="J82" i="6" s="1"/>
  <c r="D84" i="3"/>
  <c r="C84" i="3"/>
  <c r="C82" i="6" l="1"/>
  <c r="D82" i="6"/>
  <c r="C85" i="3"/>
  <c r="D85" i="3"/>
  <c r="F83" i="3"/>
  <c r="J83" i="6" s="1"/>
  <c r="Q84" i="6"/>
  <c r="E84" i="3"/>
  <c r="D83" i="6" l="1"/>
  <c r="C83" i="6"/>
  <c r="F84" i="3"/>
  <c r="J84" i="6" s="1"/>
  <c r="Q85" i="6"/>
  <c r="E85" i="3"/>
  <c r="D86" i="3"/>
  <c r="C86" i="3"/>
  <c r="D84" i="6" l="1"/>
  <c r="C84" i="6"/>
  <c r="C87" i="3"/>
  <c r="D87" i="3"/>
  <c r="F85" i="3"/>
  <c r="J85" i="6" s="1"/>
  <c r="Q86" i="6"/>
  <c r="E86" i="3"/>
  <c r="Q87" i="6" l="1"/>
  <c r="E87" i="3"/>
  <c r="F86" i="3"/>
  <c r="J86" i="6" s="1"/>
  <c r="D88" i="3"/>
  <c r="C88" i="3"/>
  <c r="D85" i="6"/>
  <c r="C85" i="6"/>
  <c r="D86" i="6" l="1"/>
  <c r="C86" i="6"/>
  <c r="C89" i="3"/>
  <c r="D89" i="3"/>
  <c r="F87" i="3"/>
  <c r="J87" i="6" s="1"/>
  <c r="Q88" i="6"/>
  <c r="E88" i="3"/>
  <c r="D87" i="6" l="1"/>
  <c r="C87" i="6"/>
  <c r="D90" i="3"/>
  <c r="C90" i="3"/>
  <c r="Q89" i="6"/>
  <c r="E89" i="3"/>
  <c r="F88" i="3"/>
  <c r="J88" i="6" s="1"/>
  <c r="D88" i="6" l="1"/>
  <c r="C88" i="6"/>
  <c r="D91" i="3"/>
  <c r="C91" i="3"/>
  <c r="F89" i="3"/>
  <c r="J89" i="6" s="1"/>
  <c r="Q90" i="6"/>
  <c r="E90" i="3"/>
  <c r="Q91" i="6" l="1"/>
  <c r="E91" i="3"/>
  <c r="F90" i="3"/>
  <c r="J90" i="6" s="1"/>
  <c r="D92" i="3"/>
  <c r="C92" i="3"/>
  <c r="D89" i="6"/>
  <c r="C89" i="6"/>
  <c r="D90" i="6" l="1"/>
  <c r="C90" i="6"/>
  <c r="F91" i="3"/>
  <c r="J91" i="6" s="1"/>
  <c r="C93" i="3"/>
  <c r="D93" i="3"/>
  <c r="Q92" i="6"/>
  <c r="E92" i="3"/>
  <c r="Q93" i="6" l="1"/>
  <c r="E93" i="3"/>
  <c r="D91" i="6"/>
  <c r="C91" i="6"/>
  <c r="AO16" i="6"/>
  <c r="AP16" i="6" s="1"/>
  <c r="C94" i="3"/>
  <c r="D94" i="3"/>
  <c r="F92" i="3"/>
  <c r="J92" i="6" s="1"/>
  <c r="F93" i="3" l="1"/>
  <c r="J93" i="6" s="1"/>
  <c r="Q94" i="6"/>
  <c r="E94" i="3"/>
  <c r="D95" i="3"/>
  <c r="C95" i="3"/>
  <c r="D92" i="6"/>
  <c r="C92" i="6"/>
  <c r="AC17" i="6" s="1"/>
  <c r="F94" i="3" l="1"/>
  <c r="J94" i="6" s="1"/>
  <c r="D96" i="3"/>
  <c r="C96" i="3"/>
  <c r="Q95" i="6"/>
  <c r="E95" i="3"/>
  <c r="D93" i="6"/>
  <c r="C93" i="6"/>
  <c r="C97" i="3" l="1"/>
  <c r="D97" i="3"/>
  <c r="F95" i="3"/>
  <c r="J95" i="6" s="1"/>
  <c r="D94" i="6"/>
  <c r="C94" i="6"/>
  <c r="Q96" i="6"/>
  <c r="E96" i="3"/>
  <c r="D95" i="6" l="1"/>
  <c r="AO15" i="6"/>
  <c r="AP15" i="6" s="1"/>
  <c r="C95" i="6"/>
  <c r="D98" i="3"/>
  <c r="C98" i="3"/>
  <c r="F96" i="3"/>
  <c r="J96" i="6" s="1"/>
  <c r="Q97" i="6"/>
  <c r="E97" i="3"/>
  <c r="F97" i="3" l="1"/>
  <c r="J97" i="6" s="1"/>
  <c r="D96" i="6"/>
  <c r="C96" i="6"/>
  <c r="Q98" i="6"/>
  <c r="E98" i="3"/>
  <c r="D99" i="3"/>
  <c r="C99" i="3"/>
  <c r="D100" i="3" l="1"/>
  <c r="C100" i="3"/>
  <c r="F98" i="3"/>
  <c r="J98" i="6" s="1"/>
  <c r="D97" i="6"/>
  <c r="C97" i="6"/>
  <c r="Q99" i="6"/>
  <c r="E99" i="3"/>
  <c r="C101" i="3" l="1"/>
  <c r="D101" i="3"/>
  <c r="F99" i="3"/>
  <c r="J99" i="6" s="1"/>
  <c r="Q100" i="6"/>
  <c r="E100" i="3"/>
  <c r="C98" i="6"/>
  <c r="D98" i="6"/>
  <c r="D102" i="3" l="1"/>
  <c r="C102" i="3"/>
  <c r="Q101" i="6"/>
  <c r="E101" i="3"/>
  <c r="F100" i="3"/>
  <c r="J100" i="6" s="1"/>
  <c r="D99" i="6"/>
  <c r="C99" i="6"/>
  <c r="AO14" i="6"/>
  <c r="AP14" i="6" s="1"/>
  <c r="D100" i="6" l="1"/>
  <c r="C100" i="6"/>
  <c r="F101" i="3"/>
  <c r="J101" i="6" s="1"/>
  <c r="Q102" i="6"/>
  <c r="E102" i="3"/>
  <c r="C103" i="3"/>
  <c r="D103" i="3"/>
  <c r="D104" i="3" l="1"/>
  <c r="C104" i="3"/>
  <c r="D101" i="6"/>
  <c r="C101" i="6"/>
  <c r="Q103" i="6"/>
  <c r="E103" i="3"/>
  <c r="F102" i="3"/>
  <c r="J102" i="6" s="1"/>
  <c r="D102" i="6" l="1"/>
  <c r="C102" i="6"/>
  <c r="Q104" i="6"/>
  <c r="E104" i="3"/>
  <c r="F103" i="3"/>
  <c r="J103" i="6" s="1"/>
  <c r="C105" i="3"/>
  <c r="D105" i="3"/>
  <c r="D103" i="6" l="1"/>
  <c r="C103" i="6"/>
  <c r="Q105" i="6"/>
  <c r="E105" i="3"/>
  <c r="D106" i="3"/>
  <c r="C106" i="3"/>
  <c r="F104" i="3"/>
  <c r="J104" i="6" s="1"/>
  <c r="D107" i="3" l="1"/>
  <c r="C107" i="3"/>
  <c r="Q106" i="6"/>
  <c r="E106" i="3"/>
  <c r="F105" i="3"/>
  <c r="J105" i="6" s="1"/>
  <c r="D104" i="6"/>
  <c r="C104" i="6"/>
  <c r="D105" i="6" l="1"/>
  <c r="C105" i="6"/>
  <c r="F106" i="3"/>
  <c r="J106" i="6" s="1"/>
  <c r="D108" i="3"/>
  <c r="C108" i="3"/>
  <c r="Q107" i="6"/>
  <c r="E107" i="3"/>
  <c r="D106" i="6" l="1"/>
  <c r="C106" i="6"/>
  <c r="F107" i="3"/>
  <c r="J107" i="6" s="1"/>
  <c r="C109" i="3"/>
  <c r="D109" i="3"/>
  <c r="Q108" i="6"/>
  <c r="E108" i="3"/>
  <c r="F108" i="3" l="1"/>
  <c r="J108" i="6" s="1"/>
  <c r="Q109" i="6"/>
  <c r="E109" i="3"/>
  <c r="C107" i="6"/>
  <c r="D107" i="6"/>
  <c r="AO13" i="6"/>
  <c r="AP13" i="6" s="1"/>
  <c r="C110" i="3"/>
  <c r="D110" i="3"/>
  <c r="C108" i="6" l="1"/>
  <c r="D108" i="6"/>
  <c r="D111" i="3"/>
  <c r="C111" i="3"/>
  <c r="F109" i="3"/>
  <c r="J109" i="6" s="1"/>
  <c r="Q110" i="6"/>
  <c r="E110" i="3"/>
  <c r="C109" i="6" l="1"/>
  <c r="D109" i="6"/>
  <c r="F110" i="3"/>
  <c r="J110" i="6" s="1"/>
  <c r="D112" i="3"/>
  <c r="C112" i="3"/>
  <c r="Q111" i="6"/>
  <c r="E111" i="3"/>
  <c r="C113" i="3" l="1"/>
  <c r="D113" i="3"/>
  <c r="C110" i="6"/>
  <c r="D110" i="6"/>
  <c r="F111" i="3"/>
  <c r="J111" i="6" s="1"/>
  <c r="Q112" i="6"/>
  <c r="E112" i="3"/>
  <c r="D114" i="3" l="1"/>
  <c r="C114" i="3"/>
  <c r="F112" i="3"/>
  <c r="J112" i="6" s="1"/>
  <c r="C111" i="6"/>
  <c r="D111" i="6"/>
  <c r="Q113" i="6"/>
  <c r="E113" i="3"/>
  <c r="F113" i="3" l="1"/>
  <c r="J113" i="6" s="1"/>
  <c r="D115" i="3"/>
  <c r="C115" i="3"/>
  <c r="C112" i="6"/>
  <c r="D112" i="6"/>
  <c r="Q114" i="6"/>
  <c r="E114" i="3"/>
  <c r="Q115" i="6" l="1"/>
  <c r="E115" i="3"/>
  <c r="F114" i="3"/>
  <c r="J114" i="6" s="1"/>
  <c r="C113" i="6"/>
  <c r="D113" i="6"/>
  <c r="D116" i="3"/>
  <c r="C116" i="3"/>
  <c r="F115" i="3" l="1"/>
  <c r="J115" i="6" s="1"/>
  <c r="Q116" i="6"/>
  <c r="E116" i="3"/>
  <c r="C117" i="3"/>
  <c r="D117" i="3"/>
  <c r="C114" i="6"/>
  <c r="D114" i="6"/>
  <c r="D118" i="3" l="1"/>
  <c r="C118" i="3"/>
  <c r="Q117" i="6"/>
  <c r="E117" i="3"/>
  <c r="F116" i="3"/>
  <c r="J116" i="6" s="1"/>
  <c r="C115" i="6"/>
  <c r="D115" i="6"/>
  <c r="C119" i="3" l="1"/>
  <c r="D119" i="3"/>
  <c r="C116" i="6"/>
  <c r="D116" i="6"/>
  <c r="F117" i="3"/>
  <c r="J117" i="6" s="1"/>
  <c r="Q118" i="6"/>
  <c r="E118" i="3"/>
  <c r="Q119" i="6" l="1"/>
  <c r="E119" i="3"/>
  <c r="D120" i="3"/>
  <c r="C120" i="3"/>
  <c r="D117" i="6"/>
  <c r="C117" i="6"/>
  <c r="AO12" i="6"/>
  <c r="AP12" i="6" s="1"/>
  <c r="F118" i="3"/>
  <c r="J118" i="6" s="1"/>
  <c r="C118" i="6" l="1"/>
  <c r="D118" i="6"/>
  <c r="C121" i="3"/>
  <c r="D121" i="3"/>
  <c r="Q120" i="6"/>
  <c r="E120" i="3"/>
  <c r="F119" i="3"/>
  <c r="J119" i="6" s="1"/>
  <c r="D122" i="3" l="1"/>
  <c r="C122" i="3"/>
  <c r="Q121" i="6"/>
  <c r="E121" i="3"/>
  <c r="D119" i="6"/>
  <c r="C119" i="6"/>
  <c r="F120" i="3"/>
  <c r="J120" i="6" s="1"/>
  <c r="F121" i="3" l="1"/>
  <c r="J121" i="6" s="1"/>
  <c r="D120" i="6"/>
  <c r="C120" i="6"/>
  <c r="AO11" i="6"/>
  <c r="AP11" i="6" s="1"/>
  <c r="D123" i="3"/>
  <c r="C123" i="3"/>
  <c r="Q122" i="6"/>
  <c r="E122" i="3"/>
  <c r="D124" i="3" l="1"/>
  <c r="C124" i="3"/>
  <c r="Q123" i="6"/>
  <c r="E123" i="3"/>
  <c r="F122" i="3"/>
  <c r="J122" i="6" s="1"/>
  <c r="D121" i="6"/>
  <c r="C121" i="6"/>
  <c r="F123" i="3" l="1"/>
  <c r="J123" i="6" s="1"/>
  <c r="C125" i="3"/>
  <c r="D125" i="3"/>
  <c r="C122" i="6"/>
  <c r="D122" i="6"/>
  <c r="Q124" i="6"/>
  <c r="E124" i="3"/>
  <c r="F124" i="3" l="1"/>
  <c r="J124" i="6" s="1"/>
  <c r="D123" i="6"/>
  <c r="C123" i="6"/>
  <c r="C126" i="3"/>
  <c r="D126" i="3"/>
  <c r="Q125" i="6"/>
  <c r="E125" i="3"/>
  <c r="Q126" i="6" l="1"/>
  <c r="E126" i="3"/>
  <c r="F125" i="3"/>
  <c r="J125" i="6" s="1"/>
  <c r="D127" i="3"/>
  <c r="C127" i="3"/>
  <c r="C124" i="6"/>
  <c r="D124" i="6"/>
  <c r="C125" i="6" l="1"/>
  <c r="D125" i="6"/>
  <c r="AO10" i="6"/>
  <c r="AP10" i="6" s="1"/>
  <c r="F126" i="3"/>
  <c r="J126" i="6" s="1"/>
  <c r="Q127" i="6"/>
  <c r="E127" i="3"/>
  <c r="D128" i="3"/>
  <c r="C128" i="3"/>
  <c r="D126" i="6" l="1"/>
  <c r="C126" i="6"/>
  <c r="Q128" i="6"/>
  <c r="E128" i="3"/>
  <c r="C129" i="3"/>
  <c r="D129" i="3"/>
  <c r="F127" i="3"/>
  <c r="J127" i="6" s="1"/>
  <c r="D130" i="3" l="1"/>
  <c r="C130" i="3"/>
  <c r="C127" i="6"/>
  <c r="D127" i="6"/>
  <c r="Q129" i="6"/>
  <c r="E129" i="3"/>
  <c r="F128" i="3"/>
  <c r="J128" i="6" s="1"/>
  <c r="D131" i="3" l="1"/>
  <c r="C131" i="3"/>
  <c r="C128" i="6"/>
  <c r="D128" i="6"/>
  <c r="F129" i="3"/>
  <c r="J129" i="6" s="1"/>
  <c r="Q130" i="6"/>
  <c r="E130" i="3"/>
  <c r="C129" i="6" l="1"/>
  <c r="D129" i="6"/>
  <c r="D132" i="3"/>
  <c r="C132" i="3"/>
  <c r="Q131" i="6"/>
  <c r="E131" i="3"/>
  <c r="F130" i="3"/>
  <c r="J130" i="6" s="1"/>
  <c r="F131" i="3" l="1"/>
  <c r="J131" i="6" s="1"/>
  <c r="C133" i="3"/>
  <c r="D133" i="3"/>
  <c r="C130" i="6"/>
  <c r="D130" i="6"/>
  <c r="Q132" i="6"/>
  <c r="E132" i="3"/>
  <c r="D131" i="6" l="1"/>
  <c r="C131" i="6"/>
  <c r="Q133" i="6"/>
  <c r="E133" i="3"/>
  <c r="F132" i="3"/>
  <c r="J132" i="6" s="1"/>
  <c r="D134" i="3"/>
  <c r="C134" i="3"/>
  <c r="Q134" i="6" l="1"/>
  <c r="E134" i="3"/>
  <c r="C132" i="6"/>
  <c r="D132" i="6"/>
  <c r="C135" i="3"/>
  <c r="D135" i="3"/>
  <c r="F133" i="3"/>
  <c r="J133" i="6" s="1"/>
  <c r="Q135" i="6" l="1"/>
  <c r="E135" i="3"/>
  <c r="D136" i="3"/>
  <c r="C136" i="3"/>
  <c r="G135" i="6" s="1"/>
  <c r="F134" i="3"/>
  <c r="J134" i="6" s="1"/>
  <c r="C133" i="6"/>
  <c r="D133" i="6"/>
  <c r="AO9" i="6"/>
  <c r="AP9" i="6" s="1"/>
  <c r="F135" i="3" l="1"/>
  <c r="J135" i="6" s="1"/>
  <c r="C134" i="6"/>
  <c r="D134" i="6"/>
  <c r="Q136" i="6"/>
  <c r="G136" i="6"/>
  <c r="H136" i="6" s="1"/>
  <c r="H30" i="3"/>
  <c r="E136" i="3"/>
  <c r="G18" i="6"/>
  <c r="H18" i="6" s="1"/>
  <c r="G19" i="6"/>
  <c r="H19" i="6" s="1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H130" i="6" l="1"/>
  <c r="H122" i="6"/>
  <c r="H114" i="6"/>
  <c r="H106" i="6"/>
  <c r="H98" i="6"/>
  <c r="H82" i="6"/>
  <c r="H74" i="6"/>
  <c r="H66" i="6"/>
  <c r="H58" i="6"/>
  <c r="H42" i="6"/>
  <c r="H34" i="6"/>
  <c r="H26" i="6"/>
  <c r="H133" i="6"/>
  <c r="H125" i="6"/>
  <c r="H117" i="6"/>
  <c r="H109" i="6"/>
  <c r="H101" i="6"/>
  <c r="H93" i="6"/>
  <c r="H85" i="6"/>
  <c r="H77" i="6"/>
  <c r="H69" i="6"/>
  <c r="H61" i="6"/>
  <c r="H53" i="6"/>
  <c r="H45" i="6"/>
  <c r="H37" i="6"/>
  <c r="H29" i="6"/>
  <c r="H21" i="6"/>
  <c r="H131" i="6"/>
  <c r="H123" i="6"/>
  <c r="H115" i="6"/>
  <c r="H107" i="6"/>
  <c r="H99" i="6"/>
  <c r="H91" i="6"/>
  <c r="H83" i="6"/>
  <c r="H75" i="6"/>
  <c r="H67" i="6"/>
  <c r="H59" i="6"/>
  <c r="H51" i="6"/>
  <c r="H43" i="6"/>
  <c r="H35" i="6"/>
  <c r="H27" i="6"/>
  <c r="H127" i="6"/>
  <c r="H119" i="6"/>
  <c r="H111" i="6"/>
  <c r="H103" i="6"/>
  <c r="H95" i="6"/>
  <c r="H87" i="6"/>
  <c r="H79" i="6"/>
  <c r="H71" i="6"/>
  <c r="H63" i="6"/>
  <c r="H55" i="6"/>
  <c r="H47" i="6"/>
  <c r="H39" i="6"/>
  <c r="H31" i="6"/>
  <c r="H23" i="6"/>
  <c r="H129" i="6"/>
  <c r="H121" i="6"/>
  <c r="H113" i="6"/>
  <c r="H105" i="6"/>
  <c r="H97" i="6"/>
  <c r="H89" i="6"/>
  <c r="H81" i="6"/>
  <c r="H73" i="6"/>
  <c r="H65" i="6"/>
  <c r="H57" i="6"/>
  <c r="H49" i="6"/>
  <c r="H41" i="6"/>
  <c r="H33" i="6"/>
  <c r="H134" i="6"/>
  <c r="H126" i="6"/>
  <c r="H118" i="6"/>
  <c r="H110" i="6"/>
  <c r="H102" i="6"/>
  <c r="H94" i="6"/>
  <c r="H86" i="6"/>
  <c r="H78" i="6"/>
  <c r="H90" i="6"/>
  <c r="H50" i="6"/>
  <c r="H25" i="6"/>
  <c r="H128" i="6"/>
  <c r="H120" i="6"/>
  <c r="H112" i="6"/>
  <c r="H104" i="6"/>
  <c r="H96" i="6"/>
  <c r="H88" i="6"/>
  <c r="H80" i="6"/>
  <c r="H72" i="6"/>
  <c r="H64" i="6"/>
  <c r="H56" i="6"/>
  <c r="H48" i="6"/>
  <c r="H40" i="6"/>
  <c r="H32" i="6"/>
  <c r="H24" i="6"/>
  <c r="F136" i="3"/>
  <c r="J136" i="6" s="1"/>
  <c r="H70" i="6"/>
  <c r="H62" i="6"/>
  <c r="H54" i="6"/>
  <c r="H46" i="6"/>
  <c r="H38" i="6"/>
  <c r="H30" i="6"/>
  <c r="H22" i="6"/>
  <c r="D135" i="6"/>
  <c r="C135" i="6"/>
  <c r="AO8" i="6"/>
  <c r="H132" i="6"/>
  <c r="H124" i="6"/>
  <c r="H116" i="6"/>
  <c r="H108" i="6"/>
  <c r="H100" i="6"/>
  <c r="H92" i="6"/>
  <c r="H84" i="6"/>
  <c r="H76" i="6"/>
  <c r="H68" i="6"/>
  <c r="H60" i="6"/>
  <c r="H52" i="6"/>
  <c r="H44" i="6"/>
  <c r="H36" i="6"/>
  <c r="H28" i="6"/>
  <c r="H20" i="6"/>
  <c r="H135" i="6"/>
  <c r="C136" i="6" l="1"/>
  <c r="D136" i="6"/>
  <c r="S135" i="6" s="1"/>
  <c r="W135" i="6" s="1"/>
  <c r="AP8" i="6"/>
  <c r="AP7" i="6"/>
  <c r="S133" i="6" l="1"/>
  <c r="W133" i="6" s="1"/>
  <c r="S131" i="6"/>
  <c r="W131" i="6" s="1"/>
  <c r="S136" i="6"/>
  <c r="W136" i="6" s="1"/>
  <c r="S18" i="6"/>
  <c r="S19" i="6"/>
  <c r="W19" i="6" s="1"/>
  <c r="S20" i="6"/>
  <c r="W20" i="6" s="1"/>
  <c r="S21" i="6"/>
  <c r="W21" i="6" s="1"/>
  <c r="S22" i="6"/>
  <c r="W22" i="6" s="1"/>
  <c r="S25" i="6"/>
  <c r="W25" i="6" s="1"/>
  <c r="S23" i="6"/>
  <c r="W23" i="6" s="1"/>
  <c r="S24" i="6"/>
  <c r="W24" i="6" s="1"/>
  <c r="S26" i="6"/>
  <c r="W26" i="6" s="1"/>
  <c r="S28" i="6"/>
  <c r="W28" i="6" s="1"/>
  <c r="S27" i="6"/>
  <c r="W27" i="6" s="1"/>
  <c r="S29" i="6"/>
  <c r="W29" i="6" s="1"/>
  <c r="S33" i="6"/>
  <c r="W33" i="6" s="1"/>
  <c r="S30" i="6"/>
  <c r="W30" i="6" s="1"/>
  <c r="S31" i="6"/>
  <c r="W31" i="6" s="1"/>
  <c r="S35" i="6"/>
  <c r="W35" i="6" s="1"/>
  <c r="S32" i="6"/>
  <c r="W32" i="6" s="1"/>
  <c r="S34" i="6"/>
  <c r="W34" i="6" s="1"/>
  <c r="S37" i="6"/>
  <c r="W37" i="6" s="1"/>
  <c r="S36" i="6"/>
  <c r="W36" i="6" s="1"/>
  <c r="S41" i="6"/>
  <c r="W41" i="6" s="1"/>
  <c r="S38" i="6"/>
  <c r="W38" i="6" s="1"/>
  <c r="S40" i="6"/>
  <c r="W40" i="6" s="1"/>
  <c r="S39" i="6"/>
  <c r="W39" i="6" s="1"/>
  <c r="S43" i="6"/>
  <c r="W43" i="6" s="1"/>
  <c r="S42" i="6"/>
  <c r="W42" i="6" s="1"/>
  <c r="S46" i="6"/>
  <c r="W46" i="6" s="1"/>
  <c r="S44" i="6"/>
  <c r="W44" i="6" s="1"/>
  <c r="S45" i="6"/>
  <c r="W45" i="6" s="1"/>
  <c r="S47" i="6"/>
  <c r="W47" i="6" s="1"/>
  <c r="S48" i="6"/>
  <c r="W48" i="6" s="1"/>
  <c r="S49" i="6"/>
  <c r="W49" i="6" s="1"/>
  <c r="S50" i="6"/>
  <c r="W50" i="6" s="1"/>
  <c r="S51" i="6"/>
  <c r="W51" i="6" s="1"/>
  <c r="S53" i="6"/>
  <c r="W53" i="6" s="1"/>
  <c r="S52" i="6"/>
  <c r="W52" i="6" s="1"/>
  <c r="S56" i="6"/>
  <c r="W56" i="6" s="1"/>
  <c r="S55" i="6"/>
  <c r="W55" i="6" s="1"/>
  <c r="S54" i="6"/>
  <c r="W54" i="6" s="1"/>
  <c r="S59" i="6"/>
  <c r="W59" i="6" s="1"/>
  <c r="S58" i="6"/>
  <c r="W58" i="6" s="1"/>
  <c r="S57" i="6"/>
  <c r="W57" i="6" s="1"/>
  <c r="S60" i="6"/>
  <c r="W60" i="6" s="1"/>
  <c r="S61" i="6"/>
  <c r="W61" i="6" s="1"/>
  <c r="S64" i="6"/>
  <c r="W64" i="6" s="1"/>
  <c r="S63" i="6"/>
  <c r="W63" i="6" s="1"/>
  <c r="S65" i="6"/>
  <c r="W65" i="6" s="1"/>
  <c r="S62" i="6"/>
  <c r="W62" i="6" s="1"/>
  <c r="S67" i="6"/>
  <c r="W67" i="6" s="1"/>
  <c r="S71" i="6"/>
  <c r="W71" i="6" s="1"/>
  <c r="S69" i="6"/>
  <c r="W69" i="6" s="1"/>
  <c r="S68" i="6"/>
  <c r="W68" i="6" s="1"/>
  <c r="S66" i="6"/>
  <c r="W66" i="6" s="1"/>
  <c r="S70" i="6"/>
  <c r="W70" i="6" s="1"/>
  <c r="S73" i="6"/>
  <c r="W73" i="6" s="1"/>
  <c r="S75" i="6"/>
  <c r="W75" i="6" s="1"/>
  <c r="S72" i="6"/>
  <c r="W72" i="6" s="1"/>
  <c r="S74" i="6"/>
  <c r="W74" i="6" s="1"/>
  <c r="S77" i="6"/>
  <c r="W77" i="6" s="1"/>
  <c r="S76" i="6"/>
  <c r="W76" i="6" s="1"/>
  <c r="S78" i="6"/>
  <c r="W78" i="6" s="1"/>
  <c r="S79" i="6"/>
  <c r="W79" i="6" s="1"/>
  <c r="S80" i="6"/>
  <c r="W80" i="6" s="1"/>
  <c r="S82" i="6"/>
  <c r="W82" i="6" s="1"/>
  <c r="S81" i="6"/>
  <c r="W81" i="6" s="1"/>
  <c r="S83" i="6"/>
  <c r="W83" i="6" s="1"/>
  <c r="S84" i="6"/>
  <c r="W84" i="6" s="1"/>
  <c r="S86" i="6"/>
  <c r="W86" i="6" s="1"/>
  <c r="S85" i="6"/>
  <c r="W85" i="6" s="1"/>
  <c r="S88" i="6"/>
  <c r="W88" i="6" s="1"/>
  <c r="S89" i="6"/>
  <c r="W89" i="6" s="1"/>
  <c r="S87" i="6"/>
  <c r="W87" i="6" s="1"/>
  <c r="S91" i="6"/>
  <c r="W91" i="6" s="1"/>
  <c r="S92" i="6"/>
  <c r="W92" i="6" s="1"/>
  <c r="S90" i="6"/>
  <c r="W90" i="6" s="1"/>
  <c r="S96" i="6"/>
  <c r="W96" i="6" s="1"/>
  <c r="S93" i="6"/>
  <c r="W93" i="6" s="1"/>
  <c r="S95" i="6"/>
  <c r="W95" i="6" s="1"/>
  <c r="S97" i="6"/>
  <c r="W97" i="6" s="1"/>
  <c r="S94" i="6"/>
  <c r="W94" i="6" s="1"/>
  <c r="S100" i="6"/>
  <c r="W100" i="6" s="1"/>
  <c r="S98" i="6"/>
  <c r="W98" i="6" s="1"/>
  <c r="S99" i="6"/>
  <c r="W99" i="6" s="1"/>
  <c r="S103" i="6"/>
  <c r="W103" i="6" s="1"/>
  <c r="S101" i="6"/>
  <c r="W101" i="6" s="1"/>
  <c r="S102" i="6"/>
  <c r="W102" i="6" s="1"/>
  <c r="S104" i="6"/>
  <c r="W104" i="6" s="1"/>
  <c r="S105" i="6"/>
  <c r="W105" i="6" s="1"/>
  <c r="S106" i="6"/>
  <c r="W106" i="6" s="1"/>
  <c r="S109" i="6"/>
  <c r="W109" i="6" s="1"/>
  <c r="S110" i="6"/>
  <c r="W110" i="6" s="1"/>
  <c r="S107" i="6"/>
  <c r="W107" i="6" s="1"/>
  <c r="S108" i="6"/>
  <c r="W108" i="6" s="1"/>
  <c r="S113" i="6"/>
  <c r="W113" i="6" s="1"/>
  <c r="S112" i="6"/>
  <c r="W112" i="6" s="1"/>
  <c r="S111" i="6"/>
  <c r="W111" i="6" s="1"/>
  <c r="S114" i="6"/>
  <c r="W114" i="6" s="1"/>
  <c r="S120" i="6"/>
  <c r="W120" i="6" s="1"/>
  <c r="S118" i="6"/>
  <c r="W118" i="6" s="1"/>
  <c r="S115" i="6"/>
  <c r="W115" i="6" s="1"/>
  <c r="S116" i="6"/>
  <c r="W116" i="6" s="1"/>
  <c r="S117" i="6"/>
  <c r="W117" i="6" s="1"/>
  <c r="S121" i="6"/>
  <c r="W121" i="6" s="1"/>
  <c r="S119" i="6"/>
  <c r="W119" i="6" s="1"/>
  <c r="S123" i="6"/>
  <c r="W123" i="6" s="1"/>
  <c r="S122" i="6"/>
  <c r="W122" i="6" s="1"/>
  <c r="S126" i="6"/>
  <c r="W126" i="6" s="1"/>
  <c r="S124" i="6"/>
  <c r="W124" i="6" s="1"/>
  <c r="S125" i="6"/>
  <c r="W125" i="6" s="1"/>
  <c r="S130" i="6"/>
  <c r="W130" i="6" s="1"/>
  <c r="S128" i="6"/>
  <c r="W128" i="6" s="1"/>
  <c r="S132" i="6"/>
  <c r="W132" i="6" s="1"/>
  <c r="S129" i="6"/>
  <c r="W129" i="6" s="1"/>
  <c r="S127" i="6"/>
  <c r="W127" i="6" s="1"/>
  <c r="S134" i="6"/>
  <c r="W134" i="6" s="1"/>
  <c r="W18" i="6" l="1"/>
  <c r="X18" i="6" s="1"/>
  <c r="X19" i="6" s="1"/>
  <c r="X20" i="6" s="1"/>
  <c r="AD17" i="6"/>
  <c r="AE17" i="6" s="1"/>
  <c r="X21" i="6" l="1"/>
  <c r="X22" i="6" l="1"/>
  <c r="X23" i="6" l="1"/>
  <c r="X24" i="6" l="1"/>
  <c r="X25" i="6" l="1"/>
  <c r="X26" i="6" l="1"/>
  <c r="X27" i="6" l="1"/>
  <c r="X28" i="6" l="1"/>
  <c r="X29" i="6" l="1"/>
  <c r="X30" i="6" l="1"/>
  <c r="X31" i="6" l="1"/>
  <c r="X32" i="6" l="1"/>
  <c r="X33" i="6" l="1"/>
  <c r="X34" i="6" l="1"/>
  <c r="X35" i="6" l="1"/>
  <c r="X36" i="6" l="1"/>
  <c r="X37" i="6" l="1"/>
  <c r="X38" i="6" l="1"/>
  <c r="X39" i="6" l="1"/>
  <c r="X40" i="6" l="1"/>
  <c r="X41" i="6" l="1"/>
  <c r="X42" i="6" l="1"/>
  <c r="X43" i="6" l="1"/>
  <c r="X44" i="6" l="1"/>
  <c r="X45" i="6" l="1"/>
  <c r="X46" i="6" l="1"/>
  <c r="X47" i="6" l="1"/>
  <c r="X48" i="6" l="1"/>
  <c r="X49" i="6" l="1"/>
  <c r="X50" i="6" l="1"/>
  <c r="X51" i="6" l="1"/>
  <c r="X52" i="6" l="1"/>
  <c r="X53" i="6" l="1"/>
  <c r="X54" i="6" l="1"/>
  <c r="X55" i="6" l="1"/>
  <c r="X56" i="6" l="1"/>
  <c r="X57" i="6" l="1"/>
  <c r="X58" i="6" l="1"/>
  <c r="X59" i="6" l="1"/>
  <c r="X60" i="6" l="1"/>
  <c r="X61" i="6" l="1"/>
  <c r="X62" i="6" l="1"/>
  <c r="X63" i="6" l="1"/>
  <c r="X64" i="6" l="1"/>
  <c r="X65" i="6" l="1"/>
  <c r="X66" i="6" l="1"/>
  <c r="X67" i="6" l="1"/>
  <c r="X68" i="6" l="1"/>
  <c r="X69" i="6" l="1"/>
  <c r="X70" i="6" l="1"/>
  <c r="X71" i="6" l="1"/>
  <c r="X72" i="6" l="1"/>
  <c r="X73" i="6" l="1"/>
  <c r="X74" i="6" l="1"/>
  <c r="X75" i="6" l="1"/>
  <c r="X76" i="6" l="1"/>
  <c r="X77" i="6" l="1"/>
  <c r="X78" i="6" l="1"/>
  <c r="X79" i="6" l="1"/>
  <c r="X80" i="6" l="1"/>
  <c r="X81" i="6" l="1"/>
  <c r="X82" i="6" l="1"/>
  <c r="X83" i="6" l="1"/>
  <c r="X84" i="6" l="1"/>
  <c r="X85" i="6" l="1"/>
  <c r="X86" i="6" l="1"/>
  <c r="X87" i="6" l="1"/>
  <c r="X88" i="6" l="1"/>
  <c r="X89" i="6" l="1"/>
  <c r="X90" i="6" l="1"/>
  <c r="X91" i="6" l="1"/>
  <c r="X92" i="6" l="1"/>
  <c r="X93" i="6" l="1"/>
  <c r="X94" i="6" l="1"/>
  <c r="X95" i="6" l="1"/>
  <c r="X96" i="6" l="1"/>
  <c r="X97" i="6" l="1"/>
  <c r="X98" i="6" l="1"/>
  <c r="X99" i="6" l="1"/>
  <c r="X100" i="6" l="1"/>
  <c r="X101" i="6" l="1"/>
  <c r="X102" i="6" l="1"/>
  <c r="X103" i="6" l="1"/>
  <c r="X104" i="6" l="1"/>
  <c r="X105" i="6" l="1"/>
  <c r="X106" i="6" l="1"/>
  <c r="X107" i="6" l="1"/>
  <c r="X108" i="6" l="1"/>
  <c r="X109" i="6" l="1"/>
  <c r="X110" i="6" l="1"/>
  <c r="X111" i="6" l="1"/>
  <c r="X112" i="6" l="1"/>
  <c r="X113" i="6" l="1"/>
  <c r="X114" i="6" l="1"/>
  <c r="X115" i="6" l="1"/>
  <c r="X116" i="6" l="1"/>
  <c r="X117" i="6" l="1"/>
  <c r="X118" i="6" l="1"/>
  <c r="X119" i="6" l="1"/>
  <c r="X120" i="6" l="1"/>
  <c r="X121" i="6" l="1"/>
  <c r="X122" i="6" l="1"/>
  <c r="X123" i="6" l="1"/>
  <c r="X124" i="6" l="1"/>
  <c r="X125" i="6" l="1"/>
  <c r="X126" i="6" l="1"/>
  <c r="X127" i="6" l="1"/>
  <c r="X128" i="6" l="1"/>
  <c r="X129" i="6" l="1"/>
  <c r="X130" i="6" l="1"/>
  <c r="X131" i="6" l="1"/>
  <c r="X132" i="6" l="1"/>
  <c r="X133" i="6" l="1"/>
  <c r="X134" i="6" l="1"/>
  <c r="X135" i="6" l="1"/>
  <c r="X136" i="6" l="1"/>
  <c r="T136" i="6" l="1"/>
  <c r="T20" i="6"/>
  <c r="T18" i="6"/>
  <c r="T19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1" i="6"/>
  <c r="T62" i="6"/>
  <c r="T63" i="6"/>
  <c r="T64" i="6"/>
  <c r="T65" i="6"/>
  <c r="T66" i="6"/>
  <c r="T67" i="6"/>
  <c r="T68" i="6"/>
  <c r="T69" i="6"/>
  <c r="T70" i="6"/>
  <c r="T71" i="6"/>
  <c r="T72" i="6"/>
  <c r="T73" i="6"/>
  <c r="T74" i="6"/>
  <c r="T75" i="6"/>
  <c r="T76" i="6"/>
  <c r="T77" i="6"/>
  <c r="T78" i="6"/>
  <c r="T79" i="6"/>
  <c r="T80" i="6"/>
  <c r="T81" i="6"/>
  <c r="T82" i="6"/>
  <c r="T83" i="6"/>
  <c r="T84" i="6"/>
  <c r="T85" i="6"/>
  <c r="T86" i="6"/>
  <c r="T87" i="6"/>
  <c r="T88" i="6"/>
  <c r="T89" i="6"/>
  <c r="T90" i="6"/>
  <c r="T91" i="6"/>
  <c r="T92" i="6"/>
  <c r="T93" i="6"/>
  <c r="T94" i="6"/>
  <c r="T95" i="6"/>
  <c r="T96" i="6"/>
  <c r="T97" i="6"/>
  <c r="T98" i="6"/>
  <c r="T99" i="6"/>
  <c r="T100" i="6"/>
  <c r="T101" i="6"/>
  <c r="T102" i="6"/>
  <c r="T103" i="6"/>
  <c r="T104" i="6"/>
  <c r="T105" i="6"/>
  <c r="T106" i="6"/>
  <c r="T107" i="6"/>
  <c r="T108" i="6"/>
  <c r="T109" i="6"/>
  <c r="T110" i="6"/>
  <c r="T111" i="6"/>
  <c r="T112" i="6"/>
  <c r="T113" i="6"/>
  <c r="T114" i="6"/>
  <c r="T115" i="6"/>
  <c r="T116" i="6"/>
  <c r="T117" i="6"/>
  <c r="T118" i="6"/>
  <c r="T119" i="6"/>
  <c r="T120" i="6"/>
  <c r="T121" i="6"/>
  <c r="T122" i="6"/>
  <c r="T123" i="6"/>
  <c r="T124" i="6"/>
  <c r="T125" i="6"/>
  <c r="T126" i="6"/>
  <c r="T127" i="6"/>
  <c r="T128" i="6"/>
  <c r="T129" i="6"/>
  <c r="T130" i="6"/>
  <c r="T131" i="6"/>
  <c r="T132" i="6"/>
  <c r="T133" i="6"/>
  <c r="T134" i="6"/>
  <c r="T135" i="6"/>
  <c r="I30" i="3" l="1"/>
  <c r="R18" i="6" l="1"/>
  <c r="U18" i="6" s="1"/>
  <c r="V18" i="6" s="1"/>
  <c r="R19" i="6"/>
  <c r="U19" i="6" s="1"/>
  <c r="V19" i="6" s="1"/>
  <c r="R20" i="6"/>
  <c r="U20" i="6" s="1"/>
  <c r="V20" i="6" s="1"/>
  <c r="R21" i="6"/>
  <c r="U21" i="6" s="1"/>
  <c r="V21" i="6" s="1"/>
  <c r="R22" i="6"/>
  <c r="U22" i="6" s="1"/>
  <c r="V22" i="6" s="1"/>
  <c r="R23" i="6"/>
  <c r="U23" i="6" s="1"/>
  <c r="V23" i="6" s="1"/>
  <c r="R24" i="6"/>
  <c r="U24" i="6" s="1"/>
  <c r="V24" i="6" s="1"/>
  <c r="R25" i="6"/>
  <c r="U25" i="6" s="1"/>
  <c r="V25" i="6" s="1"/>
  <c r="R26" i="6"/>
  <c r="U26" i="6" s="1"/>
  <c r="V26" i="6" s="1"/>
  <c r="R27" i="6"/>
  <c r="U27" i="6" s="1"/>
  <c r="V27" i="6" s="1"/>
  <c r="R28" i="6"/>
  <c r="U28" i="6" s="1"/>
  <c r="V28" i="6" s="1"/>
  <c r="R29" i="6"/>
  <c r="U29" i="6" s="1"/>
  <c r="V29" i="6" s="1"/>
  <c r="R30" i="6"/>
  <c r="U30" i="6" s="1"/>
  <c r="V30" i="6" s="1"/>
  <c r="R31" i="6"/>
  <c r="U31" i="6" s="1"/>
  <c r="V31" i="6" s="1"/>
  <c r="R32" i="6"/>
  <c r="U32" i="6" s="1"/>
  <c r="V32" i="6" s="1"/>
  <c r="R33" i="6"/>
  <c r="U33" i="6" s="1"/>
  <c r="V33" i="6" s="1"/>
  <c r="R34" i="6"/>
  <c r="U34" i="6" s="1"/>
  <c r="V34" i="6" s="1"/>
  <c r="R35" i="6"/>
  <c r="U35" i="6" s="1"/>
  <c r="V35" i="6" s="1"/>
  <c r="R36" i="6"/>
  <c r="U36" i="6" s="1"/>
  <c r="V36" i="6" s="1"/>
  <c r="R37" i="6"/>
  <c r="U37" i="6" s="1"/>
  <c r="V37" i="6" s="1"/>
  <c r="R38" i="6"/>
  <c r="U38" i="6" s="1"/>
  <c r="V38" i="6" s="1"/>
  <c r="R39" i="6"/>
  <c r="U39" i="6" s="1"/>
  <c r="V39" i="6" s="1"/>
  <c r="R40" i="6"/>
  <c r="U40" i="6" s="1"/>
  <c r="V40" i="6" s="1"/>
  <c r="R41" i="6"/>
  <c r="U41" i="6" s="1"/>
  <c r="V41" i="6" s="1"/>
  <c r="R42" i="6"/>
  <c r="U42" i="6" s="1"/>
  <c r="V42" i="6" s="1"/>
  <c r="R43" i="6"/>
  <c r="U43" i="6" s="1"/>
  <c r="V43" i="6" s="1"/>
  <c r="R44" i="6"/>
  <c r="U44" i="6" s="1"/>
  <c r="V44" i="6" s="1"/>
  <c r="R45" i="6"/>
  <c r="U45" i="6" s="1"/>
  <c r="V45" i="6" s="1"/>
  <c r="R46" i="6"/>
  <c r="U46" i="6" s="1"/>
  <c r="V46" i="6" s="1"/>
  <c r="R47" i="6"/>
  <c r="U47" i="6" s="1"/>
  <c r="V47" i="6" s="1"/>
  <c r="R48" i="6"/>
  <c r="U48" i="6" s="1"/>
  <c r="V48" i="6" s="1"/>
  <c r="R49" i="6"/>
  <c r="U49" i="6" s="1"/>
  <c r="V49" i="6" s="1"/>
  <c r="R50" i="6"/>
  <c r="U50" i="6" s="1"/>
  <c r="V50" i="6" s="1"/>
  <c r="R51" i="6"/>
  <c r="U51" i="6" s="1"/>
  <c r="V51" i="6" s="1"/>
  <c r="R52" i="6"/>
  <c r="U52" i="6" s="1"/>
  <c r="V52" i="6" s="1"/>
  <c r="R53" i="6"/>
  <c r="U53" i="6" s="1"/>
  <c r="V53" i="6" s="1"/>
  <c r="R54" i="6"/>
  <c r="U54" i="6" s="1"/>
  <c r="V54" i="6" s="1"/>
  <c r="R55" i="6"/>
  <c r="U55" i="6" s="1"/>
  <c r="V55" i="6" s="1"/>
  <c r="R56" i="6"/>
  <c r="U56" i="6" s="1"/>
  <c r="V56" i="6" s="1"/>
  <c r="R57" i="6"/>
  <c r="U57" i="6" s="1"/>
  <c r="V57" i="6" s="1"/>
  <c r="R58" i="6"/>
  <c r="U58" i="6" s="1"/>
  <c r="V58" i="6" s="1"/>
  <c r="R59" i="6"/>
  <c r="U59" i="6" s="1"/>
  <c r="V59" i="6" s="1"/>
  <c r="R60" i="6"/>
  <c r="U60" i="6" s="1"/>
  <c r="V60" i="6" s="1"/>
  <c r="R61" i="6"/>
  <c r="U61" i="6" s="1"/>
  <c r="V61" i="6" s="1"/>
  <c r="R62" i="6"/>
  <c r="U62" i="6" s="1"/>
  <c r="V62" i="6" s="1"/>
  <c r="R63" i="6"/>
  <c r="U63" i="6" s="1"/>
  <c r="V63" i="6" s="1"/>
  <c r="R64" i="6"/>
  <c r="U64" i="6" s="1"/>
  <c r="V64" i="6" s="1"/>
  <c r="R65" i="6"/>
  <c r="U65" i="6" s="1"/>
  <c r="V65" i="6" s="1"/>
  <c r="R66" i="6"/>
  <c r="U66" i="6" s="1"/>
  <c r="V66" i="6" s="1"/>
  <c r="R67" i="6"/>
  <c r="U67" i="6" s="1"/>
  <c r="V67" i="6" s="1"/>
  <c r="R68" i="6"/>
  <c r="U68" i="6" s="1"/>
  <c r="V68" i="6" s="1"/>
  <c r="R69" i="6"/>
  <c r="U69" i="6" s="1"/>
  <c r="V69" i="6" s="1"/>
  <c r="R70" i="6"/>
  <c r="U70" i="6" s="1"/>
  <c r="V70" i="6" s="1"/>
  <c r="R71" i="6"/>
  <c r="U71" i="6" s="1"/>
  <c r="V71" i="6" s="1"/>
  <c r="R72" i="6"/>
  <c r="U72" i="6" s="1"/>
  <c r="V72" i="6" s="1"/>
  <c r="R73" i="6"/>
  <c r="U73" i="6" s="1"/>
  <c r="V73" i="6" s="1"/>
  <c r="R74" i="6"/>
  <c r="U74" i="6" s="1"/>
  <c r="V74" i="6" s="1"/>
  <c r="R75" i="6"/>
  <c r="U75" i="6" s="1"/>
  <c r="V75" i="6" s="1"/>
  <c r="R76" i="6"/>
  <c r="U76" i="6" s="1"/>
  <c r="V76" i="6" s="1"/>
  <c r="R77" i="6"/>
  <c r="U77" i="6" s="1"/>
  <c r="V77" i="6" s="1"/>
  <c r="R78" i="6"/>
  <c r="U78" i="6" s="1"/>
  <c r="V78" i="6" s="1"/>
  <c r="R79" i="6"/>
  <c r="U79" i="6" s="1"/>
  <c r="V79" i="6" s="1"/>
  <c r="R80" i="6"/>
  <c r="U80" i="6" s="1"/>
  <c r="V80" i="6" s="1"/>
  <c r="R81" i="6"/>
  <c r="U81" i="6" s="1"/>
  <c r="V81" i="6" s="1"/>
  <c r="R82" i="6"/>
  <c r="U82" i="6" s="1"/>
  <c r="V82" i="6" s="1"/>
  <c r="R83" i="6"/>
  <c r="U83" i="6" s="1"/>
  <c r="V83" i="6" s="1"/>
  <c r="R84" i="6"/>
  <c r="U84" i="6" s="1"/>
  <c r="V84" i="6" s="1"/>
  <c r="R85" i="6"/>
  <c r="U85" i="6" s="1"/>
  <c r="V85" i="6" s="1"/>
  <c r="R86" i="6"/>
  <c r="U86" i="6" s="1"/>
  <c r="V86" i="6" s="1"/>
  <c r="R87" i="6"/>
  <c r="U87" i="6" s="1"/>
  <c r="V87" i="6" s="1"/>
  <c r="R88" i="6"/>
  <c r="U88" i="6" s="1"/>
  <c r="V88" i="6" s="1"/>
  <c r="R89" i="6"/>
  <c r="U89" i="6" s="1"/>
  <c r="V89" i="6" s="1"/>
  <c r="R90" i="6"/>
  <c r="U90" i="6" s="1"/>
  <c r="V90" i="6" s="1"/>
  <c r="R91" i="6"/>
  <c r="U91" i="6" s="1"/>
  <c r="V91" i="6" s="1"/>
  <c r="R92" i="6"/>
  <c r="U92" i="6" s="1"/>
  <c r="V92" i="6" s="1"/>
  <c r="R93" i="6"/>
  <c r="U93" i="6" s="1"/>
  <c r="V93" i="6" s="1"/>
  <c r="R94" i="6"/>
  <c r="U94" i="6" s="1"/>
  <c r="V94" i="6" s="1"/>
  <c r="R95" i="6"/>
  <c r="U95" i="6" s="1"/>
  <c r="V95" i="6" s="1"/>
  <c r="R96" i="6"/>
  <c r="U96" i="6" s="1"/>
  <c r="V96" i="6" s="1"/>
  <c r="R97" i="6"/>
  <c r="U97" i="6" s="1"/>
  <c r="V97" i="6" s="1"/>
  <c r="R98" i="6"/>
  <c r="U98" i="6" s="1"/>
  <c r="V98" i="6" s="1"/>
  <c r="R99" i="6"/>
  <c r="U99" i="6" s="1"/>
  <c r="V99" i="6" s="1"/>
  <c r="R100" i="6"/>
  <c r="U100" i="6" s="1"/>
  <c r="V100" i="6" s="1"/>
  <c r="R101" i="6"/>
  <c r="U101" i="6" s="1"/>
  <c r="V101" i="6" s="1"/>
  <c r="R102" i="6"/>
  <c r="U102" i="6" s="1"/>
  <c r="V102" i="6" s="1"/>
  <c r="R103" i="6"/>
  <c r="U103" i="6" s="1"/>
  <c r="V103" i="6" s="1"/>
  <c r="R104" i="6"/>
  <c r="U104" i="6" s="1"/>
  <c r="V104" i="6" s="1"/>
  <c r="R105" i="6"/>
  <c r="U105" i="6" s="1"/>
  <c r="V105" i="6" s="1"/>
  <c r="R106" i="6"/>
  <c r="U106" i="6" s="1"/>
  <c r="V106" i="6" s="1"/>
  <c r="R107" i="6"/>
  <c r="U107" i="6" s="1"/>
  <c r="V107" i="6" s="1"/>
  <c r="R108" i="6"/>
  <c r="U108" i="6" s="1"/>
  <c r="V108" i="6" s="1"/>
  <c r="R109" i="6"/>
  <c r="U109" i="6" s="1"/>
  <c r="V109" i="6" s="1"/>
  <c r="R110" i="6"/>
  <c r="U110" i="6" s="1"/>
  <c r="V110" i="6" s="1"/>
  <c r="R111" i="6"/>
  <c r="U111" i="6" s="1"/>
  <c r="V111" i="6" s="1"/>
  <c r="R112" i="6"/>
  <c r="U112" i="6" s="1"/>
  <c r="V112" i="6" s="1"/>
  <c r="R113" i="6"/>
  <c r="U113" i="6" s="1"/>
  <c r="V113" i="6" s="1"/>
  <c r="R114" i="6"/>
  <c r="U114" i="6" s="1"/>
  <c r="V114" i="6" s="1"/>
  <c r="R115" i="6"/>
  <c r="U115" i="6" s="1"/>
  <c r="V115" i="6" s="1"/>
  <c r="R116" i="6"/>
  <c r="U116" i="6" s="1"/>
  <c r="V116" i="6" s="1"/>
  <c r="R117" i="6"/>
  <c r="U117" i="6" s="1"/>
  <c r="V117" i="6" s="1"/>
  <c r="R118" i="6"/>
  <c r="U118" i="6" s="1"/>
  <c r="V118" i="6" s="1"/>
  <c r="R119" i="6"/>
  <c r="U119" i="6" s="1"/>
  <c r="V119" i="6" s="1"/>
  <c r="R120" i="6"/>
  <c r="U120" i="6" s="1"/>
  <c r="V120" i="6" s="1"/>
  <c r="R121" i="6"/>
  <c r="U121" i="6" s="1"/>
  <c r="V121" i="6" s="1"/>
  <c r="R122" i="6"/>
  <c r="U122" i="6" s="1"/>
  <c r="V122" i="6" s="1"/>
  <c r="R123" i="6"/>
  <c r="U123" i="6" s="1"/>
  <c r="V123" i="6" s="1"/>
  <c r="R124" i="6"/>
  <c r="U124" i="6" s="1"/>
  <c r="V124" i="6" s="1"/>
  <c r="R125" i="6"/>
  <c r="U125" i="6" s="1"/>
  <c r="V125" i="6" s="1"/>
  <c r="R126" i="6"/>
  <c r="U126" i="6" s="1"/>
  <c r="V126" i="6" s="1"/>
  <c r="R127" i="6"/>
  <c r="U127" i="6" s="1"/>
  <c r="V127" i="6" s="1"/>
  <c r="R128" i="6"/>
  <c r="U128" i="6" s="1"/>
  <c r="V128" i="6" s="1"/>
  <c r="R129" i="6"/>
  <c r="U129" i="6" s="1"/>
  <c r="V129" i="6" s="1"/>
  <c r="R130" i="6"/>
  <c r="U130" i="6" s="1"/>
  <c r="V130" i="6" s="1"/>
  <c r="R131" i="6"/>
  <c r="U131" i="6" s="1"/>
  <c r="V131" i="6" s="1"/>
  <c r="R132" i="6"/>
  <c r="U132" i="6" s="1"/>
  <c r="V132" i="6" s="1"/>
  <c r="R133" i="6"/>
  <c r="U133" i="6" s="1"/>
  <c r="V133" i="6" s="1"/>
  <c r="R134" i="6"/>
  <c r="U134" i="6" s="1"/>
  <c r="V134" i="6" s="1"/>
  <c r="R135" i="6"/>
  <c r="U135" i="6" s="1"/>
  <c r="V135" i="6" s="1"/>
  <c r="R136" i="6"/>
  <c r="U136" i="6" s="1"/>
  <c r="V136" i="6" s="1"/>
  <c r="J30" i="3"/>
  <c r="L30" i="3" s="1"/>
  <c r="M11" i="3" s="1"/>
  <c r="P11" i="6" s="1"/>
  <c r="K30" i="3"/>
  <c r="M10" i="3" s="1"/>
  <c r="P10" i="6" s="1"/>
  <c r="O6" i="4" l="1"/>
  <c r="O6" i="5"/>
  <c r="P9" i="6"/>
  <c r="O5" i="4"/>
  <c r="O5" i="5"/>
  <c r="M9" i="3" l="1"/>
  <c r="O4" i="4"/>
  <c r="O4" i="5"/>
  <c r="K68" i="6"/>
  <c r="K19" i="6"/>
  <c r="K81" i="6"/>
  <c r="K80" i="6"/>
  <c r="K79" i="6"/>
  <c r="K128" i="6"/>
  <c r="K87" i="6"/>
  <c r="K24" i="6"/>
  <c r="K96" i="6"/>
  <c r="K50" i="6"/>
  <c r="K92" i="6"/>
  <c r="K120" i="6"/>
  <c r="K105" i="6"/>
  <c r="K130" i="6"/>
  <c r="K93" i="6"/>
  <c r="K132" i="6"/>
  <c r="K28" i="6"/>
  <c r="K118" i="6"/>
  <c r="K94" i="6"/>
  <c r="K117" i="6"/>
  <c r="K36" i="6"/>
  <c r="K70" i="6"/>
  <c r="K89" i="6"/>
  <c r="K43" i="6"/>
  <c r="K115" i="6"/>
  <c r="K61" i="6"/>
  <c r="K133" i="6"/>
  <c r="K125" i="6"/>
  <c r="K85" i="6"/>
  <c r="K65" i="6"/>
  <c r="K31" i="6"/>
  <c r="K38" i="6"/>
  <c r="K53" i="6"/>
  <c r="K84" i="6"/>
  <c r="K109" i="6"/>
  <c r="K55" i="6"/>
  <c r="K136" i="6"/>
  <c r="K52" i="6"/>
  <c r="K40" i="6"/>
  <c r="K29" i="6"/>
  <c r="K103" i="6"/>
  <c r="K100" i="6"/>
  <c r="K101" i="6"/>
  <c r="K64" i="6"/>
  <c r="K75" i="6"/>
  <c r="K74" i="6"/>
  <c r="K77" i="6"/>
  <c r="K37" i="6"/>
  <c r="K102" i="6"/>
  <c r="K41" i="6"/>
  <c r="K111" i="6"/>
  <c r="K30" i="6"/>
  <c r="K121" i="6"/>
  <c r="K21" i="6"/>
  <c r="K83" i="6"/>
  <c r="K59" i="6"/>
  <c r="K99" i="6"/>
  <c r="K60" i="6"/>
  <c r="K35" i="6"/>
  <c r="K54" i="6"/>
  <c r="K66" i="6"/>
  <c r="K51" i="6"/>
  <c r="K76" i="6"/>
  <c r="K45" i="6"/>
  <c r="K63" i="6"/>
  <c r="K124" i="6"/>
  <c r="K114" i="6"/>
  <c r="K91" i="6"/>
  <c r="K23" i="6"/>
  <c r="K26" i="6"/>
  <c r="K72" i="6"/>
  <c r="K18" i="6"/>
  <c r="K71" i="6"/>
  <c r="K82" i="6"/>
  <c r="K107" i="6"/>
  <c r="K127" i="6"/>
  <c r="K57" i="6"/>
  <c r="K48" i="6"/>
  <c r="K62" i="6"/>
  <c r="K135" i="6"/>
  <c r="K39" i="6"/>
  <c r="K95" i="6"/>
  <c r="K126" i="6"/>
  <c r="K33" i="6"/>
  <c r="K34" i="6"/>
  <c r="K104" i="6"/>
  <c r="K98" i="6"/>
  <c r="K25" i="6"/>
  <c r="K20" i="6"/>
  <c r="K113" i="6"/>
  <c r="K110" i="6"/>
  <c r="K122" i="6"/>
  <c r="K46" i="6"/>
  <c r="K131" i="6"/>
  <c r="K78" i="6"/>
  <c r="K129" i="6"/>
  <c r="K123" i="6"/>
  <c r="K58" i="6"/>
  <c r="K97" i="6"/>
  <c r="K112" i="6"/>
  <c r="K90" i="6"/>
  <c r="K49" i="6"/>
  <c r="K86" i="6"/>
  <c r="K32" i="6"/>
  <c r="K73" i="6"/>
  <c r="K27" i="6"/>
  <c r="K69" i="6"/>
  <c r="K44" i="6"/>
  <c r="K56" i="6"/>
  <c r="K134" i="6"/>
  <c r="K67" i="6"/>
  <c r="K108" i="6"/>
  <c r="K22" i="6"/>
  <c r="K42" i="6"/>
  <c r="K88" i="6"/>
  <c r="K116" i="6"/>
  <c r="K106" i="6"/>
  <c r="K119" i="6"/>
  <c r="K47" i="6"/>
</calcChain>
</file>

<file path=xl/sharedStrings.xml><?xml version="1.0" encoding="utf-8"?>
<sst xmlns="http://schemas.openxmlformats.org/spreadsheetml/2006/main" count="174" uniqueCount="98">
  <si>
    <t>air/oil</t>
  </si>
  <si>
    <t>Above Free Water, ft</t>
  </si>
  <si>
    <t>Bulk</t>
  </si>
  <si>
    <t>Volume,</t>
  </si>
  <si>
    <t>Gas-Oil,</t>
  </si>
  <si>
    <t>Saturation,</t>
  </si>
  <si>
    <t>Inc. (mD)</t>
  </si>
  <si>
    <t>Cumulative</t>
  </si>
  <si>
    <t>Hg Sat</t>
  </si>
  <si>
    <t>Weight,</t>
  </si>
  <si>
    <t>Laboratory TcosTheta</t>
  </si>
  <si>
    <t>MERCURY INJECTION CAPILLARY PRESSURE</t>
  </si>
  <si>
    <t>Gas:</t>
  </si>
  <si>
    <t>cumulative</t>
  </si>
  <si>
    <t>Oil:</t>
  </si>
  <si>
    <t>Sample</t>
  </si>
  <si>
    <t>incremental</t>
  </si>
  <si>
    <t>Estimated Height</t>
  </si>
  <si>
    <t>grams</t>
  </si>
  <si>
    <t>Helium</t>
  </si>
  <si>
    <t>Funct.</t>
  </si>
  <si>
    <t>%BV</t>
  </si>
  <si>
    <t>Mercury IFT</t>
  </si>
  <si>
    <t>Grain Density, grams/cc:</t>
  </si>
  <si>
    <t>Reservoir Contact Angle</t>
  </si>
  <si>
    <t>fraction</t>
  </si>
  <si>
    <t>grams/cc</t>
  </si>
  <si>
    <t>Sb/Pc</t>
  </si>
  <si>
    <t>oil/water</t>
  </si>
  <si>
    <t>Laboratory IFT</t>
  </si>
  <si>
    <t>PSD HISTOGRAM</t>
  </si>
  <si>
    <t>Laboratory Contact Angle</t>
  </si>
  <si>
    <t>intrusion</t>
  </si>
  <si>
    <t>Saturation</t>
  </si>
  <si>
    <t>O-W</t>
  </si>
  <si>
    <t>cc</t>
  </si>
  <si>
    <t>Conformance Correction,</t>
  </si>
  <si>
    <t>Norm. Pore</t>
  </si>
  <si>
    <t xml:space="preserve"> </t>
  </si>
  <si>
    <t>Density,</t>
  </si>
  <si>
    <t>Sample Number:</t>
  </si>
  <si>
    <t>Oil-Water,</t>
  </si>
  <si>
    <t>Contribution</t>
  </si>
  <si>
    <t>Size Dist.</t>
  </si>
  <si>
    <t>Pore Throat</t>
  </si>
  <si>
    <t xml:space="preserve"> 1.0-Mercury </t>
  </si>
  <si>
    <t>Radius, µm</t>
  </si>
  <si>
    <t>Fluid Density Gradients</t>
  </si>
  <si>
    <t>psia</t>
  </si>
  <si>
    <t xml:space="preserve">Mercury </t>
  </si>
  <si>
    <t>Conversion Parameters</t>
  </si>
  <si>
    <t>air/water</t>
  </si>
  <si>
    <t>Porosity, fraction:</t>
  </si>
  <si>
    <t>Diameter,</t>
  </si>
  <si>
    <t>microns</t>
  </si>
  <si>
    <t>frequency</t>
  </si>
  <si>
    <t>Corrected</t>
  </si>
  <si>
    <t>Uncorrected</t>
  </si>
  <si>
    <t>Normalized</t>
  </si>
  <si>
    <t>%PV</t>
  </si>
  <si>
    <t>Reservoir TcosTheta</t>
  </si>
  <si>
    <t>Porosity,</t>
  </si>
  <si>
    <t>Mercury</t>
  </si>
  <si>
    <t>micron</t>
  </si>
  <si>
    <t>Injection Pressure,</t>
  </si>
  <si>
    <t>G-W</t>
  </si>
  <si>
    <t>air/Hg</t>
  </si>
  <si>
    <t>d Log</t>
  </si>
  <si>
    <t>Function</t>
  </si>
  <si>
    <t>Mercury Saturation</t>
  </si>
  <si>
    <t>ml</t>
  </si>
  <si>
    <t>Water:</t>
  </si>
  <si>
    <t>IFT * Cosine Contact Angle:</t>
  </si>
  <si>
    <t>Gas-Water,</t>
  </si>
  <si>
    <t>Permeability to Air (calc), mD:</t>
  </si>
  <si>
    <t>Pore Radius,</t>
  </si>
  <si>
    <t>Mercury Injection</t>
  </si>
  <si>
    <t>Pressure,</t>
  </si>
  <si>
    <t>Radius,</t>
  </si>
  <si>
    <t>d Sw/d Log</t>
  </si>
  <si>
    <t>Reservoir IFT</t>
  </si>
  <si>
    <t>&lt; 0.0018</t>
  </si>
  <si>
    <t>Mercury Contact Angle</t>
  </si>
  <si>
    <t>Grain</t>
  </si>
  <si>
    <t>Injection</t>
  </si>
  <si>
    <t>Other Laboratory Systems</t>
  </si>
  <si>
    <t>Permeability</t>
  </si>
  <si>
    <t>J</t>
  </si>
  <si>
    <t>Pore</t>
  </si>
  <si>
    <t>Cum. (mD)</t>
  </si>
  <si>
    <t>Incremental</t>
  </si>
  <si>
    <t>MC 8</t>
  </si>
  <si>
    <t>Shell Exploration &amp; Production Company</t>
  </si>
  <si>
    <t>Sample Depth, feet:</t>
  </si>
  <si>
    <t>Offshore</t>
  </si>
  <si>
    <t>HH-77445</t>
  </si>
  <si>
    <t>OSC-Y-2321 Burger J 001</t>
  </si>
  <si>
    <t>55-352-00004-00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</si>
</sst>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164" formatCode="0.0_)"/>
    <numFmt numFmtId="165" formatCode="0.0"/>
    <numFmt numFmtId="166" formatCode="0.000"/>
    <numFmt numFmtId="167" formatCode="0.0000"/>
    <numFmt numFmtId="168" formatCode="???0.00"/>
    <numFmt numFmtId="169" formatCode="[&lt;1]0.?0;[&gt;10]0;0.0"/>
    <numFmt numFmtId="170" formatCode="[&lt;1]0.000;[&gt;10]0.0;0.00"/>
    <numFmt numFmtId="171" formatCode="[&lt;0.1]0.000;[&gt;0.1]0.00;0.0"/>
    <numFmt numFmtId="172" formatCode="[Blue]General"/>
    <numFmt numFmtId="173" formatCode="?????.0"/>
    <numFmt numFmtId="174" formatCode="[&lt;10]???0.00;[&gt;100]???0;???0.0"/>
    <numFmt numFmtId="175" formatCode="?????"/>
    <numFmt numFmtId="176" formatCode="?????.00"/>
    <numFmt numFmtId="177" formatCode="[&lt;100]????0.0;[&gt;100]?????;General"/>
    <numFmt numFmtId="178" formatCode="????0.00"/>
    <numFmt numFmtId="179" formatCode="??0."/>
    <numFmt numFmtId="180" formatCode="??????0.0000"/>
    <numFmt numFmtId="181" formatCode="????0.0?"/>
    <numFmt numFmtId="182" formatCode="????0.??"/>
    <numFmt numFmtId="183" formatCode="0.00??"/>
    <numFmt numFmtId="184" formatCode="0.00000"/>
    <numFmt numFmtId="185" formatCode="m\-dd\-yy"/>
    <numFmt numFmtId="186" formatCode="??0.000"/>
    <numFmt numFmtId="187" formatCode="???0.000"/>
    <numFmt numFmtId="188" formatCode="????0.000"/>
    <numFmt numFmtId="189" formatCode="??0.0000"/>
    <numFmt numFmtId="190" formatCode="0.0\ \ \ \ 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</cellStyleXfs>
  <cellXfs count="177">
    <xf numFmtId="0" fontId="0" fillId="0" borderId="0" xfId="0"/>
    <xf numFmtId="178" fontId="0" fillId="0" borderId="0" xfId="5" applyNumberFormat="1" applyFont="1" applyBorder="1" applyAlignment="1" applyProtection="1">
      <alignment horizontal="center"/>
    </xf>
    <xf numFmtId="0" fontId="2" fillId="0" borderId="0" xfId="5" applyFont="1" applyAlignment="1">
      <alignment horizontal="centerContinuous"/>
    </xf>
    <xf numFmtId="166" fontId="3" fillId="0" borderId="0" xfId="5" applyNumberFormat="1" applyFont="1" applyFill="1" applyBorder="1" applyProtection="1">
      <protection locked="0"/>
    </xf>
    <xf numFmtId="179" fontId="0" fillId="0" borderId="0" xfId="0" applyNumberFormat="1" applyBorder="1" applyAlignment="1">
      <alignment horizontal="center"/>
    </xf>
    <xf numFmtId="0" fontId="0" fillId="0" borderId="3" xfId="5" applyFont="1" applyBorder="1"/>
    <xf numFmtId="0" fontId="0" fillId="0" borderId="0" xfId="5" applyFont="1" applyFill="1" applyProtection="1"/>
    <xf numFmtId="185" fontId="0" fillId="0" borderId="0" xfId="4" applyNumberFormat="1" applyFont="1" applyFill="1"/>
    <xf numFmtId="181" fontId="0" fillId="0" borderId="0" xfId="5" applyNumberFormat="1" applyFont="1" applyAlignment="1" applyProtection="1">
      <alignment horizontal="center"/>
    </xf>
    <xf numFmtId="166" fontId="3" fillId="0" borderId="4" xfId="5" applyNumberFormat="1" applyFont="1" applyBorder="1" applyProtection="1">
      <protection locked="0"/>
    </xf>
    <xf numFmtId="2" fontId="0" fillId="0" borderId="0" xfId="0" applyNumberFormat="1" applyBorder="1" applyAlignment="1">
      <alignment horizontal="center"/>
    </xf>
    <xf numFmtId="0" fontId="0" fillId="0" borderId="3" xfId="5" applyFont="1" applyBorder="1" applyAlignment="1" applyProtection="1">
      <alignment horizontal="left"/>
    </xf>
    <xf numFmtId="2" fontId="0" fillId="0" borderId="0" xfId="5" applyNumberFormat="1" applyFont="1" applyBorder="1" applyAlignment="1" applyProtection="1">
      <alignment horizontal="center"/>
    </xf>
    <xf numFmtId="0" fontId="0" fillId="0" borderId="8" xfId="5" applyFont="1" applyBorder="1" applyAlignment="1" applyProtection="1">
      <alignment horizontal="center"/>
      <protection locked="0"/>
    </xf>
    <xf numFmtId="0" fontId="0" fillId="0" borderId="0" xfId="5" applyFont="1" applyBorder="1" applyAlignment="1">
      <alignment horizontal="centerContinuous"/>
    </xf>
    <xf numFmtId="0" fontId="0" fillId="0" borderId="0" xfId="0" applyFont="1" applyAlignment="1">
      <alignment horizontal="right"/>
    </xf>
    <xf numFmtId="178" fontId="0" fillId="0" borderId="2" xfId="5" applyNumberFormat="1" applyFont="1" applyBorder="1" applyAlignment="1" applyProtection="1">
      <alignment horizontal="centerContinuous"/>
    </xf>
    <xf numFmtId="1" fontId="0" fillId="0" borderId="0" xfId="5" applyNumberFormat="1" applyFont="1" applyBorder="1" applyProtection="1"/>
    <xf numFmtId="0" fontId="2" fillId="0" borderId="0" xfId="5" applyFont="1" applyAlignment="1" applyProtection="1">
      <alignment horizontal="centerContinuous"/>
    </xf>
    <xf numFmtId="0" fontId="0" fillId="0" borderId="10" xfId="0" applyFont="1" applyBorder="1"/>
    <xf numFmtId="175" fontId="0" fillId="0" borderId="0" xfId="5" applyNumberFormat="1" applyFont="1" applyBorder="1" applyAlignment="1" applyProtection="1">
      <alignment horizontal="center"/>
    </xf>
    <xf numFmtId="0" fontId="0" fillId="0" borderId="3" xfId="5" applyFont="1" applyBorder="1" applyProtection="1"/>
    <xf numFmtId="0" fontId="0" fillId="0" borderId="11" xfId="5" applyFont="1" applyBorder="1"/>
    <xf numFmtId="171" fontId="0" fillId="0" borderId="0" xfId="5" applyNumberFormat="1" applyFont="1" applyBorder="1" applyAlignment="1" applyProtection="1">
      <alignment horizontal="center"/>
    </xf>
    <xf numFmtId="0" fontId="0" fillId="0" borderId="8" xfId="5" applyFont="1" applyBorder="1" applyAlignment="1">
      <alignment horizontal="center"/>
    </xf>
    <xf numFmtId="0" fontId="0" fillId="0" borderId="0" xfId="5" applyFont="1" applyBorder="1" applyAlignment="1">
      <alignment horizontal="center"/>
    </xf>
    <xf numFmtId="0" fontId="0" fillId="0" borderId="0" xfId="0" applyFill="1" applyBorder="1" applyAlignment="1">
      <alignment vertical="center"/>
    </xf>
    <xf numFmtId="167" fontId="0" fillId="0" borderId="0" xfId="0" applyNumberFormat="1" applyBorder="1" applyAlignment="1">
      <alignment horizontal="center"/>
    </xf>
    <xf numFmtId="0" fontId="0" fillId="0" borderId="0" xfId="5" applyFont="1" applyBorder="1" applyAlignment="1" applyProtection="1">
      <alignment horizontal="centerContinuous"/>
    </xf>
    <xf numFmtId="166" fontId="0" fillId="0" borderId="0" xfId="5" applyNumberFormat="1" applyFont="1" applyAlignment="1">
      <alignment horizontal="center"/>
    </xf>
    <xf numFmtId="0" fontId="0" fillId="0" borderId="0" xfId="0" applyFont="1"/>
    <xf numFmtId="0" fontId="2" fillId="0" borderId="0" xfId="5" applyFont="1" applyAlignment="1" applyProtection="1">
      <alignment horizontal="center"/>
    </xf>
    <xf numFmtId="0" fontId="0" fillId="0" borderId="0" xfId="5" applyFont="1" applyBorder="1" applyAlignment="1"/>
    <xf numFmtId="0" fontId="0" fillId="0" borderId="0" xfId="5" applyNumberFormat="1" applyFont="1" applyBorder="1" applyAlignment="1" applyProtection="1">
      <alignment horizontal="center"/>
    </xf>
    <xf numFmtId="0" fontId="0" fillId="0" borderId="5" xfId="5" applyFont="1" applyBorder="1" applyAlignment="1" applyProtection="1">
      <alignment horizontal="centerContinuous" vertical="center"/>
    </xf>
    <xf numFmtId="0" fontId="0" fillId="0" borderId="12" xfId="5" applyFont="1" applyBorder="1" applyAlignment="1" applyProtection="1">
      <alignment horizontal="center"/>
    </xf>
    <xf numFmtId="0" fontId="0" fillId="0" borderId="11" xfId="5" applyFont="1" applyBorder="1" applyProtection="1"/>
    <xf numFmtId="0" fontId="0" fillId="0" borderId="0" xfId="0" applyBorder="1" applyAlignment="1">
      <alignment horizontal="center"/>
    </xf>
    <xf numFmtId="166" fontId="3" fillId="0" borderId="13" xfId="5" applyNumberFormat="1" applyFont="1" applyBorder="1" applyProtection="1">
      <protection locked="0"/>
    </xf>
    <xf numFmtId="167" fontId="0" fillId="0" borderId="0" xfId="0" applyNumberFormat="1" applyFill="1" applyBorder="1" applyAlignment="1"/>
    <xf numFmtId="172" fontId="0" fillId="0" borderId="4" xfId="5" applyNumberFormat="1" applyFont="1" applyBorder="1" applyAlignment="1" applyProtection="1">
      <alignment horizontal="center"/>
      <protection locked="0"/>
    </xf>
    <xf numFmtId="0" fontId="0" fillId="0" borderId="0" xfId="5" applyFont="1" applyBorder="1" applyAlignment="1" applyProtection="1">
      <alignment horizontal="center"/>
    </xf>
    <xf numFmtId="174" fontId="0" fillId="0" borderId="0" xfId="5" applyNumberFormat="1" applyFont="1" applyBorder="1" applyAlignment="1" applyProtection="1">
      <alignment horizontal="center"/>
    </xf>
    <xf numFmtId="166" fontId="0" fillId="0" borderId="0" xfId="0" applyNumberFormat="1" applyFont="1" applyBorder="1"/>
    <xf numFmtId="0" fontId="0" fillId="0" borderId="10" xfId="0" applyBorder="1" applyAlignment="1">
      <alignment horizontal="center"/>
    </xf>
    <xf numFmtId="166" fontId="0" fillId="0" borderId="0" xfId="5" applyNumberFormat="1" applyFont="1" applyAlignment="1" applyProtection="1">
      <alignment horizontal="center"/>
    </xf>
    <xf numFmtId="167" fontId="0" fillId="0" borderId="7" xfId="5" applyNumberFormat="1" applyFont="1" applyBorder="1" applyAlignment="1" applyProtection="1">
      <alignment horizontal="centerContinuous"/>
    </xf>
    <xf numFmtId="0" fontId="0" fillId="0" borderId="2" xfId="5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165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188" fontId="0" fillId="0" borderId="0" xfId="5" applyNumberFormat="1" applyFont="1" applyAlignment="1" applyProtection="1">
      <alignment horizontal="center"/>
    </xf>
    <xf numFmtId="0" fontId="0" fillId="0" borderId="0" xfId="5" applyFont="1" applyBorder="1" applyAlignment="1" applyProtection="1">
      <alignment horizontal="centerContinuous" vertical="center"/>
    </xf>
    <xf numFmtId="186" fontId="0" fillId="0" borderId="0" xfId="5" applyNumberFormat="1" applyFont="1" applyBorder="1" applyAlignment="1" applyProtection="1">
      <alignment horizontal="centerContinuous"/>
    </xf>
    <xf numFmtId="0" fontId="0" fillId="0" borderId="1" xfId="5" applyFont="1" applyBorder="1" applyAlignment="1" applyProtection="1">
      <alignment horizontal="center" vertical="center"/>
    </xf>
    <xf numFmtId="0" fontId="3" fillId="0" borderId="8" xfId="5" applyNumberFormat="1" applyFont="1" applyBorder="1" applyAlignment="1" applyProtection="1">
      <alignment horizontal="center"/>
      <protection locked="0"/>
    </xf>
    <xf numFmtId="190" fontId="0" fillId="0" borderId="0" xfId="0" quotePrefix="1" applyNumberFormat="1" applyFont="1" applyBorder="1" applyAlignment="1">
      <alignment horizontal="left"/>
    </xf>
    <xf numFmtId="0" fontId="0" fillId="0" borderId="2" xfId="5" applyFont="1" applyBorder="1" applyAlignment="1" applyProtection="1">
      <alignment horizontal="center"/>
    </xf>
    <xf numFmtId="168" fontId="0" fillId="0" borderId="0" xfId="5" applyNumberFormat="1" applyFont="1" applyAlignment="1" applyProtection="1">
      <alignment horizontal="center"/>
    </xf>
    <xf numFmtId="0" fontId="5" fillId="0" borderId="0" xfId="5" applyFont="1" applyAlignment="1" applyProtection="1"/>
    <xf numFmtId="0" fontId="0" fillId="0" borderId="9" xfId="5" applyFont="1" applyBorder="1" applyAlignment="1" applyProtection="1">
      <alignment horizontal="centerContinuous" vertical="center"/>
    </xf>
    <xf numFmtId="166" fontId="0" fillId="0" borderId="0" xfId="0" applyNumberFormat="1" applyBorder="1" applyAlignment="1">
      <alignment horizontal="center"/>
    </xf>
    <xf numFmtId="0" fontId="0" fillId="0" borderId="8" xfId="5" applyFont="1" applyBorder="1"/>
    <xf numFmtId="0" fontId="0" fillId="0" borderId="0" xfId="5" applyFont="1" applyBorder="1"/>
    <xf numFmtId="0" fontId="0" fillId="0" borderId="0" xfId="0" applyFont="1" applyBorder="1" applyAlignment="1">
      <alignment horizontal="center"/>
    </xf>
    <xf numFmtId="166" fontId="0" fillId="0" borderId="0" xfId="5" applyNumberFormat="1" applyFont="1" applyAlignment="1" applyProtection="1">
      <alignment horizontal="right"/>
    </xf>
    <xf numFmtId="166" fontId="3" fillId="0" borderId="0" xfId="0" applyNumberFormat="1" applyFont="1"/>
    <xf numFmtId="182" fontId="0" fillId="0" borderId="0" xfId="5" applyNumberFormat="1" applyFont="1" applyAlignment="1" applyProtection="1">
      <alignment horizontal="center"/>
    </xf>
    <xf numFmtId="0" fontId="0" fillId="0" borderId="0" xfId="5" applyFont="1" applyBorder="1" applyAlignment="1" applyProtection="1">
      <alignment horizontal="center"/>
      <protection locked="0"/>
    </xf>
    <xf numFmtId="0" fontId="0" fillId="0" borderId="0" xfId="5" applyFont="1" applyBorder="1" applyAlignment="1" applyProtection="1">
      <alignment horizontal="center" vertical="center"/>
    </xf>
    <xf numFmtId="0" fontId="0" fillId="0" borderId="0" xfId="5" applyFont="1" applyBorder="1" applyAlignment="1" applyProtection="1">
      <alignment horizontal="left"/>
    </xf>
    <xf numFmtId="0" fontId="0" fillId="0" borderId="4" xfId="5" applyFont="1" applyBorder="1" applyAlignment="1" applyProtection="1">
      <alignment horizontal="centerContinuous" vertical="center"/>
    </xf>
    <xf numFmtId="186" fontId="0" fillId="0" borderId="0" xfId="5" applyNumberFormat="1" applyFont="1" applyBorder="1" applyAlignment="1" applyProtection="1">
      <alignment horizontal="center"/>
    </xf>
    <xf numFmtId="166" fontId="0" fillId="0" borderId="0" xfId="5" applyNumberFormat="1" applyFont="1"/>
    <xf numFmtId="166" fontId="0" fillId="0" borderId="0" xfId="0" applyNumberFormat="1" applyFont="1" applyAlignment="1">
      <alignment horizontal="center"/>
    </xf>
    <xf numFmtId="0" fontId="0" fillId="0" borderId="10" xfId="5" applyFont="1" applyBorder="1" applyAlignment="1" applyProtection="1">
      <alignment horizontal="center" vertical="center"/>
    </xf>
    <xf numFmtId="165" fontId="0" fillId="0" borderId="0" xfId="5" applyNumberFormat="1" applyFont="1" applyProtection="1"/>
    <xf numFmtId="0" fontId="0" fillId="0" borderId="0" xfId="5" applyNumberFormat="1" applyFont="1" applyBorder="1" applyProtection="1"/>
    <xf numFmtId="178" fontId="0" fillId="0" borderId="0" xfId="5" applyNumberFormat="1" applyFont="1" applyAlignment="1" applyProtection="1">
      <alignment horizontal="center"/>
    </xf>
    <xf numFmtId="170" fontId="0" fillId="0" borderId="0" xfId="5" applyNumberFormat="1" applyFont="1" applyBorder="1" applyAlignment="1" applyProtection="1">
      <alignment horizontal="center"/>
    </xf>
    <xf numFmtId="1" fontId="0" fillId="0" borderId="0" xfId="0" quotePrefix="1" applyNumberFormat="1" applyFont="1" applyAlignment="1">
      <alignment horizontal="right"/>
    </xf>
    <xf numFmtId="179" fontId="0" fillId="0" borderId="0" xfId="0" applyNumberFormat="1" applyAlignment="1">
      <alignment horizontal="center"/>
    </xf>
    <xf numFmtId="0" fontId="0" fillId="0" borderId="0" xfId="5" applyFont="1" applyBorder="1" applyProtection="1"/>
    <xf numFmtId="174" fontId="0" fillId="0" borderId="0" xfId="5" applyNumberFormat="1" applyFont="1" applyBorder="1" applyProtection="1"/>
    <xf numFmtId="0" fontId="0" fillId="0" borderId="0" xfId="5" applyNumberFormat="1" applyFont="1" applyAlignment="1" applyProtection="1">
      <alignment horizontal="left"/>
    </xf>
    <xf numFmtId="0" fontId="0" fillId="0" borderId="10" xfId="5" applyFont="1" applyFill="1" applyBorder="1" applyAlignment="1" applyProtection="1">
      <alignment horizontal="center" vertical="center"/>
    </xf>
    <xf numFmtId="2" fontId="0" fillId="0" borderId="0" xfId="0" applyNumberFormat="1" applyAlignment="1">
      <alignment horizontal="center"/>
    </xf>
    <xf numFmtId="0" fontId="2" fillId="0" borderId="0" xfId="5" applyFont="1" applyBorder="1" applyAlignment="1">
      <alignment horizontal="centerContinuous"/>
    </xf>
    <xf numFmtId="0" fontId="0" fillId="0" borderId="0" xfId="5" applyFont="1" applyAlignment="1">
      <alignment horizontal="centerContinuous"/>
    </xf>
    <xf numFmtId="164" fontId="0" fillId="0" borderId="0" xfId="5" applyNumberFormat="1" applyFont="1" applyBorder="1" applyAlignment="1" applyProtection="1">
      <alignment horizontal="center"/>
    </xf>
    <xf numFmtId="188" fontId="0" fillId="0" borderId="0" xfId="5" applyNumberFormat="1" applyFont="1" applyAlignment="1" applyProtection="1">
      <alignment horizontal="left"/>
    </xf>
    <xf numFmtId="177" fontId="0" fillId="0" borderId="0" xfId="5" applyNumberFormat="1" applyFont="1" applyBorder="1" applyAlignment="1" applyProtection="1">
      <alignment horizontal="center"/>
    </xf>
    <xf numFmtId="1" fontId="0" fillId="0" borderId="0" xfId="5" applyNumberFormat="1" applyFont="1" applyProtection="1"/>
    <xf numFmtId="166" fontId="3" fillId="0" borderId="6" xfId="5" applyNumberFormat="1" applyFont="1" applyBorder="1" applyProtection="1">
      <protection locked="0"/>
    </xf>
    <xf numFmtId="173" fontId="0" fillId="0" borderId="0" xfId="5" applyNumberFormat="1" applyFont="1" applyBorder="1" applyAlignment="1" applyProtection="1">
      <alignment horizontal="center"/>
    </xf>
    <xf numFmtId="189" fontId="0" fillId="0" borderId="0" xfId="5" applyNumberFormat="1" applyFont="1" applyAlignment="1" applyProtection="1">
      <alignment horizontal="center"/>
    </xf>
    <xf numFmtId="0" fontId="0" fillId="2" borderId="0" xfId="0" applyFill="1" applyBorder="1" applyAlignment="1">
      <alignment vertical="center"/>
    </xf>
    <xf numFmtId="185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0" fontId="0" fillId="0" borderId="5" xfId="5" applyFont="1" applyBorder="1"/>
    <xf numFmtId="164" fontId="0" fillId="0" borderId="4" xfId="5" applyNumberFormat="1" applyFont="1" applyBorder="1" applyAlignment="1" applyProtection="1">
      <alignment horizontal="center"/>
    </xf>
    <xf numFmtId="0" fontId="0" fillId="0" borderId="0" xfId="5" applyFont="1" applyAlignment="1" applyProtection="1">
      <alignment horizontal="centerContinuous"/>
    </xf>
    <xf numFmtId="0" fontId="6" fillId="2" borderId="0" xfId="0" applyFont="1" applyFill="1" applyBorder="1" applyAlignment="1">
      <alignment vertical="center"/>
    </xf>
    <xf numFmtId="0" fontId="7" fillId="0" borderId="0" xfId="5" applyFont="1" applyProtection="1"/>
    <xf numFmtId="0" fontId="0" fillId="0" borderId="14" xfId="0" applyBorder="1" applyAlignment="1">
      <alignment horizontal="center"/>
    </xf>
    <xf numFmtId="0" fontId="0" fillId="0" borderId="0" xfId="5" applyFont="1" applyAlignment="1"/>
    <xf numFmtId="176" fontId="0" fillId="0" borderId="0" xfId="5" applyNumberFormat="1" applyFont="1" applyBorder="1" applyAlignment="1" applyProtection="1">
      <alignment horizontal="center"/>
    </xf>
    <xf numFmtId="187" fontId="0" fillId="0" borderId="0" xfId="5" applyNumberFormat="1" applyFont="1" applyAlignment="1" applyProtection="1">
      <alignment horizontal="center"/>
    </xf>
    <xf numFmtId="166" fontId="0" fillId="0" borderId="0" xfId="5" applyNumberFormat="1" applyFont="1" applyBorder="1" applyAlignment="1">
      <alignment horizontal="center"/>
    </xf>
    <xf numFmtId="2" fontId="0" fillId="0" borderId="0" xfId="5" applyNumberFormat="1" applyFont="1" applyAlignment="1" applyProtection="1">
      <alignment horizontal="right"/>
    </xf>
    <xf numFmtId="0" fontId="0" fillId="0" borderId="0" xfId="0" applyFont="1" applyBorder="1"/>
    <xf numFmtId="183" fontId="0" fillId="0" borderId="0" xfId="5" applyNumberFormat="1" applyFont="1" applyAlignment="1" applyProtection="1">
      <alignment horizontal="center"/>
    </xf>
    <xf numFmtId="0" fontId="0" fillId="0" borderId="0" xfId="5" applyFont="1" applyAlignment="1" applyProtection="1">
      <alignment horizontal="center"/>
    </xf>
    <xf numFmtId="166" fontId="0" fillId="0" borderId="1" xfId="5" applyNumberFormat="1" applyFont="1" applyBorder="1" applyAlignment="1" applyProtection="1">
      <alignment horizontal="center"/>
    </xf>
    <xf numFmtId="1" fontId="3" fillId="0" borderId="0" xfId="5" applyNumberFormat="1" applyFont="1" applyBorder="1" applyAlignment="1" applyProtection="1">
      <alignment horizontal="center"/>
      <protection locked="0"/>
    </xf>
    <xf numFmtId="166" fontId="0" fillId="0" borderId="0" xfId="0" applyNumberFormat="1" applyFont="1"/>
    <xf numFmtId="187" fontId="0" fillId="0" borderId="0" xfId="5" applyNumberFormat="1" applyFont="1" applyFill="1" applyAlignment="1" applyProtection="1">
      <alignment horizontal="center"/>
    </xf>
    <xf numFmtId="0" fontId="3" fillId="0" borderId="0" xfId="5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/>
    <xf numFmtId="184" fontId="0" fillId="0" borderId="0" xfId="0" applyNumberFormat="1" applyFont="1" applyAlignment="1">
      <alignment horizontal="right"/>
    </xf>
    <xf numFmtId="172" fontId="0" fillId="0" borderId="0" xfId="5" applyNumberFormat="1" applyFont="1" applyBorder="1" applyAlignment="1" applyProtection="1">
      <alignment horizontal="center"/>
      <protection locked="0"/>
    </xf>
    <xf numFmtId="166" fontId="0" fillId="0" borderId="0" xfId="5" applyNumberFormat="1" applyFont="1" applyBorder="1" applyAlignment="1" applyProtection="1">
      <alignment horizontal="center"/>
    </xf>
    <xf numFmtId="0" fontId="0" fillId="0" borderId="0" xfId="5" applyFont="1" applyAlignment="1">
      <alignment horizontal="right"/>
    </xf>
    <xf numFmtId="169" fontId="0" fillId="0" borderId="0" xfId="5" applyNumberFormat="1" applyFont="1" applyAlignment="1" applyProtection="1">
      <alignment horizontal="center"/>
    </xf>
    <xf numFmtId="167" fontId="0" fillId="0" borderId="0" xfId="5" applyNumberFormat="1" applyFont="1" applyAlignment="1" applyProtection="1">
      <alignment horizontal="right"/>
    </xf>
    <xf numFmtId="1" fontId="3" fillId="0" borderId="4" xfId="5" applyNumberFormat="1" applyFont="1" applyBorder="1" applyAlignment="1" applyProtection="1">
      <alignment horizontal="center"/>
      <protection locked="0"/>
    </xf>
    <xf numFmtId="2" fontId="0" fillId="0" borderId="7" xfId="5" applyNumberFormat="1" applyFont="1" applyBorder="1" applyAlignment="1" applyProtection="1">
      <alignment horizontal="centerContinuous"/>
    </xf>
    <xf numFmtId="164" fontId="0" fillId="0" borderId="13" xfId="5" applyNumberFormat="1" applyFont="1" applyBorder="1" applyAlignment="1" applyProtection="1">
      <alignment horizontal="center"/>
    </xf>
    <xf numFmtId="186" fontId="0" fillId="0" borderId="7" xfId="5" applyNumberFormat="1" applyFont="1" applyBorder="1" applyAlignment="1" applyProtection="1">
      <alignment horizontal="centerContinuous"/>
    </xf>
    <xf numFmtId="165" fontId="0" fillId="0" borderId="0" xfId="0" applyNumberFormat="1" applyAlignment="1">
      <alignment horizontal="center"/>
    </xf>
    <xf numFmtId="0" fontId="0" fillId="0" borderId="9" xfId="5" applyFont="1" applyBorder="1"/>
    <xf numFmtId="0" fontId="0" fillId="0" borderId="8" xfId="5" applyNumberFormat="1" applyFont="1" applyBorder="1" applyAlignment="1" applyProtection="1">
      <alignment horizontal="center"/>
    </xf>
    <xf numFmtId="0" fontId="0" fillId="0" borderId="14" xfId="5" applyFont="1" applyBorder="1" applyAlignment="1" applyProtection="1">
      <alignment horizontal="center" vertical="center"/>
    </xf>
    <xf numFmtId="0" fontId="0" fillId="0" borderId="4" xfId="0" applyFont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0" fontId="0" fillId="0" borderId="0" xfId="5" applyFont="1" applyAlignment="1" applyProtection="1">
      <alignment horizontal="right"/>
    </xf>
    <xf numFmtId="166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right"/>
    </xf>
    <xf numFmtId="0" fontId="0" fillId="0" borderId="0" xfId="5" applyFont="1"/>
    <xf numFmtId="0" fontId="0" fillId="0" borderId="0" xfId="0" applyFont="1" applyAlignment="1">
      <alignment horizontal="center"/>
    </xf>
    <xf numFmtId="0" fontId="0" fillId="0" borderId="15" xfId="5" applyFont="1" applyBorder="1" applyAlignment="1" applyProtection="1">
      <alignment horizontal="center" vertical="center"/>
    </xf>
    <xf numFmtId="0" fontId="0" fillId="0" borderId="14" xfId="5" applyFont="1" applyFill="1" applyBorder="1" applyAlignment="1" applyProtection="1">
      <alignment horizontal="center" vertical="center"/>
    </xf>
    <xf numFmtId="178" fontId="0" fillId="0" borderId="12" xfId="5" applyNumberFormat="1" applyFont="1" applyBorder="1" applyAlignment="1" applyProtection="1">
      <alignment horizontal="centerContinuous"/>
    </xf>
    <xf numFmtId="0" fontId="0" fillId="0" borderId="0" xfId="5" applyFont="1" applyAlignment="1" applyProtection="1">
      <alignment horizontal="left"/>
    </xf>
    <xf numFmtId="186" fontId="0" fillId="0" borderId="0" xfId="5" applyNumberFormat="1" applyFont="1" applyAlignment="1" applyProtection="1">
      <alignment horizontal="center"/>
    </xf>
    <xf numFmtId="0" fontId="0" fillId="0" borderId="9" xfId="5" applyFont="1" applyBorder="1" applyProtection="1"/>
    <xf numFmtId="178" fontId="0" fillId="0" borderId="0" xfId="5" applyNumberFormat="1" applyFont="1" applyBorder="1" applyAlignment="1" applyProtection="1">
      <alignment horizontal="centerContinuous"/>
    </xf>
    <xf numFmtId="0" fontId="0" fillId="0" borderId="0" xfId="5" applyFont="1" applyFill="1"/>
    <xf numFmtId="0" fontId="0" fillId="0" borderId="15" xfId="5" applyFont="1" applyFill="1" applyBorder="1" applyAlignment="1" applyProtection="1">
      <alignment horizontal="center" vertical="center"/>
    </xf>
    <xf numFmtId="14" fontId="0" fillId="0" borderId="0" xfId="0" applyNumberFormat="1" applyFont="1"/>
    <xf numFmtId="0" fontId="0" fillId="0" borderId="0" xfId="5" applyNumberFormat="1" applyFont="1" applyProtection="1"/>
    <xf numFmtId="2" fontId="0" fillId="0" borderId="12" xfId="5" applyNumberFormat="1" applyFont="1" applyBorder="1" applyAlignment="1" applyProtection="1">
      <alignment horizontal="centerContinuous"/>
    </xf>
    <xf numFmtId="166" fontId="0" fillId="0" borderId="0" xfId="5" applyNumberFormat="1" applyFont="1" applyBorder="1"/>
    <xf numFmtId="166" fontId="3" fillId="0" borderId="0" xfId="5" applyNumberFormat="1" applyFont="1" applyBorder="1" applyProtection="1">
      <protection locked="0"/>
    </xf>
    <xf numFmtId="0" fontId="0" fillId="0" borderId="6" xfId="5" applyFont="1" applyBorder="1" applyAlignment="1" applyProtection="1">
      <alignment horizontal="centerContinuous" vertical="center"/>
    </xf>
    <xf numFmtId="166" fontId="0" fillId="0" borderId="0" xfId="0" applyNumberFormat="1" applyFont="1" applyBorder="1" applyAlignment="1">
      <alignment horizontal="center"/>
    </xf>
    <xf numFmtId="0" fontId="0" fillId="0" borderId="3" xfId="5" applyFont="1" applyBorder="1" applyAlignment="1" applyProtection="1">
      <alignment horizontal="centerContinuous" vertical="center"/>
    </xf>
    <xf numFmtId="2" fontId="0" fillId="0" borderId="1" xfId="5" applyNumberFormat="1" applyFont="1" applyBorder="1" applyAlignment="1" applyProtection="1">
      <alignment horizontal="center"/>
    </xf>
    <xf numFmtId="1" fontId="3" fillId="0" borderId="13" xfId="5" applyNumberFormat="1" applyFont="1" applyBorder="1" applyAlignment="1" applyProtection="1">
      <alignment horizontal="center"/>
      <protection locked="0"/>
    </xf>
    <xf numFmtId="0" fontId="0" fillId="0" borderId="0" xfId="5" applyFont="1" applyProtection="1"/>
    <xf numFmtId="2" fontId="0" fillId="0" borderId="0" xfId="0" applyNumberFormat="1" applyFont="1"/>
    <xf numFmtId="165" fontId="0" fillId="0" borderId="0" xfId="5" applyNumberFormat="1" applyFont="1" applyBorder="1" applyProtection="1"/>
    <xf numFmtId="166" fontId="0" fillId="0" borderId="0" xfId="0" applyNumberFormat="1" applyFont="1" applyAlignment="1">
      <alignment horizontal="right"/>
    </xf>
    <xf numFmtId="0" fontId="5" fillId="0" borderId="0" xfId="5" applyFont="1" applyAlignment="1" applyProtection="1">
      <alignment horizontal="center"/>
    </xf>
    <xf numFmtId="186" fontId="0" fillId="0" borderId="9" xfId="5" applyNumberFormat="1" applyFont="1" applyBorder="1" applyAlignment="1" applyProtection="1">
      <alignment horizontal="center"/>
    </xf>
    <xf numFmtId="186" fontId="0" fillId="0" borderId="6" xfId="5" applyNumberFormat="1" applyFont="1" applyBorder="1" applyAlignment="1" applyProtection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0" xfId="0" applyFont="1"/>
    <xf numFmtId="0" fontId="10" fillId="0" borderId="0" xfId="0" quotePrefix="1" applyFont="1"/>
    <xf numFmtId="0" fontId="8" fillId="0" borderId="0" xfId="5" quotePrefix="1" applyNumberFormat="1" applyFont="1" applyProtection="1"/>
    <xf numFmtId="185" fontId="8" fillId="0" borderId="0" xfId="0" quotePrefix="1" applyNumberFormat="1" applyFont="1" applyAlignment="1">
      <alignment horizontal="left"/>
    </xf>
  </cellXfs>
  <cellStyles count="6">
    <cellStyle name="Normal" xfId="0" builtinId="0"/>
    <cellStyle name="Normal 2" xfId="1"/>
    <cellStyle name="Normal 2 2" xfId="2"/>
    <cellStyle name="Normal 3" xfId="3"/>
    <cellStyle name="Normal_Core Data H-3258" xfId="4"/>
    <cellStyle name="Normal_HG-DATA_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15492957746478872"/>
          <c:y val="7.0234113712374549E-2"/>
          <c:w val="0.76760563380283331"/>
          <c:h val="0.81605351170568552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Table!$B$18:$B$136</c:f>
              <c:numCache>
                <c:formatCode>0.000</c:formatCod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5.748177465255787E-4</c:v>
                </c:pt>
                <c:pt idx="40">
                  <c:v>1.4150665420085871E-3</c:v>
                </c:pt>
                <c:pt idx="41">
                  <c:v>2.2008394895062637E-3</c:v>
                </c:pt>
                <c:pt idx="42">
                  <c:v>3.2531513525277038E-3</c:v>
                </c:pt>
                <c:pt idx="43">
                  <c:v>4.2865442634163085E-3</c:v>
                </c:pt>
                <c:pt idx="44">
                  <c:v>5.7258515061210727E-3</c:v>
                </c:pt>
                <c:pt idx="45">
                  <c:v>7.2178068889570453E-3</c:v>
                </c:pt>
                <c:pt idx="46">
                  <c:v>8.8627711556996357E-3</c:v>
                </c:pt>
                <c:pt idx="47">
                  <c:v>1.1409321223172472E-2</c:v>
                </c:pt>
                <c:pt idx="48">
                  <c:v>1.4796798223764661E-2</c:v>
                </c:pt>
                <c:pt idx="49">
                  <c:v>1.8991478409084547E-2</c:v>
                </c:pt>
                <c:pt idx="50">
                  <c:v>2.3079440763588803E-2</c:v>
                </c:pt>
                <c:pt idx="51">
                  <c:v>2.6106182992485003E-2</c:v>
                </c:pt>
                <c:pt idx="52">
                  <c:v>2.9598729623060094E-2</c:v>
                </c:pt>
                <c:pt idx="53">
                  <c:v>3.3694844134818443E-2</c:v>
                </c:pt>
                <c:pt idx="54">
                  <c:v>3.7751945787262042E-2</c:v>
                </c:pt>
                <c:pt idx="55">
                  <c:v>4.1815005622253897E-2</c:v>
                </c:pt>
                <c:pt idx="56">
                  <c:v>4.5851603583810185E-2</c:v>
                </c:pt>
                <c:pt idx="57">
                  <c:v>5.070305825673331E-2</c:v>
                </c:pt>
                <c:pt idx="58">
                  <c:v>5.5371357745370227E-2</c:v>
                </c:pt>
                <c:pt idx="59">
                  <c:v>6.0599849691295282E-2</c:v>
                </c:pt>
                <c:pt idx="60">
                  <c:v>6.6411714071896458E-2</c:v>
                </c:pt>
                <c:pt idx="61">
                  <c:v>7.3201924356696493E-2</c:v>
                </c:pt>
                <c:pt idx="62">
                  <c:v>8.1498557564975399E-2</c:v>
                </c:pt>
                <c:pt idx="63">
                  <c:v>9.0962595648220512E-2</c:v>
                </c:pt>
                <c:pt idx="64">
                  <c:v>0.1014614862701544</c:v>
                </c:pt>
                <c:pt idx="65">
                  <c:v>0.11312405382325684</c:v>
                </c:pt>
                <c:pt idx="66">
                  <c:v>0.12623440533951841</c:v>
                </c:pt>
                <c:pt idx="67">
                  <c:v>0.14031789524315638</c:v>
                </c:pt>
                <c:pt idx="68">
                  <c:v>0.15616449948445202</c:v>
                </c:pt>
                <c:pt idx="69">
                  <c:v>0.17368010561453595</c:v>
                </c:pt>
                <c:pt idx="70">
                  <c:v>0.1932377110918278</c:v>
                </c:pt>
                <c:pt idx="71">
                  <c:v>0.2141267437183754</c:v>
                </c:pt>
                <c:pt idx="72">
                  <c:v>0.23675862633438854</c:v>
                </c:pt>
                <c:pt idx="73">
                  <c:v>0.25944639909613121</c:v>
                </c:pt>
                <c:pt idx="74">
                  <c:v>0.28423951723840685</c:v>
                </c:pt>
                <c:pt idx="75">
                  <c:v>0.30797015689272245</c:v>
                </c:pt>
                <c:pt idx="76">
                  <c:v>0.32931096698844947</c:v>
                </c:pt>
                <c:pt idx="77">
                  <c:v>0.34911922954287794</c:v>
                </c:pt>
                <c:pt idx="78">
                  <c:v>0.36919094312942186</c:v>
                </c:pt>
                <c:pt idx="79">
                  <c:v>0.39049081837146365</c:v>
                </c:pt>
                <c:pt idx="80">
                  <c:v>0.41138735040246033</c:v>
                </c:pt>
                <c:pt idx="81">
                  <c:v>0.43186966000899435</c:v>
                </c:pt>
                <c:pt idx="82">
                  <c:v>0.45458261452339388</c:v>
                </c:pt>
                <c:pt idx="83">
                  <c:v>0.47621539369600774</c:v>
                </c:pt>
                <c:pt idx="84">
                  <c:v>0.49853054614539594</c:v>
                </c:pt>
                <c:pt idx="85">
                  <c:v>0.52123288254750011</c:v>
                </c:pt>
                <c:pt idx="86">
                  <c:v>0.54427412820598275</c:v>
                </c:pt>
                <c:pt idx="87">
                  <c:v>0.56645083903823024</c:v>
                </c:pt>
                <c:pt idx="88">
                  <c:v>0.58855682047764679</c:v>
                </c:pt>
                <c:pt idx="89">
                  <c:v>0.6085693511432001</c:v>
                </c:pt>
                <c:pt idx="90">
                  <c:v>0.62908905623265421</c:v>
                </c:pt>
                <c:pt idx="91">
                  <c:v>0.64865626442898927</c:v>
                </c:pt>
                <c:pt idx="92">
                  <c:v>0.66753213487669394</c:v>
                </c:pt>
                <c:pt idx="93">
                  <c:v>0.68525353220778118</c:v>
                </c:pt>
                <c:pt idx="94">
                  <c:v>0.70287391241588348</c:v>
                </c:pt>
                <c:pt idx="95">
                  <c:v>0.71816399412121723</c:v>
                </c:pt>
                <c:pt idx="96">
                  <c:v>0.73498122727799431</c:v>
                </c:pt>
                <c:pt idx="97">
                  <c:v>0.7492325326749999</c:v>
                </c:pt>
                <c:pt idx="98">
                  <c:v>0.7638158426542685</c:v>
                </c:pt>
                <c:pt idx="99">
                  <c:v>0.77714540306808144</c:v>
                </c:pt>
                <c:pt idx="100">
                  <c:v>0.78863356232448523</c:v>
                </c:pt>
                <c:pt idx="101">
                  <c:v>0.80048349169106192</c:v>
                </c:pt>
                <c:pt idx="102">
                  <c:v>0.81010999994748234</c:v>
                </c:pt>
                <c:pt idx="103">
                  <c:v>0.82021786262795948</c:v>
                </c:pt>
                <c:pt idx="104">
                  <c:v>0.82770241332429295</c:v>
                </c:pt>
                <c:pt idx="105">
                  <c:v>0.83605254325134959</c:v>
                </c:pt>
                <c:pt idx="106">
                  <c:v>0.8423970684264841</c:v>
                </c:pt>
                <c:pt idx="107">
                  <c:v>0.84998890267273086</c:v>
                </c:pt>
                <c:pt idx="108">
                  <c:v>0.85287795757661666</c:v>
                </c:pt>
                <c:pt idx="109">
                  <c:v>0.8614132372104194</c:v>
                </c:pt>
                <c:pt idx="110">
                  <c:v>0.86592587691348022</c:v>
                </c:pt>
                <c:pt idx="111">
                  <c:v>0.87078299603018938</c:v>
                </c:pt>
                <c:pt idx="112">
                  <c:v>0.87634555235611766</c:v>
                </c:pt>
                <c:pt idx="113">
                  <c:v>0.87715310911528144</c:v>
                </c:pt>
                <c:pt idx="114">
                  <c:v>0.88446353437446512</c:v>
                </c:pt>
                <c:pt idx="115">
                  <c:v>0.885631526726956</c:v>
                </c:pt>
                <c:pt idx="116">
                  <c:v>0.885631526726956</c:v>
                </c:pt>
                <c:pt idx="117">
                  <c:v>0.89001802557684673</c:v>
                </c:pt>
                <c:pt idx="118">
                  <c:v>0.89368823701533684</c:v>
                </c:pt>
              </c:numCache>
            </c:numRef>
          </c:xVal>
          <c:yVal>
            <c:numRef>
              <c:f>Table!$A$18:$A$136</c:f>
              <c:numCache>
                <c:formatCode>????0.00</c:formatCode>
                <c:ptCount val="119"/>
                <c:pt idx="0">
                  <c:v>1.4875617027282715</c:v>
                </c:pt>
                <c:pt idx="1">
                  <c:v>1.578770637512207</c:v>
                </c:pt>
                <c:pt idx="2">
                  <c:v>1.78700852394104</c:v>
                </c:pt>
                <c:pt idx="3">
                  <c:v>1.9792587757110596</c:v>
                </c:pt>
                <c:pt idx="4">
                  <c:v>2.1449697017669678</c:v>
                </c:pt>
                <c:pt idx="5">
                  <c:v>2.3301055431365967</c:v>
                </c:pt>
                <c:pt idx="6">
                  <c:v>2.5675208568572998</c:v>
                </c:pt>
                <c:pt idx="7">
                  <c:v>2.7994999885559082</c:v>
                </c:pt>
                <c:pt idx="8">
                  <c:v>3.0819201469421387</c:v>
                </c:pt>
                <c:pt idx="9">
                  <c:v>3.3731334209442139</c:v>
                </c:pt>
                <c:pt idx="10">
                  <c:v>3.67337965965271</c:v>
                </c:pt>
                <c:pt idx="11">
                  <c:v>4.0172719955444336</c:v>
                </c:pt>
                <c:pt idx="12">
                  <c:v>4.3940186500549316</c:v>
                </c:pt>
                <c:pt idx="13">
                  <c:v>4.8040194511413574</c:v>
                </c:pt>
                <c:pt idx="14">
                  <c:v>5.2533493041992187</c:v>
                </c:pt>
                <c:pt idx="15">
                  <c:v>5.7564778327941895</c:v>
                </c:pt>
                <c:pt idx="16">
                  <c:v>6.2886233329772949</c:v>
                </c:pt>
                <c:pt idx="17">
                  <c:v>6.8796830177307129</c:v>
                </c:pt>
                <c:pt idx="18">
                  <c:v>7.5385303497314453</c:v>
                </c:pt>
                <c:pt idx="19">
                  <c:v>8.2331094741821289</c:v>
                </c:pt>
                <c:pt idx="20">
                  <c:v>9.0138616561889648</c:v>
                </c:pt>
                <c:pt idx="21">
                  <c:v>9.8675165176391602</c:v>
                </c:pt>
                <c:pt idx="22">
                  <c:v>10.777927398681641</c:v>
                </c:pt>
                <c:pt idx="23">
                  <c:v>11.872514724731445</c:v>
                </c:pt>
                <c:pt idx="24">
                  <c:v>12.863264083862305</c:v>
                </c:pt>
                <c:pt idx="25">
                  <c:v>14.165449142456055</c:v>
                </c:pt>
                <c:pt idx="26">
                  <c:v>15.458123207092285</c:v>
                </c:pt>
                <c:pt idx="27">
                  <c:v>16.863029479980469</c:v>
                </c:pt>
                <c:pt idx="28">
                  <c:v>18.45722770690918</c:v>
                </c:pt>
                <c:pt idx="29">
                  <c:v>20.289402008056641</c:v>
                </c:pt>
                <c:pt idx="30">
                  <c:v>22.192638397216797</c:v>
                </c:pt>
                <c:pt idx="31">
                  <c:v>24.259510040283203</c:v>
                </c:pt>
                <c:pt idx="32">
                  <c:v>26.577785491943359</c:v>
                </c:pt>
                <c:pt idx="33">
                  <c:v>28.987348556518555</c:v>
                </c:pt>
                <c:pt idx="34">
                  <c:v>31.239780426025391</c:v>
                </c:pt>
                <c:pt idx="35">
                  <c:v>33.817226409912109</c:v>
                </c:pt>
                <c:pt idx="36">
                  <c:v>36.967498779296875</c:v>
                </c:pt>
                <c:pt idx="37">
                  <c:v>40.262863159179688</c:v>
                </c:pt>
                <c:pt idx="38">
                  <c:v>44.694664001464844</c:v>
                </c:pt>
                <c:pt idx="39">
                  <c:v>48.893833160400391</c:v>
                </c:pt>
                <c:pt idx="40">
                  <c:v>53.189075469970703</c:v>
                </c:pt>
                <c:pt idx="41">
                  <c:v>58.711719512939453</c:v>
                </c:pt>
                <c:pt idx="42">
                  <c:v>64.258491516113281</c:v>
                </c:pt>
                <c:pt idx="43">
                  <c:v>70.012466430664063</c:v>
                </c:pt>
                <c:pt idx="44">
                  <c:v>76.806266784667969</c:v>
                </c:pt>
                <c:pt idx="45">
                  <c:v>83.978050231933594</c:v>
                </c:pt>
                <c:pt idx="46">
                  <c:v>92.704200744628906</c:v>
                </c:pt>
                <c:pt idx="47">
                  <c:v>101.15297698974609</c:v>
                </c:pt>
                <c:pt idx="48">
                  <c:v>110.56392669677734</c:v>
                </c:pt>
                <c:pt idx="49">
                  <c:v>121.10307312011719</c:v>
                </c:pt>
                <c:pt idx="50">
                  <c:v>132.95259094238281</c:v>
                </c:pt>
                <c:pt idx="51">
                  <c:v>144.81080627441406</c:v>
                </c:pt>
                <c:pt idx="52">
                  <c:v>158.7789306640625</c:v>
                </c:pt>
                <c:pt idx="53">
                  <c:v>174.09222412109375</c:v>
                </c:pt>
                <c:pt idx="54">
                  <c:v>189.58242797851563</c:v>
                </c:pt>
                <c:pt idx="55">
                  <c:v>207.97232055664062</c:v>
                </c:pt>
                <c:pt idx="56">
                  <c:v>228.11825561523437</c:v>
                </c:pt>
                <c:pt idx="57">
                  <c:v>249.79278564453125</c:v>
                </c:pt>
                <c:pt idx="58">
                  <c:v>272.95736694335937</c:v>
                </c:pt>
                <c:pt idx="59">
                  <c:v>298.9415283203125</c:v>
                </c:pt>
                <c:pt idx="60">
                  <c:v>327.3248291015625</c:v>
                </c:pt>
                <c:pt idx="61">
                  <c:v>357.56301879882813</c:v>
                </c:pt>
                <c:pt idx="62">
                  <c:v>391.5322265625</c:v>
                </c:pt>
                <c:pt idx="63">
                  <c:v>428.71188354492187</c:v>
                </c:pt>
                <c:pt idx="64">
                  <c:v>468.73846435546875</c:v>
                </c:pt>
                <c:pt idx="65">
                  <c:v>512.8153076171875</c:v>
                </c:pt>
                <c:pt idx="66">
                  <c:v>561.565185546875</c:v>
                </c:pt>
                <c:pt idx="67">
                  <c:v>613.69580078125</c:v>
                </c:pt>
                <c:pt idx="68">
                  <c:v>671.80218505859375</c:v>
                </c:pt>
                <c:pt idx="69">
                  <c:v>734.7557373046875</c:v>
                </c:pt>
                <c:pt idx="70">
                  <c:v>804.91033935546875</c:v>
                </c:pt>
                <c:pt idx="71">
                  <c:v>879.7520751953125</c:v>
                </c:pt>
                <c:pt idx="72">
                  <c:v>962.3004150390625</c:v>
                </c:pt>
                <c:pt idx="73">
                  <c:v>1048.3892822265625</c:v>
                </c:pt>
                <c:pt idx="74">
                  <c:v>1148.697509765625</c:v>
                </c:pt>
                <c:pt idx="75">
                  <c:v>1258.5577392578125</c:v>
                </c:pt>
                <c:pt idx="76">
                  <c:v>1379.0098876953125</c:v>
                </c:pt>
                <c:pt idx="77">
                  <c:v>1508.828369140625</c:v>
                </c:pt>
                <c:pt idx="78">
                  <c:v>1648.2332763671875</c:v>
                </c:pt>
                <c:pt idx="79">
                  <c:v>1808.6734619140625</c:v>
                </c:pt>
                <c:pt idx="80">
                  <c:v>1978.3828125</c:v>
                </c:pt>
                <c:pt idx="81">
                  <c:v>2159.028564453125</c:v>
                </c:pt>
                <c:pt idx="82">
                  <c:v>2368.3857421875</c:v>
                </c:pt>
                <c:pt idx="83">
                  <c:v>2587.763427734375</c:v>
                </c:pt>
                <c:pt idx="84">
                  <c:v>2827.939208984375</c:v>
                </c:pt>
                <c:pt idx="85">
                  <c:v>3097.396240234375</c:v>
                </c:pt>
                <c:pt idx="86">
                  <c:v>3388.814453125</c:v>
                </c:pt>
                <c:pt idx="87">
                  <c:v>3707.537353515625</c:v>
                </c:pt>
                <c:pt idx="88">
                  <c:v>4057.7587890625</c:v>
                </c:pt>
                <c:pt idx="89">
                  <c:v>4431.99609375</c:v>
                </c:pt>
                <c:pt idx="90">
                  <c:v>4843.06396484375</c:v>
                </c:pt>
                <c:pt idx="91">
                  <c:v>5306.32373046875</c:v>
                </c:pt>
                <c:pt idx="92">
                  <c:v>5805.294921875</c:v>
                </c:pt>
                <c:pt idx="93">
                  <c:v>6355.92578125</c:v>
                </c:pt>
                <c:pt idx="94">
                  <c:v>6945.337890625</c:v>
                </c:pt>
                <c:pt idx="95">
                  <c:v>7603.8349609375</c:v>
                </c:pt>
                <c:pt idx="96">
                  <c:v>8315.7490234375</c:v>
                </c:pt>
                <c:pt idx="97">
                  <c:v>9096.1240234375</c:v>
                </c:pt>
                <c:pt idx="98">
                  <c:v>9955.2470703125</c:v>
                </c:pt>
                <c:pt idx="99">
                  <c:v>10895.119140625</c:v>
                </c:pt>
                <c:pt idx="100">
                  <c:v>11895.705078125</c:v>
                </c:pt>
                <c:pt idx="101">
                  <c:v>12995.5126953125</c:v>
                </c:pt>
                <c:pt idx="102">
                  <c:v>14294.7763671875</c:v>
                </c:pt>
                <c:pt idx="103">
                  <c:v>15594.064453125</c:v>
                </c:pt>
                <c:pt idx="104">
                  <c:v>17093.576171875</c:v>
                </c:pt>
                <c:pt idx="105">
                  <c:v>18694.490234375</c:v>
                </c:pt>
                <c:pt idx="106">
                  <c:v>20394.45703125</c:v>
                </c:pt>
                <c:pt idx="107">
                  <c:v>22295.658203125</c:v>
                </c:pt>
                <c:pt idx="108">
                  <c:v>24396.892578125</c:v>
                </c:pt>
                <c:pt idx="109">
                  <c:v>26696.6328125</c:v>
                </c:pt>
                <c:pt idx="110">
                  <c:v>29296.95703125</c:v>
                </c:pt>
                <c:pt idx="111">
                  <c:v>31997.15625</c:v>
                </c:pt>
                <c:pt idx="112">
                  <c:v>34997.28515625</c:v>
                </c:pt>
                <c:pt idx="113">
                  <c:v>38297.47265625</c:v>
                </c:pt>
                <c:pt idx="114">
                  <c:v>41897.87890625</c:v>
                </c:pt>
                <c:pt idx="115">
                  <c:v>45795.41796875</c:v>
                </c:pt>
                <c:pt idx="116">
                  <c:v>50091.86328125</c:v>
                </c:pt>
                <c:pt idx="117">
                  <c:v>54784.29296875</c:v>
                </c:pt>
                <c:pt idx="118">
                  <c:v>59484.4140625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975936"/>
        <c:axId val="102007168"/>
      </c:scatterChart>
      <c:valAx>
        <c:axId val="101975936"/>
        <c:scaling>
          <c:orientation val="maxMin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title>
          <c:tx>
            <c:rich>
              <a:bodyPr/>
              <a:lstStyle/>
              <a:p>
                <a:pPr algn="r">
                  <a:defRPr/>
                </a:pPr>
                <a:r>
                  <a:rPr lang="en-US" sz="700" b="0"/>
                  <a:t>Mercury Saturation</a:t>
                </a:r>
              </a:p>
            </c:rich>
          </c:tx>
          <c:layout>
            <c:manualLayout>
              <c:xMode val="edge"/>
              <c:yMode val="edge"/>
              <c:x val="0.39370372327620123"/>
              <c:y val="0.9364548771026263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600"/>
            </a:pPr>
            <a:endParaRPr lang="en-US"/>
          </a:p>
        </c:txPr>
        <c:crossAx val="102007168"/>
        <c:crossesAt val="1.0000000000000041E-3"/>
        <c:crossBetween val="midCat"/>
        <c:majorUnit val="0.2"/>
        <c:minorUnit val="0.1"/>
      </c:valAx>
      <c:valAx>
        <c:axId val="102007168"/>
        <c:scaling>
          <c:logBase val="10"/>
          <c:orientation val="minMax"/>
          <c:max val="100000"/>
          <c:min val="0.1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/>
                  <a:t>Injection Pressure, psia</a:t>
                </a:r>
              </a:p>
            </c:rich>
          </c:tx>
          <c:layout>
            <c:manualLayout>
              <c:xMode val="edge"/>
              <c:yMode val="edge"/>
              <c:x val="1.7605633802816906E-2"/>
              <c:y val="0.337792642140472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600"/>
            </a:pPr>
            <a:endParaRPr lang="en-US"/>
          </a:p>
        </c:txPr>
        <c:crossAx val="101975936"/>
        <c:crosses val="max"/>
        <c:crossBetween val="midCat"/>
        <c:majorUnit val="10"/>
        <c:minorUnit val="10"/>
      </c:valAx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3175">
      <a:solidFill>
        <a:schemeClr val="dk1"/>
      </a:solidFill>
    </a:ln>
  </c:spPr>
  <c:txPr>
    <a:bodyPr/>
    <a:lstStyle/>
    <a:p>
      <a:pPr>
        <a:defRPr sz="575">
          <a:solidFill>
            <a:srgbClr val="000000"/>
          </a:solidFill>
          <a:latin typeface="Arial"/>
        </a:defRPr>
      </a:pPr>
      <a:endParaRPr lang="en-US"/>
    </a:p>
  </c:txPr>
  <c:printSettings>
    <c:headerFooter/>
    <c:pageMargins b="1" l="0.75000000000000921" r="0.75000000000000921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14041119369915644"/>
          <c:y val="5.3511705685618735E-2"/>
          <c:w val="0.71747821581027194"/>
          <c:h val="0.81040704360115523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660066"/>
              </a:solidFill>
            </a:ln>
          </c:spPr>
          <c:marker>
            <c:symbol val="circle"/>
            <c:size val="5"/>
            <c:spPr>
              <a:solidFill>
                <a:srgbClr val="660066"/>
              </a:solidFill>
              <a:ln>
                <a:solidFill>
                  <a:srgbClr val="660066"/>
                </a:solidFill>
              </a:ln>
            </c:spPr>
          </c:marker>
          <c:xVal>
            <c:numRef>
              <c:f>Table!$C$18:$C$136</c:f>
              <c:numCache>
                <c:formatCode>0.000</c:formatCode>
                <c:ptCount val="11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0.99942518225347443</c:v>
                </c:pt>
                <c:pt idx="40">
                  <c:v>0.99858493345799137</c:v>
                </c:pt>
                <c:pt idx="41">
                  <c:v>0.99779916051049378</c:v>
                </c:pt>
                <c:pt idx="42">
                  <c:v>0.99674684864747232</c:v>
                </c:pt>
                <c:pt idx="43">
                  <c:v>0.99571345573658365</c:v>
                </c:pt>
                <c:pt idx="44">
                  <c:v>0.99427414849387896</c:v>
                </c:pt>
                <c:pt idx="45">
                  <c:v>0.99278219311104299</c:v>
                </c:pt>
                <c:pt idx="46">
                  <c:v>0.99113722884430033</c:v>
                </c:pt>
                <c:pt idx="47">
                  <c:v>0.98859067877682749</c:v>
                </c:pt>
                <c:pt idx="48">
                  <c:v>0.98520320177623533</c:v>
                </c:pt>
                <c:pt idx="49">
                  <c:v>0.98100852159091545</c:v>
                </c:pt>
                <c:pt idx="50">
                  <c:v>0.97692055923641119</c:v>
                </c:pt>
                <c:pt idx="51">
                  <c:v>0.97389381700751498</c:v>
                </c:pt>
                <c:pt idx="52">
                  <c:v>0.97040127037693991</c:v>
                </c:pt>
                <c:pt idx="53">
                  <c:v>0.96630515586518151</c:v>
                </c:pt>
                <c:pt idx="54">
                  <c:v>0.96224805421273796</c:v>
                </c:pt>
                <c:pt idx="55">
                  <c:v>0.95818499437774607</c:v>
                </c:pt>
                <c:pt idx="56">
                  <c:v>0.95414839641618987</c:v>
                </c:pt>
                <c:pt idx="57">
                  <c:v>0.94929694174326673</c:v>
                </c:pt>
                <c:pt idx="58">
                  <c:v>0.94462864225462972</c:v>
                </c:pt>
                <c:pt idx="59">
                  <c:v>0.93940015030870472</c:v>
                </c:pt>
                <c:pt idx="60">
                  <c:v>0.9335882859281035</c:v>
                </c:pt>
                <c:pt idx="61">
                  <c:v>0.92679807564330352</c:v>
                </c:pt>
                <c:pt idx="62">
                  <c:v>0.91850144243502463</c:v>
                </c:pt>
                <c:pt idx="63">
                  <c:v>0.90903740435177949</c:v>
                </c:pt>
                <c:pt idx="64">
                  <c:v>0.89853851372984561</c:v>
                </c:pt>
                <c:pt idx="65">
                  <c:v>0.88687594617674315</c:v>
                </c:pt>
                <c:pt idx="66">
                  <c:v>0.87376559466048165</c:v>
                </c:pt>
                <c:pt idx="67">
                  <c:v>0.85968210475684359</c:v>
                </c:pt>
                <c:pt idx="68">
                  <c:v>0.84383550051554801</c:v>
                </c:pt>
                <c:pt idx="69">
                  <c:v>0.82631989438546405</c:v>
                </c:pt>
                <c:pt idx="70">
                  <c:v>0.80676228890817225</c:v>
                </c:pt>
                <c:pt idx="71">
                  <c:v>0.78587325628162463</c:v>
                </c:pt>
                <c:pt idx="72">
                  <c:v>0.7632413736656114</c:v>
                </c:pt>
                <c:pt idx="73">
                  <c:v>0.74055360090386879</c:v>
                </c:pt>
                <c:pt idx="74">
                  <c:v>0.7157604827615931</c:v>
                </c:pt>
                <c:pt idx="75">
                  <c:v>0.69202984310727755</c:v>
                </c:pt>
                <c:pt idx="76">
                  <c:v>0.67068903301155047</c:v>
                </c:pt>
                <c:pt idx="77">
                  <c:v>0.650880770457122</c:v>
                </c:pt>
                <c:pt idx="78">
                  <c:v>0.6308090568705782</c:v>
                </c:pt>
                <c:pt idx="79">
                  <c:v>0.60950918162853629</c:v>
                </c:pt>
                <c:pt idx="80">
                  <c:v>0.58861264959753967</c:v>
                </c:pt>
                <c:pt idx="81">
                  <c:v>0.5681303399910056</c:v>
                </c:pt>
                <c:pt idx="82">
                  <c:v>0.54541738547660612</c:v>
                </c:pt>
                <c:pt idx="83">
                  <c:v>0.52378460630399226</c:v>
                </c:pt>
                <c:pt idx="84">
                  <c:v>0.50146945385460406</c:v>
                </c:pt>
                <c:pt idx="85">
                  <c:v>0.47876711745249989</c:v>
                </c:pt>
                <c:pt idx="86">
                  <c:v>0.45572587179401725</c:v>
                </c:pt>
                <c:pt idx="87">
                  <c:v>0.43354916096176976</c:v>
                </c:pt>
                <c:pt idx="88">
                  <c:v>0.41144317952235321</c:v>
                </c:pt>
                <c:pt idx="89">
                  <c:v>0.3914306488567999</c:v>
                </c:pt>
                <c:pt idx="90">
                  <c:v>0.37091094376734579</c:v>
                </c:pt>
                <c:pt idx="91">
                  <c:v>0.35134373557101073</c:v>
                </c:pt>
                <c:pt idx="92">
                  <c:v>0.33246786512330606</c:v>
                </c:pt>
                <c:pt idx="93">
                  <c:v>0.31474646779221882</c:v>
                </c:pt>
                <c:pt idx="94">
                  <c:v>0.29712608758411652</c:v>
                </c:pt>
                <c:pt idx="95">
                  <c:v>0.28183600587878277</c:v>
                </c:pt>
                <c:pt idx="96">
                  <c:v>0.26501877272200569</c:v>
                </c:pt>
                <c:pt idx="97">
                  <c:v>0.2507674673250001</c:v>
                </c:pt>
                <c:pt idx="98">
                  <c:v>0.2361841573457315</c:v>
                </c:pt>
                <c:pt idx="99">
                  <c:v>0.22285459693191856</c:v>
                </c:pt>
                <c:pt idx="100">
                  <c:v>0.21136643767551477</c:v>
                </c:pt>
                <c:pt idx="101">
                  <c:v>0.19951650830893808</c:v>
                </c:pt>
                <c:pt idx="102">
                  <c:v>0.18989000005251766</c:v>
                </c:pt>
                <c:pt idx="103">
                  <c:v>0.17978213737204052</c:v>
                </c:pt>
                <c:pt idx="104">
                  <c:v>0.17229758667570705</c:v>
                </c:pt>
                <c:pt idx="105">
                  <c:v>0.16394745674865041</c:v>
                </c:pt>
                <c:pt idx="106">
                  <c:v>0.1576029315735159</c:v>
                </c:pt>
                <c:pt idx="107">
                  <c:v>0.15001109732726914</c:v>
                </c:pt>
                <c:pt idx="108">
                  <c:v>0.14712204242338334</c:v>
                </c:pt>
                <c:pt idx="109">
                  <c:v>0.1385867627895806</c:v>
                </c:pt>
                <c:pt idx="110">
                  <c:v>0.13407412308651978</c:v>
                </c:pt>
                <c:pt idx="111">
                  <c:v>0.12921700396981062</c:v>
                </c:pt>
                <c:pt idx="112">
                  <c:v>0.12365444764388234</c:v>
                </c:pt>
                <c:pt idx="113">
                  <c:v>0.12284689088471856</c:v>
                </c:pt>
                <c:pt idx="114">
                  <c:v>0.11553646562553488</c:v>
                </c:pt>
                <c:pt idx="115">
                  <c:v>0.114368473273044</c:v>
                </c:pt>
                <c:pt idx="116">
                  <c:v>0.114368473273044</c:v>
                </c:pt>
                <c:pt idx="117">
                  <c:v>0.10998197442315327</c:v>
                </c:pt>
                <c:pt idx="118">
                  <c:v>0.10631176298466316</c:v>
                </c:pt>
              </c:numCache>
            </c:numRef>
          </c:xVal>
          <c:yVal>
            <c:numRef>
              <c:f>Table!$L$18:$L$136</c:f>
              <c:numCache>
                <c:formatCode>????0.00</c:formatCode>
                <c:ptCount val="119"/>
                <c:pt idx="0">
                  <c:v>0.28027045836105474</c:v>
                </c:pt>
                <c:pt idx="1">
                  <c:v>0.29745506987103976</c:v>
                </c:pt>
                <c:pt idx="2">
                  <c:v>0.33668902418063607</c:v>
                </c:pt>
                <c:pt idx="3">
                  <c:v>0.37291075944364316</c:v>
                </c:pt>
                <c:pt idx="4">
                  <c:v>0.40413223893988426</c:v>
                </c:pt>
                <c:pt idx="5">
                  <c:v>0.43901355312306051</c:v>
                </c:pt>
                <c:pt idx="6">
                  <c:v>0.48374480606967513</c:v>
                </c:pt>
                <c:pt idx="7">
                  <c:v>0.52745183176959998</c:v>
                </c:pt>
                <c:pt idx="8">
                  <c:v>0.58066241597335944</c:v>
                </c:pt>
                <c:pt idx="9">
                  <c:v>0.63552970493064576</c:v>
                </c:pt>
                <c:pt idx="10">
                  <c:v>0.69209888844059819</c:v>
                </c:pt>
                <c:pt idx="11">
                  <c:v>0.75689140254636977</c:v>
                </c:pt>
                <c:pt idx="12">
                  <c:v>0.8278739758083673</c:v>
                </c:pt>
                <c:pt idx="13">
                  <c:v>0.90512193953191489</c:v>
                </c:pt>
                <c:pt idx="14">
                  <c:v>0.98977986238705584</c:v>
                </c:pt>
                <c:pt idx="15">
                  <c:v>1.0845739560137009</c:v>
                </c:pt>
                <c:pt idx="16">
                  <c:v>1.1848351169306244</c:v>
                </c:pt>
                <c:pt idx="17">
                  <c:v>1.2961962580925388</c:v>
                </c:pt>
                <c:pt idx="18">
                  <c:v>1.4203292223864803</c:v>
                </c:pt>
                <c:pt idx="19">
                  <c:v>1.551194388665484</c:v>
                </c:pt>
                <c:pt idx="20">
                  <c:v>1.6982953603536621</c:v>
                </c:pt>
                <c:pt idx="21">
                  <c:v>1.8591318748067993</c:v>
                </c:pt>
                <c:pt idx="22">
                  <c:v>2.030661751153231</c:v>
                </c:pt>
                <c:pt idx="23">
                  <c:v>2.2368921824862826</c:v>
                </c:pt>
                <c:pt idx="24">
                  <c:v>2.4235585752115392</c:v>
                </c:pt>
                <c:pt idx="25">
                  <c:v>2.6689023499091689</c:v>
                </c:pt>
                <c:pt idx="26">
                  <c:v>2.9124541648977966</c:v>
                </c:pt>
                <c:pt idx="27">
                  <c:v>3.1771515716235315</c:v>
                </c:pt>
                <c:pt idx="28">
                  <c:v>3.4775133428093734</c:v>
                </c:pt>
                <c:pt idx="29">
                  <c:v>3.8227120194344497</c:v>
                </c:pt>
                <c:pt idx="30">
                  <c:v>4.1812994542823834</c:v>
                </c:pt>
                <c:pt idx="31">
                  <c:v>4.5707172926908681</c:v>
                </c:pt>
                <c:pt idx="32">
                  <c:v>5.0075019465659345</c:v>
                </c:pt>
                <c:pt idx="33">
                  <c:v>5.4614860356425527</c:v>
                </c:pt>
                <c:pt idx="34">
                  <c:v>5.8858651463281175</c:v>
                </c:pt>
                <c:pt idx="35">
                  <c:v>6.3714799386287675</c:v>
                </c:pt>
                <c:pt idx="36">
                  <c:v>6.9650205489512125</c:v>
                </c:pt>
                <c:pt idx="37">
                  <c:v>7.585897843333373</c:v>
                </c:pt>
                <c:pt idx="38">
                  <c:v>8.4208903355130804</c:v>
                </c:pt>
                <c:pt idx="39">
                  <c:v>9.2120528551934164</c:v>
                </c:pt>
                <c:pt idx="40">
                  <c:v>10.021316449884768</c:v>
                </c:pt>
                <c:pt idx="41">
                  <c:v>11.061833945360071</c:v>
                </c:pt>
                <c:pt idx="42">
                  <c:v>12.106897372915768</c:v>
                </c:pt>
                <c:pt idx="43">
                  <c:v>13.190999755856543</c:v>
                </c:pt>
                <c:pt idx="44">
                  <c:v>14.471014921437872</c:v>
                </c:pt>
                <c:pt idx="45">
                  <c:v>15.822245616840179</c:v>
                </c:pt>
                <c:pt idx="46">
                  <c:v>17.466333522192375</c:v>
                </c:pt>
                <c:pt idx="47">
                  <c:v>19.058161536093273</c:v>
                </c:pt>
                <c:pt idx="48">
                  <c:v>20.831271977942478</c:v>
                </c:pt>
                <c:pt idx="49">
                  <c:v>22.816945172799723</c:v>
                </c:pt>
                <c:pt idx="50">
                  <c:v>25.04950452500195</c:v>
                </c:pt>
                <c:pt idx="51">
                  <c:v>27.28370256892644</c:v>
                </c:pt>
                <c:pt idx="52">
                  <c:v>29.915427100386839</c:v>
                </c:pt>
                <c:pt idx="53">
                  <c:v>32.800593993530143</c:v>
                </c:pt>
                <c:pt idx="54">
                  <c:v>35.719092451283764</c:v>
                </c:pt>
                <c:pt idx="55">
                  <c:v>39.183919229647756</c:v>
                </c:pt>
                <c:pt idx="56">
                  <c:v>42.979600741633753</c:v>
                </c:pt>
                <c:pt idx="57">
                  <c:v>47.063283761255782</c:v>
                </c:pt>
                <c:pt idx="58">
                  <c:v>51.427706296776257</c:v>
                </c:pt>
                <c:pt idx="59">
                  <c:v>56.323363939675765</c:v>
                </c:pt>
                <c:pt idx="60">
                  <c:v>61.671041757120719</c:v>
                </c:pt>
                <c:pt idx="61">
                  <c:v>67.368197895866274</c:v>
                </c:pt>
                <c:pt idx="62">
                  <c:v>73.768312534892644</c:v>
                </c:pt>
                <c:pt idx="63">
                  <c:v>80.773305662275973</c:v>
                </c:pt>
                <c:pt idx="64">
                  <c:v>88.314685713821291</c:v>
                </c:pt>
                <c:pt idx="65">
                  <c:v>96.619172876547637</c:v>
                </c:pt>
                <c:pt idx="66">
                  <c:v>105.80410322756433</c:v>
                </c:pt>
                <c:pt idx="67">
                  <c:v>115.62599592592116</c:v>
                </c:pt>
                <c:pt idx="68">
                  <c:v>126.57377908358528</c:v>
                </c:pt>
                <c:pt idx="69">
                  <c:v>138.43481376275804</c:v>
                </c:pt>
                <c:pt idx="70">
                  <c:v>151.65259319123362</c:v>
                </c:pt>
                <c:pt idx="71">
                  <c:v>165.75347221352825</c:v>
                </c:pt>
                <c:pt idx="72">
                  <c:v>181.30634709765539</c:v>
                </c:pt>
                <c:pt idx="73">
                  <c:v>197.52629025844811</c:v>
                </c:pt>
                <c:pt idx="74">
                  <c:v>216.42529314229245</c:v>
                </c:pt>
                <c:pt idx="75">
                  <c:v>237.1239820228642</c:v>
                </c:pt>
                <c:pt idx="76">
                  <c:v>259.81828693219046</c:v>
                </c:pt>
                <c:pt idx="77">
                  <c:v>284.2772960823205</c:v>
                </c:pt>
                <c:pt idx="78">
                  <c:v>310.54247699852078</c:v>
                </c:pt>
                <c:pt idx="79">
                  <c:v>340.77089996765477</c:v>
                </c:pt>
                <c:pt idx="80">
                  <c:v>372.74571982866735</c:v>
                </c:pt>
                <c:pt idx="81">
                  <c:v>406.78105941022693</c:v>
                </c:pt>
                <c:pt idx="82">
                  <c:v>446.22589861062704</c:v>
                </c:pt>
                <c:pt idx="83">
                  <c:v>487.55869466852698</c:v>
                </c:pt>
                <c:pt idx="84">
                  <c:v>532.81004536860485</c:v>
                </c:pt>
                <c:pt idx="85">
                  <c:v>583.57825586941101</c:v>
                </c:pt>
                <c:pt idx="86">
                  <c:v>638.4841572191275</c:v>
                </c:pt>
                <c:pt idx="87">
                  <c:v>698.53451561354677</c:v>
                </c:pt>
                <c:pt idx="88">
                  <c:v>764.51949095175587</c:v>
                </c:pt>
                <c:pt idx="89">
                  <c:v>835.02927937142374</c:v>
                </c:pt>
                <c:pt idx="90">
                  <c:v>912.4782890075594</c:v>
                </c:pt>
                <c:pt idx="91">
                  <c:v>999.7607369314494</c:v>
                </c:pt>
                <c:pt idx="92">
                  <c:v>1093.7715495706188</c:v>
                </c:pt>
                <c:pt idx="93">
                  <c:v>1197.5155240637312</c:v>
                </c:pt>
                <c:pt idx="94">
                  <c:v>1308.5662467027389</c:v>
                </c:pt>
                <c:pt idx="95">
                  <c:v>1432.6332184373618</c:v>
                </c:pt>
                <c:pt idx="96">
                  <c:v>1566.7644482509618</c:v>
                </c:pt>
                <c:pt idx="97">
                  <c:v>1713.7943553414511</c:v>
                </c:pt>
                <c:pt idx="98">
                  <c:v>1875.661126779964</c:v>
                </c:pt>
                <c:pt idx="99">
                  <c:v>2052.7417651589394</c:v>
                </c:pt>
                <c:pt idx="100">
                  <c:v>2241.2614607241167</c:v>
                </c:pt>
                <c:pt idx="101">
                  <c:v>2448.4754434535621</c:v>
                </c:pt>
                <c:pt idx="102">
                  <c:v>2693.2688017259688</c:v>
                </c:pt>
                <c:pt idx="103">
                  <c:v>2938.0667598347891</c:v>
                </c:pt>
                <c:pt idx="104">
                  <c:v>3220.5887123434068</c:v>
                </c:pt>
                <c:pt idx="105">
                  <c:v>3522.2158094047336</c:v>
                </c:pt>
                <c:pt idx="106">
                  <c:v>3842.5053627623479</c:v>
                </c:pt>
                <c:pt idx="107">
                  <c:v>4200.7093437472731</c:v>
                </c:pt>
                <c:pt idx="108">
                  <c:v>4596.6014404079715</c:v>
                </c:pt>
                <c:pt idx="109">
                  <c:v>5029.8938869784242</c:v>
                </c:pt>
                <c:pt idx="110">
                  <c:v>5519.8191514832615</c:v>
                </c:pt>
                <c:pt idx="111">
                  <c:v>6028.5617947747878</c:v>
                </c:pt>
                <c:pt idx="112">
                  <c:v>6593.8139803848198</c:v>
                </c:pt>
                <c:pt idx="113">
                  <c:v>7215.5999954496219</c:v>
                </c:pt>
                <c:pt idx="114">
                  <c:v>7893.9500148960642</c:v>
                </c:pt>
                <c:pt idx="115">
                  <c:v>8628.2826194014997</c:v>
                </c:pt>
                <c:pt idx="116">
                  <c:v>9437.7728710321171</c:v>
                </c:pt>
                <c:pt idx="117">
                  <c:v>10321.87026136597</c:v>
                </c:pt>
                <c:pt idx="118">
                  <c:v>11207.416784163486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888768"/>
        <c:axId val="103903232"/>
      </c:scatterChart>
      <c:scatterChart>
        <c:scatterStyle val="lineMarker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xVal>
            <c:numRef>
              <c:f>Table!$C$18:$C$136</c:f>
              <c:numCache>
                <c:formatCode>0.000</c:formatCode>
                <c:ptCount val="11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0.99942518225347443</c:v>
                </c:pt>
                <c:pt idx="40">
                  <c:v>0.99858493345799137</c:v>
                </c:pt>
                <c:pt idx="41">
                  <c:v>0.99779916051049378</c:v>
                </c:pt>
                <c:pt idx="42">
                  <c:v>0.99674684864747232</c:v>
                </c:pt>
                <c:pt idx="43">
                  <c:v>0.99571345573658365</c:v>
                </c:pt>
                <c:pt idx="44">
                  <c:v>0.99427414849387896</c:v>
                </c:pt>
                <c:pt idx="45">
                  <c:v>0.99278219311104299</c:v>
                </c:pt>
                <c:pt idx="46">
                  <c:v>0.99113722884430033</c:v>
                </c:pt>
                <c:pt idx="47">
                  <c:v>0.98859067877682749</c:v>
                </c:pt>
                <c:pt idx="48">
                  <c:v>0.98520320177623533</c:v>
                </c:pt>
                <c:pt idx="49">
                  <c:v>0.98100852159091545</c:v>
                </c:pt>
                <c:pt idx="50">
                  <c:v>0.97692055923641119</c:v>
                </c:pt>
                <c:pt idx="51">
                  <c:v>0.97389381700751498</c:v>
                </c:pt>
                <c:pt idx="52">
                  <c:v>0.97040127037693991</c:v>
                </c:pt>
                <c:pt idx="53">
                  <c:v>0.96630515586518151</c:v>
                </c:pt>
                <c:pt idx="54">
                  <c:v>0.96224805421273796</c:v>
                </c:pt>
                <c:pt idx="55">
                  <c:v>0.95818499437774607</c:v>
                </c:pt>
                <c:pt idx="56">
                  <c:v>0.95414839641618987</c:v>
                </c:pt>
                <c:pt idx="57">
                  <c:v>0.94929694174326673</c:v>
                </c:pt>
                <c:pt idx="58">
                  <c:v>0.94462864225462972</c:v>
                </c:pt>
                <c:pt idx="59">
                  <c:v>0.93940015030870472</c:v>
                </c:pt>
                <c:pt idx="60">
                  <c:v>0.9335882859281035</c:v>
                </c:pt>
                <c:pt idx="61">
                  <c:v>0.92679807564330352</c:v>
                </c:pt>
                <c:pt idx="62">
                  <c:v>0.91850144243502463</c:v>
                </c:pt>
                <c:pt idx="63">
                  <c:v>0.90903740435177949</c:v>
                </c:pt>
                <c:pt idx="64">
                  <c:v>0.89853851372984561</c:v>
                </c:pt>
                <c:pt idx="65">
                  <c:v>0.88687594617674315</c:v>
                </c:pt>
                <c:pt idx="66">
                  <c:v>0.87376559466048165</c:v>
                </c:pt>
                <c:pt idx="67">
                  <c:v>0.85968210475684359</c:v>
                </c:pt>
                <c:pt idx="68">
                  <c:v>0.84383550051554801</c:v>
                </c:pt>
                <c:pt idx="69">
                  <c:v>0.82631989438546405</c:v>
                </c:pt>
                <c:pt idx="70">
                  <c:v>0.80676228890817225</c:v>
                </c:pt>
                <c:pt idx="71">
                  <c:v>0.78587325628162463</c:v>
                </c:pt>
                <c:pt idx="72">
                  <c:v>0.7632413736656114</c:v>
                </c:pt>
                <c:pt idx="73">
                  <c:v>0.74055360090386879</c:v>
                </c:pt>
                <c:pt idx="74">
                  <c:v>0.7157604827615931</c:v>
                </c:pt>
                <c:pt idx="75">
                  <c:v>0.69202984310727755</c:v>
                </c:pt>
                <c:pt idx="76">
                  <c:v>0.67068903301155047</c:v>
                </c:pt>
                <c:pt idx="77">
                  <c:v>0.650880770457122</c:v>
                </c:pt>
                <c:pt idx="78">
                  <c:v>0.6308090568705782</c:v>
                </c:pt>
                <c:pt idx="79">
                  <c:v>0.60950918162853629</c:v>
                </c:pt>
                <c:pt idx="80">
                  <c:v>0.58861264959753967</c:v>
                </c:pt>
                <c:pt idx="81">
                  <c:v>0.5681303399910056</c:v>
                </c:pt>
                <c:pt idx="82">
                  <c:v>0.54541738547660612</c:v>
                </c:pt>
                <c:pt idx="83">
                  <c:v>0.52378460630399226</c:v>
                </c:pt>
                <c:pt idx="84">
                  <c:v>0.50146945385460406</c:v>
                </c:pt>
                <c:pt idx="85">
                  <c:v>0.47876711745249989</c:v>
                </c:pt>
                <c:pt idx="86">
                  <c:v>0.45572587179401725</c:v>
                </c:pt>
                <c:pt idx="87">
                  <c:v>0.43354916096176976</c:v>
                </c:pt>
                <c:pt idx="88">
                  <c:v>0.41144317952235321</c:v>
                </c:pt>
                <c:pt idx="89">
                  <c:v>0.3914306488567999</c:v>
                </c:pt>
                <c:pt idx="90">
                  <c:v>0.37091094376734579</c:v>
                </c:pt>
                <c:pt idx="91">
                  <c:v>0.35134373557101073</c:v>
                </c:pt>
                <c:pt idx="92">
                  <c:v>0.33246786512330606</c:v>
                </c:pt>
                <c:pt idx="93">
                  <c:v>0.31474646779221882</c:v>
                </c:pt>
                <c:pt idx="94">
                  <c:v>0.29712608758411652</c:v>
                </c:pt>
                <c:pt idx="95">
                  <c:v>0.28183600587878277</c:v>
                </c:pt>
                <c:pt idx="96">
                  <c:v>0.26501877272200569</c:v>
                </c:pt>
                <c:pt idx="97">
                  <c:v>0.2507674673250001</c:v>
                </c:pt>
                <c:pt idx="98">
                  <c:v>0.2361841573457315</c:v>
                </c:pt>
                <c:pt idx="99">
                  <c:v>0.22285459693191856</c:v>
                </c:pt>
                <c:pt idx="100">
                  <c:v>0.21136643767551477</c:v>
                </c:pt>
                <c:pt idx="101">
                  <c:v>0.19951650830893808</c:v>
                </c:pt>
                <c:pt idx="102">
                  <c:v>0.18989000005251766</c:v>
                </c:pt>
                <c:pt idx="103">
                  <c:v>0.17978213737204052</c:v>
                </c:pt>
                <c:pt idx="104">
                  <c:v>0.17229758667570705</c:v>
                </c:pt>
                <c:pt idx="105">
                  <c:v>0.16394745674865041</c:v>
                </c:pt>
                <c:pt idx="106">
                  <c:v>0.1576029315735159</c:v>
                </c:pt>
                <c:pt idx="107">
                  <c:v>0.15001109732726914</c:v>
                </c:pt>
                <c:pt idx="108">
                  <c:v>0.14712204242338334</c:v>
                </c:pt>
                <c:pt idx="109">
                  <c:v>0.1385867627895806</c:v>
                </c:pt>
                <c:pt idx="110">
                  <c:v>0.13407412308651978</c:v>
                </c:pt>
                <c:pt idx="111">
                  <c:v>0.12921700396981062</c:v>
                </c:pt>
                <c:pt idx="112">
                  <c:v>0.12365444764388234</c:v>
                </c:pt>
                <c:pt idx="113">
                  <c:v>0.12284689088471856</c:v>
                </c:pt>
                <c:pt idx="114">
                  <c:v>0.11553646562553488</c:v>
                </c:pt>
                <c:pt idx="115">
                  <c:v>0.114368473273044</c:v>
                </c:pt>
                <c:pt idx="116">
                  <c:v>0.114368473273044</c:v>
                </c:pt>
                <c:pt idx="117">
                  <c:v>0.10998197442315327</c:v>
                </c:pt>
                <c:pt idx="118">
                  <c:v>0.10631176298466316</c:v>
                </c:pt>
              </c:numCache>
            </c:numRef>
          </c:xVal>
          <c:yVal>
            <c:numRef>
              <c:f>Table!$O$18:$O$136</c:f>
              <c:numCache>
                <c:formatCode>????0.00</c:formatCode>
                <c:ptCount val="119"/>
                <c:pt idx="0">
                  <c:v>0.60118073436519692</c:v>
                </c:pt>
                <c:pt idx="1">
                  <c:v>0.63804176291514336</c:v>
                </c:pt>
                <c:pt idx="2">
                  <c:v>0.72219867906614355</c:v>
                </c:pt>
                <c:pt idx="3">
                  <c:v>0.79989437890099357</c:v>
                </c:pt>
                <c:pt idx="4">
                  <c:v>0.8668645193905713</c:v>
                </c:pt>
                <c:pt idx="5">
                  <c:v>0.94168501313397812</c:v>
                </c:pt>
                <c:pt idx="6">
                  <c:v>1.0376336466531</c:v>
                </c:pt>
                <c:pt idx="7">
                  <c:v>1.1313853105311025</c:v>
                </c:pt>
                <c:pt idx="8">
                  <c:v>1.2455221277849839</c:v>
                </c:pt>
                <c:pt idx="9">
                  <c:v>1.3632125802888158</c:v>
                </c:pt>
                <c:pt idx="10">
                  <c:v>1.4845536002586834</c:v>
                </c:pt>
                <c:pt idx="11">
                  <c:v>1.6235336819956454</c:v>
                </c:pt>
                <c:pt idx="12">
                  <c:v>1.7757914539004021</c:v>
                </c:pt>
                <c:pt idx="13">
                  <c:v>1.9414885017844594</c:v>
                </c:pt>
                <c:pt idx="14">
                  <c:v>2.1230799279001631</c:v>
                </c:pt>
                <c:pt idx="15">
                  <c:v>2.3264134620628507</c:v>
                </c:pt>
                <c:pt idx="16">
                  <c:v>2.541473867290057</c:v>
                </c:pt>
                <c:pt idx="17">
                  <c:v>2.7803437539522498</c:v>
                </c:pt>
                <c:pt idx="18">
                  <c:v>3.0466092286282294</c:v>
                </c:pt>
                <c:pt idx="19">
                  <c:v>3.3273152910027544</c:v>
                </c:pt>
                <c:pt idx="20">
                  <c:v>3.6428471908057967</c:v>
                </c:pt>
                <c:pt idx="21">
                  <c:v>3.9878418593024443</c:v>
                </c:pt>
                <c:pt idx="22">
                  <c:v>4.3557738119974934</c:v>
                </c:pt>
                <c:pt idx="23">
                  <c:v>4.7981385295716059</c:v>
                </c:pt>
                <c:pt idx="24">
                  <c:v>5.1985383423670948</c:v>
                </c:pt>
                <c:pt idx="25">
                  <c:v>5.724801265356434</c:v>
                </c:pt>
                <c:pt idx="26">
                  <c:v>6.2472204309262054</c:v>
                </c:pt>
                <c:pt idx="27">
                  <c:v>6.814996936129412</c:v>
                </c:pt>
                <c:pt idx="28">
                  <c:v>7.4592735795996861</c:v>
                </c:pt>
                <c:pt idx="29">
                  <c:v>8.1997254814123774</c:v>
                </c:pt>
                <c:pt idx="30">
                  <c:v>8.9688962983320124</c:v>
                </c:pt>
                <c:pt idx="31">
                  <c:v>9.8041983970203113</c:v>
                </c:pt>
                <c:pt idx="32">
                  <c:v>10.741102416486347</c:v>
                </c:pt>
                <c:pt idx="33">
                  <c:v>11.714899261352539</c:v>
                </c:pt>
                <c:pt idx="34">
                  <c:v>12.625193364067178</c:v>
                </c:pt>
                <c:pt idx="35">
                  <c:v>13.666838135196844</c:v>
                </c:pt>
                <c:pt idx="36">
                  <c:v>14.93998401748437</c:v>
                </c:pt>
                <c:pt idx="37">
                  <c:v>16.271767145717234</c:v>
                </c:pt>
                <c:pt idx="38">
                  <c:v>18.062827832503391</c:v>
                </c:pt>
                <c:pt idx="39">
                  <c:v>19.759873134263017</c:v>
                </c:pt>
                <c:pt idx="40">
                  <c:v>21.49574528074811</c:v>
                </c:pt>
                <c:pt idx="41">
                  <c:v>23.727657540454896</c:v>
                </c:pt>
                <c:pt idx="42">
                  <c:v>25.969320834225158</c:v>
                </c:pt>
                <c:pt idx="43">
                  <c:v>28.294722771035058</c:v>
                </c:pt>
                <c:pt idx="44">
                  <c:v>31.040358046842289</c:v>
                </c:pt>
                <c:pt idx="45">
                  <c:v>33.938750786872973</c:v>
                </c:pt>
                <c:pt idx="46">
                  <c:v>37.465322870425517</c:v>
                </c:pt>
                <c:pt idx="47">
                  <c:v>40.879797374717448</c:v>
                </c:pt>
                <c:pt idx="48">
                  <c:v>44.683123075809696</c:v>
                </c:pt>
                <c:pt idx="49">
                  <c:v>48.942396338051751</c:v>
                </c:pt>
                <c:pt idx="50">
                  <c:v>53.731240937370124</c:v>
                </c:pt>
                <c:pt idx="51">
                  <c:v>58.523600533947757</c:v>
                </c:pt>
                <c:pt idx="52">
                  <c:v>64.168655298985087</c:v>
                </c:pt>
                <c:pt idx="53">
                  <c:v>70.35734447346664</c:v>
                </c:pt>
                <c:pt idx="54">
                  <c:v>76.617529925533603</c:v>
                </c:pt>
                <c:pt idx="55">
                  <c:v>84.049590797185246</c:v>
                </c:pt>
                <c:pt idx="56">
                  <c:v>92.191335782140186</c:v>
                </c:pt>
                <c:pt idx="57">
                  <c:v>100.95084461873829</c:v>
                </c:pt>
                <c:pt idx="58">
                  <c:v>110.31254031912542</c:v>
                </c:pt>
                <c:pt idx="59">
                  <c:v>120.81373646434101</c:v>
                </c:pt>
                <c:pt idx="60">
                  <c:v>132.28451685354079</c:v>
                </c:pt>
                <c:pt idx="61">
                  <c:v>144.50492899156217</c:v>
                </c:pt>
                <c:pt idx="62">
                  <c:v>158.23318862053335</c:v>
                </c:pt>
                <c:pt idx="63">
                  <c:v>173.25891390449587</c:v>
                </c:pt>
                <c:pt idx="64">
                  <c:v>189.43519029133697</c:v>
                </c:pt>
                <c:pt idx="65">
                  <c:v>207.24833306852778</c:v>
                </c:pt>
                <c:pt idx="66">
                  <c:v>226.95002837315388</c:v>
                </c:pt>
                <c:pt idx="67">
                  <c:v>248.01800927911023</c:v>
                </c:pt>
                <c:pt idx="68">
                  <c:v>271.50102763531805</c:v>
                </c:pt>
                <c:pt idx="69">
                  <c:v>296.94297246408848</c:v>
                </c:pt>
                <c:pt idx="70">
                  <c:v>325.29513769033383</c:v>
                </c:pt>
                <c:pt idx="71">
                  <c:v>355.5415534395716</c:v>
                </c:pt>
                <c:pt idx="72">
                  <c:v>388.90250342697431</c:v>
                </c:pt>
                <c:pt idx="73">
                  <c:v>423.69431629868751</c:v>
                </c:pt>
                <c:pt idx="74">
                  <c:v>464.23271802293533</c:v>
                </c:pt>
                <c:pt idx="75">
                  <c:v>508.63145007049388</c:v>
                </c:pt>
                <c:pt idx="76">
                  <c:v>557.31078278033135</c:v>
                </c:pt>
                <c:pt idx="77">
                  <c:v>609.77540987198745</c:v>
                </c:pt>
                <c:pt idx="78">
                  <c:v>666.11427927610646</c:v>
                </c:pt>
                <c:pt idx="79">
                  <c:v>730.95431138493097</c:v>
                </c:pt>
                <c:pt idx="80">
                  <c:v>799.54036857286019</c:v>
                </c:pt>
                <c:pt idx="81">
                  <c:v>872.54624498118199</c:v>
                </c:pt>
                <c:pt idx="82">
                  <c:v>957.15550967530476</c:v>
                </c:pt>
                <c:pt idx="83">
                  <c:v>1045.8144458784363</c:v>
                </c:pt>
                <c:pt idx="84">
                  <c:v>1142.8786901943477</c:v>
                </c:pt>
                <c:pt idx="85">
                  <c:v>1251.7766106164975</c:v>
                </c:pt>
                <c:pt idx="86">
                  <c:v>1369.5498867849153</c:v>
                </c:pt>
                <c:pt idx="87">
                  <c:v>1498.3580343490923</c:v>
                </c:pt>
                <c:pt idx="88">
                  <c:v>1639.8959479874645</c:v>
                </c:pt>
                <c:pt idx="89">
                  <c:v>1791.1395953912995</c:v>
                </c:pt>
                <c:pt idx="90">
                  <c:v>1957.2678871891023</c:v>
                </c:pt>
                <c:pt idx="91">
                  <c:v>2144.4889252068842</c:v>
                </c:pt>
                <c:pt idx="92">
                  <c:v>2346.1423199712976</c:v>
                </c:pt>
                <c:pt idx="93">
                  <c:v>2568.6733677900716</c:v>
                </c:pt>
                <c:pt idx="94">
                  <c:v>2806.8774060547812</c:v>
                </c:pt>
                <c:pt idx="95">
                  <c:v>3073.0013265494681</c:v>
                </c:pt>
                <c:pt idx="96">
                  <c:v>3360.7131022114154</c:v>
                </c:pt>
                <c:pt idx="97">
                  <c:v>3676.0925682999814</c:v>
                </c:pt>
                <c:pt idx="98">
                  <c:v>4023.2971402401631</c:v>
                </c:pt>
                <c:pt idx="99">
                  <c:v>4403.1354894014157</c:v>
                </c:pt>
                <c:pt idx="100">
                  <c:v>4807.5106407638714</c:v>
                </c:pt>
                <c:pt idx="101">
                  <c:v>5251.9850781929699</c:v>
                </c:pt>
                <c:pt idx="102">
                  <c:v>5777.0673567695612</c:v>
                </c:pt>
                <c:pt idx="103">
                  <c:v>6302.1595020051245</c:v>
                </c:pt>
                <c:pt idx="104">
                  <c:v>6908.1696961463049</c:v>
                </c:pt>
                <c:pt idx="105">
                  <c:v>7555.1604663336211</c:v>
                </c:pt>
                <c:pt idx="106">
                  <c:v>8242.1822453074819</c:v>
                </c:pt>
                <c:pt idx="107">
                  <c:v>9010.5305528684548</c:v>
                </c:pt>
                <c:pt idx="108">
                  <c:v>9859.7199493950502</c:v>
                </c:pt>
                <c:pt idx="109">
                  <c:v>10789.133176701898</c:v>
                </c:pt>
                <c:pt idx="110">
                  <c:v>11840.023919955518</c:v>
                </c:pt>
                <c:pt idx="111">
                  <c:v>12931.277981069903</c:v>
                </c:pt>
                <c:pt idx="112">
                  <c:v>14143.745131670572</c:v>
                </c:pt>
                <c:pt idx="113">
                  <c:v>15477.477467716908</c:v>
                </c:pt>
                <c:pt idx="114">
                  <c:v>16932.539714491773</c:v>
                </c:pt>
                <c:pt idx="115">
                  <c:v>18507.684726300944</c:v>
                </c:pt>
                <c:pt idx="116">
                  <c:v>20244.043052406945</c:v>
                </c:pt>
                <c:pt idx="117">
                  <c:v>22140.433851063859</c:v>
                </c:pt>
                <c:pt idx="118">
                  <c:v>24039.933041963723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907328"/>
        <c:axId val="103905152"/>
      </c:scatterChart>
      <c:valAx>
        <c:axId val="103888768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/>
                  <a:t>Wetting Phase Saturation (1- Hg), fraction pore space</a:t>
                </a:r>
              </a:p>
            </c:rich>
          </c:tx>
          <c:layout>
            <c:manualLayout>
              <c:xMode val="edge"/>
              <c:yMode val="edge"/>
              <c:x val="0.14857000438896698"/>
              <c:y val="0.9176490198987425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550"/>
            </a:pPr>
            <a:endParaRPr lang="en-US"/>
          </a:p>
        </c:txPr>
        <c:crossAx val="103903232"/>
        <c:crossesAt val="0"/>
        <c:crossBetween val="midCat"/>
        <c:majorUnit val="0.2"/>
        <c:minorUnit val="0.1"/>
      </c:valAx>
      <c:valAx>
        <c:axId val="103903232"/>
        <c:scaling>
          <c:orientation val="minMax"/>
          <c:max val="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/>
                  <a:t>Equivalent Gas-Water Capillary Pressure, psia</a:t>
                </a:r>
              </a:p>
            </c:rich>
          </c:tx>
          <c:layout>
            <c:manualLayout>
              <c:xMode val="edge"/>
              <c:yMode val="edge"/>
              <c:x val="3.1998164015806128E-3"/>
              <c:y val="0.14119338136716139"/>
            </c:manualLayout>
          </c:layout>
          <c:overlay val="0"/>
          <c:spPr>
            <a:noFill/>
            <a:ln w="25400">
              <a:noFill/>
            </a:ln>
          </c:spPr>
        </c:title>
        <c:numFmt formatCode="????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550"/>
            </a:pPr>
            <a:endParaRPr lang="en-US"/>
          </a:p>
        </c:txPr>
        <c:crossAx val="103888768"/>
        <c:crossesAt val="0"/>
        <c:crossBetween val="midCat"/>
        <c:majorUnit val="1000"/>
        <c:minorUnit val="500"/>
      </c:valAx>
      <c:valAx>
        <c:axId val="103905152"/>
        <c:scaling>
          <c:orientation val="minMax"/>
          <c:max val="10725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/>
                  <a:t>Estimated Height Above Free Water, ft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103907328"/>
        <c:crosses val="max"/>
        <c:crossBetween val="midCat"/>
        <c:majorUnit val="2145"/>
        <c:minorUnit val="1072.5"/>
      </c:valAx>
      <c:valAx>
        <c:axId val="103907328"/>
        <c:scaling>
          <c:orientation val="minMax"/>
        </c:scaling>
        <c:delete val="1"/>
        <c:axPos val="b"/>
        <c:numFmt formatCode="0.000" sourceLinked="1"/>
        <c:majorTickMark val="out"/>
        <c:minorTickMark val="none"/>
        <c:tickLblPos val="none"/>
        <c:crossAx val="10390515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 w="3175">
      <a:solidFill>
        <a:sysClr val="windowText" lastClr="000000"/>
      </a:solidFill>
    </a:ln>
  </c:spPr>
  <c:txPr>
    <a:bodyPr/>
    <a:lstStyle/>
    <a:p>
      <a:pPr>
        <a:defRPr sz="575">
          <a:solidFill>
            <a:srgbClr val="000000"/>
          </a:solidFill>
          <a:latin typeface="Arial"/>
        </a:defRPr>
      </a:pPr>
      <a:endParaRPr lang="en-US"/>
    </a:p>
  </c:txPr>
  <c:printSettings>
    <c:headerFooter/>
    <c:pageMargins b="1" l="0.75000000000001199" r="0.75000000000001199" t="1" header="0.5" footer="0.5"/>
    <c:pageSetup orientation="landscape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19031174022717789"/>
          <c:y val="7.0234113712374549E-2"/>
          <c:w val="0.73356525323931165"/>
          <c:h val="0.7915273132664436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FF00"/>
              </a:solidFill>
            </a:ln>
          </c:spPr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Table!$C$18:$C$136</c:f>
              <c:numCache>
                <c:formatCode>0.000</c:formatCode>
                <c:ptCount val="11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0.99942518225347443</c:v>
                </c:pt>
                <c:pt idx="40">
                  <c:v>0.99858493345799137</c:v>
                </c:pt>
                <c:pt idx="41">
                  <c:v>0.99779916051049378</c:v>
                </c:pt>
                <c:pt idx="42">
                  <c:v>0.99674684864747232</c:v>
                </c:pt>
                <c:pt idx="43">
                  <c:v>0.99571345573658365</c:v>
                </c:pt>
                <c:pt idx="44">
                  <c:v>0.99427414849387896</c:v>
                </c:pt>
                <c:pt idx="45">
                  <c:v>0.99278219311104299</c:v>
                </c:pt>
                <c:pt idx="46">
                  <c:v>0.99113722884430033</c:v>
                </c:pt>
                <c:pt idx="47">
                  <c:v>0.98859067877682749</c:v>
                </c:pt>
                <c:pt idx="48">
                  <c:v>0.98520320177623533</c:v>
                </c:pt>
                <c:pt idx="49">
                  <c:v>0.98100852159091545</c:v>
                </c:pt>
                <c:pt idx="50">
                  <c:v>0.97692055923641119</c:v>
                </c:pt>
                <c:pt idx="51">
                  <c:v>0.97389381700751498</c:v>
                </c:pt>
                <c:pt idx="52">
                  <c:v>0.97040127037693991</c:v>
                </c:pt>
                <c:pt idx="53">
                  <c:v>0.96630515586518151</c:v>
                </c:pt>
                <c:pt idx="54">
                  <c:v>0.96224805421273796</c:v>
                </c:pt>
                <c:pt idx="55">
                  <c:v>0.95818499437774607</c:v>
                </c:pt>
                <c:pt idx="56">
                  <c:v>0.95414839641618987</c:v>
                </c:pt>
                <c:pt idx="57">
                  <c:v>0.94929694174326673</c:v>
                </c:pt>
                <c:pt idx="58">
                  <c:v>0.94462864225462972</c:v>
                </c:pt>
                <c:pt idx="59">
                  <c:v>0.93940015030870472</c:v>
                </c:pt>
                <c:pt idx="60">
                  <c:v>0.9335882859281035</c:v>
                </c:pt>
                <c:pt idx="61">
                  <c:v>0.92679807564330352</c:v>
                </c:pt>
                <c:pt idx="62">
                  <c:v>0.91850144243502463</c:v>
                </c:pt>
                <c:pt idx="63">
                  <c:v>0.90903740435177949</c:v>
                </c:pt>
                <c:pt idx="64">
                  <c:v>0.89853851372984561</c:v>
                </c:pt>
                <c:pt idx="65">
                  <c:v>0.88687594617674315</c:v>
                </c:pt>
                <c:pt idx="66">
                  <c:v>0.87376559466048165</c:v>
                </c:pt>
                <c:pt idx="67">
                  <c:v>0.85968210475684359</c:v>
                </c:pt>
                <c:pt idx="68">
                  <c:v>0.84383550051554801</c:v>
                </c:pt>
                <c:pt idx="69">
                  <c:v>0.82631989438546405</c:v>
                </c:pt>
                <c:pt idx="70">
                  <c:v>0.80676228890817225</c:v>
                </c:pt>
                <c:pt idx="71">
                  <c:v>0.78587325628162463</c:v>
                </c:pt>
                <c:pt idx="72">
                  <c:v>0.7632413736656114</c:v>
                </c:pt>
                <c:pt idx="73">
                  <c:v>0.74055360090386879</c:v>
                </c:pt>
                <c:pt idx="74">
                  <c:v>0.7157604827615931</c:v>
                </c:pt>
                <c:pt idx="75">
                  <c:v>0.69202984310727755</c:v>
                </c:pt>
                <c:pt idx="76">
                  <c:v>0.67068903301155047</c:v>
                </c:pt>
                <c:pt idx="77">
                  <c:v>0.650880770457122</c:v>
                </c:pt>
                <c:pt idx="78">
                  <c:v>0.6308090568705782</c:v>
                </c:pt>
                <c:pt idx="79">
                  <c:v>0.60950918162853629</c:v>
                </c:pt>
                <c:pt idx="80">
                  <c:v>0.58861264959753967</c:v>
                </c:pt>
                <c:pt idx="81">
                  <c:v>0.5681303399910056</c:v>
                </c:pt>
                <c:pt idx="82">
                  <c:v>0.54541738547660612</c:v>
                </c:pt>
                <c:pt idx="83">
                  <c:v>0.52378460630399226</c:v>
                </c:pt>
                <c:pt idx="84">
                  <c:v>0.50146945385460406</c:v>
                </c:pt>
                <c:pt idx="85">
                  <c:v>0.47876711745249989</c:v>
                </c:pt>
                <c:pt idx="86">
                  <c:v>0.45572587179401725</c:v>
                </c:pt>
                <c:pt idx="87">
                  <c:v>0.43354916096176976</c:v>
                </c:pt>
                <c:pt idx="88">
                  <c:v>0.41144317952235321</c:v>
                </c:pt>
                <c:pt idx="89">
                  <c:v>0.3914306488567999</c:v>
                </c:pt>
                <c:pt idx="90">
                  <c:v>0.37091094376734579</c:v>
                </c:pt>
                <c:pt idx="91">
                  <c:v>0.35134373557101073</c:v>
                </c:pt>
                <c:pt idx="92">
                  <c:v>0.33246786512330606</c:v>
                </c:pt>
                <c:pt idx="93">
                  <c:v>0.31474646779221882</c:v>
                </c:pt>
                <c:pt idx="94">
                  <c:v>0.29712608758411652</c:v>
                </c:pt>
                <c:pt idx="95">
                  <c:v>0.28183600587878277</c:v>
                </c:pt>
                <c:pt idx="96">
                  <c:v>0.26501877272200569</c:v>
                </c:pt>
                <c:pt idx="97">
                  <c:v>0.2507674673250001</c:v>
                </c:pt>
                <c:pt idx="98">
                  <c:v>0.2361841573457315</c:v>
                </c:pt>
                <c:pt idx="99">
                  <c:v>0.22285459693191856</c:v>
                </c:pt>
                <c:pt idx="100">
                  <c:v>0.21136643767551477</c:v>
                </c:pt>
                <c:pt idx="101">
                  <c:v>0.19951650830893808</c:v>
                </c:pt>
                <c:pt idx="102">
                  <c:v>0.18989000005251766</c:v>
                </c:pt>
                <c:pt idx="103">
                  <c:v>0.17978213737204052</c:v>
                </c:pt>
                <c:pt idx="104">
                  <c:v>0.17229758667570705</c:v>
                </c:pt>
                <c:pt idx="105">
                  <c:v>0.16394745674865041</c:v>
                </c:pt>
                <c:pt idx="106">
                  <c:v>0.1576029315735159</c:v>
                </c:pt>
                <c:pt idx="107">
                  <c:v>0.15001109732726914</c:v>
                </c:pt>
                <c:pt idx="108">
                  <c:v>0.14712204242338334</c:v>
                </c:pt>
                <c:pt idx="109">
                  <c:v>0.1385867627895806</c:v>
                </c:pt>
                <c:pt idx="110">
                  <c:v>0.13407412308651978</c:v>
                </c:pt>
                <c:pt idx="111">
                  <c:v>0.12921700396981062</c:v>
                </c:pt>
                <c:pt idx="112">
                  <c:v>0.12365444764388234</c:v>
                </c:pt>
                <c:pt idx="113">
                  <c:v>0.12284689088471856</c:v>
                </c:pt>
                <c:pt idx="114">
                  <c:v>0.11553646562553488</c:v>
                </c:pt>
                <c:pt idx="115">
                  <c:v>0.114368473273044</c:v>
                </c:pt>
                <c:pt idx="116">
                  <c:v>0.114368473273044</c:v>
                </c:pt>
                <c:pt idx="117">
                  <c:v>0.10998197442315327</c:v>
                </c:pt>
                <c:pt idx="118">
                  <c:v>0.10631176298466316</c:v>
                </c:pt>
              </c:numCache>
            </c:numRef>
          </c:xVal>
          <c:yVal>
            <c:numRef>
              <c:f>Table!$K$18:$K$136</c:f>
              <c:numCache>
                <c:formatCode>??0.000</c:formatCode>
                <c:ptCount val="119"/>
                <c:pt idx="0">
                  <c:v>4.1644162051161462E-4</c:v>
                </c:pt>
                <c:pt idx="1">
                  <c:v>4.4197548343434052E-4</c:v>
                </c:pt>
                <c:pt idx="2">
                  <c:v>5.0027150081452E-4</c:v>
                </c:pt>
                <c:pt idx="3">
                  <c:v>5.5409179360912237E-4</c:v>
                </c:pt>
                <c:pt idx="4">
                  <c:v>6.0048242497361408E-4</c:v>
                </c:pt>
                <c:pt idx="5">
                  <c:v>6.5231104468958735E-4</c:v>
                </c:pt>
                <c:pt idx="6">
                  <c:v>7.1877525776981835E-4</c:v>
                </c:pt>
                <c:pt idx="7">
                  <c:v>7.8371761636392937E-4</c:v>
                </c:pt>
                <c:pt idx="8">
                  <c:v>8.6278089703847394E-4</c:v>
                </c:pt>
                <c:pt idx="9">
                  <c:v>9.4430580287430913E-4</c:v>
                </c:pt>
                <c:pt idx="10">
                  <c:v>1.0283594794182548E-3</c:v>
                </c:pt>
                <c:pt idx="11">
                  <c:v>1.1246318433663297E-3</c:v>
                </c:pt>
                <c:pt idx="12">
                  <c:v>1.2301017455821038E-3</c:v>
                </c:pt>
                <c:pt idx="13">
                  <c:v>1.3448811175586356E-3</c:v>
                </c:pt>
                <c:pt idx="14">
                  <c:v>1.4706706238416176E-3</c:v>
                </c:pt>
                <c:pt idx="15">
                  <c:v>1.6115210231154333E-3</c:v>
                </c:pt>
                <c:pt idx="16">
                  <c:v>1.7604946986529088E-3</c:v>
                </c:pt>
                <c:pt idx="17">
                  <c:v>1.9259613495396313E-3</c:v>
                </c:pt>
                <c:pt idx="18">
                  <c:v>2.1104050940276252E-3</c:v>
                </c:pt>
                <c:pt idx="19">
                  <c:v>2.3048519231099263E-3</c:v>
                </c:pt>
                <c:pt idx="20">
                  <c:v>2.5234228256120449E-3</c:v>
                </c:pt>
                <c:pt idx="21">
                  <c:v>2.7624027705836956E-3</c:v>
                </c:pt>
                <c:pt idx="22">
                  <c:v>3.0172715144733677E-3</c:v>
                </c:pt>
                <c:pt idx="23">
                  <c:v>3.3237002958917358E-3</c:v>
                </c:pt>
                <c:pt idx="24">
                  <c:v>3.6010597276925054E-3</c:v>
                </c:pt>
                <c:pt idx="25">
                  <c:v>3.9656053159610209E-3</c:v>
                </c:pt>
                <c:pt idx="26">
                  <c:v>4.3274883096433214E-3</c:v>
                </c:pt>
                <c:pt idx="27">
                  <c:v>4.720790613591758E-3</c:v>
                </c:pt>
                <c:pt idx="28">
                  <c:v>5.1670850374273027E-3</c:v>
                </c:pt>
                <c:pt idx="29">
                  <c:v>5.68000065876268E-3</c:v>
                </c:pt>
                <c:pt idx="30">
                  <c:v>6.21281005057808E-3</c:v>
                </c:pt>
                <c:pt idx="31">
                  <c:v>6.7914289911231648E-3</c:v>
                </c:pt>
                <c:pt idx="32">
                  <c:v>7.4404282118687689E-3</c:v>
                </c:pt>
                <c:pt idx="33">
                  <c:v>8.114983321412297E-3</c:v>
                </c:pt>
                <c:pt idx="34">
                  <c:v>8.7455496879092799E-3</c:v>
                </c:pt>
                <c:pt idx="35">
                  <c:v>9.4671034764629552E-3</c:v>
                </c:pt>
                <c:pt idx="36">
                  <c:v>1.0349019519443526E-2</c:v>
                </c:pt>
                <c:pt idx="37">
                  <c:v>1.1271553946094684E-2</c:v>
                </c:pt>
                <c:pt idx="38">
                  <c:v>1.2512232783927806E-2</c:v>
                </c:pt>
                <c:pt idx="39">
                  <c:v>1.3687786581892816E-2</c:v>
                </c:pt>
                <c:pt idx="40">
                  <c:v>1.4890235975828475E-2</c:v>
                </c:pt>
                <c:pt idx="41">
                  <c:v>1.6436295430400781E-2</c:v>
                </c:pt>
                <c:pt idx="42">
                  <c:v>1.7989109486700877E-2</c:v>
                </c:pt>
                <c:pt idx="43">
                  <c:v>1.9599929820004663E-2</c:v>
                </c:pt>
                <c:pt idx="44">
                  <c:v>2.1501848391627488E-2</c:v>
                </c:pt>
                <c:pt idx="45">
                  <c:v>2.3509583005432096E-2</c:v>
                </c:pt>
                <c:pt idx="46">
                  <c:v>2.5952461343634981E-2</c:v>
                </c:pt>
                <c:pt idx="47">
                  <c:v>2.8317688993959436E-2</c:v>
                </c:pt>
                <c:pt idx="48">
                  <c:v>3.095227627821227E-2</c:v>
                </c:pt>
                <c:pt idx="49">
                  <c:v>3.3902701263808011E-2</c:v>
                </c:pt>
                <c:pt idx="50">
                  <c:v>3.7219963596614211E-2</c:v>
                </c:pt>
                <c:pt idx="51">
                  <c:v>4.0539660789806087E-2</c:v>
                </c:pt>
                <c:pt idx="52">
                  <c:v>4.4450025210767227E-2</c:v>
                </c:pt>
                <c:pt idx="53">
                  <c:v>4.8736968556323958E-2</c:v>
                </c:pt>
                <c:pt idx="54">
                  <c:v>5.3073437816462191E-2</c:v>
                </c:pt>
                <c:pt idx="55">
                  <c:v>5.8221672442443147E-2</c:v>
                </c:pt>
                <c:pt idx="56">
                  <c:v>6.386150965197572E-2</c:v>
                </c:pt>
                <c:pt idx="57">
                  <c:v>6.9929275710132188E-2</c:v>
                </c:pt>
                <c:pt idx="58">
                  <c:v>7.6414180340887636E-2</c:v>
                </c:pt>
                <c:pt idx="59">
                  <c:v>8.368842399182834E-2</c:v>
                </c:pt>
                <c:pt idx="60">
                  <c:v>9.1634304657574037E-2</c:v>
                </c:pt>
                <c:pt idx="61">
                  <c:v>0.10009945988157024</c:v>
                </c:pt>
                <c:pt idx="62">
                  <c:v>0.10960911040743031</c:v>
                </c:pt>
                <c:pt idx="63">
                  <c:v>0.12001752343354465</c:v>
                </c:pt>
                <c:pt idx="64">
                  <c:v>0.13122293033916196</c:v>
                </c:pt>
                <c:pt idx="65">
                  <c:v>0.14356220473785192</c:v>
                </c:pt>
                <c:pt idx="66">
                  <c:v>0.15720969117659825</c:v>
                </c:pt>
                <c:pt idx="67">
                  <c:v>0.17180361211893927</c:v>
                </c:pt>
                <c:pt idx="68">
                  <c:v>0.18807044447026111</c:v>
                </c:pt>
                <c:pt idx="69">
                  <c:v>0.20569423732957132</c:v>
                </c:pt>
                <c:pt idx="70">
                  <c:v>0.22533395789429972</c:v>
                </c:pt>
                <c:pt idx="71">
                  <c:v>0.24628583753592012</c:v>
                </c:pt>
                <c:pt idx="72">
                  <c:v>0.26939517434663945</c:v>
                </c:pt>
                <c:pt idx="73">
                  <c:v>0.29349567874509158</c:v>
                </c:pt>
                <c:pt idx="74">
                  <c:v>0.32157688085617164</c:v>
                </c:pt>
                <c:pt idx="75">
                  <c:v>0.35233215770660126</c:v>
                </c:pt>
                <c:pt idx="76">
                  <c:v>0.38605263316480876</c:v>
                </c:pt>
                <c:pt idx="77">
                  <c:v>0.42239520550065907</c:v>
                </c:pt>
                <c:pt idx="78">
                  <c:v>0.46142148949696438</c:v>
                </c:pt>
                <c:pt idx="79">
                  <c:v>0.50633658158476436</c:v>
                </c:pt>
                <c:pt idx="80">
                  <c:v>0.55384656846084579</c:v>
                </c:pt>
                <c:pt idx="81">
                  <c:v>0.60441819150271714</c:v>
                </c:pt>
                <c:pt idx="82">
                  <c:v>0.66302755352214737</c:v>
                </c:pt>
                <c:pt idx="83">
                  <c:v>0.72444214809370189</c:v>
                </c:pt>
                <c:pt idx="84">
                  <c:v>0.7916791516868652</c:v>
                </c:pt>
                <c:pt idx="85">
                  <c:v>0.86711341605801284</c:v>
                </c:pt>
                <c:pt idx="86">
                  <c:v>0.94869569435960655</c:v>
                </c:pt>
                <c:pt idx="87">
                  <c:v>1.037921896465644</c:v>
                </c:pt>
                <c:pt idx="88">
                  <c:v>1.1359660864239853</c:v>
                </c:pt>
                <c:pt idx="89">
                  <c:v>1.2407334983129361</c:v>
                </c:pt>
                <c:pt idx="90">
                  <c:v>1.3558115956211527</c:v>
                </c:pt>
                <c:pt idx="91">
                  <c:v>1.4855007689582176</c:v>
                </c:pt>
                <c:pt idx="92">
                  <c:v>1.6251873252581861</c:v>
                </c:pt>
                <c:pt idx="93">
                  <c:v>1.7793359612181392</c:v>
                </c:pt>
                <c:pt idx="94">
                  <c:v>1.9443413747933302</c:v>
                </c:pt>
                <c:pt idx="95">
                  <c:v>2.1286870638226612</c:v>
                </c:pt>
                <c:pt idx="96">
                  <c:v>2.3279867939170589</c:v>
                </c:pt>
                <c:pt idx="97">
                  <c:v>2.5464521046404518</c:v>
                </c:pt>
                <c:pt idx="98">
                  <c:v>2.7869628634233128</c:v>
                </c:pt>
                <c:pt idx="99">
                  <c:v>3.0500792419350011</c:v>
                </c:pt>
                <c:pt idx="100">
                  <c:v>3.3301924153982649</c:v>
                </c:pt>
                <c:pt idx="101">
                  <c:v>3.638082612835166</c:v>
                </c:pt>
                <c:pt idx="102">
                  <c:v>4.0018103614019296</c:v>
                </c:pt>
                <c:pt idx="103">
                  <c:v>4.3655449446645127</c:v>
                </c:pt>
                <c:pt idx="104">
                  <c:v>4.7853319618935215</c:v>
                </c:pt>
                <c:pt idx="105">
                  <c:v>5.233506478126758</c:v>
                </c:pt>
                <c:pt idx="106">
                  <c:v>5.7094107222385615</c:v>
                </c:pt>
                <c:pt idx="107">
                  <c:v>6.2416503567237127</c:v>
                </c:pt>
                <c:pt idx="108">
                  <c:v>6.8298891145478997</c:v>
                </c:pt>
                <c:pt idx="109">
                  <c:v>7.4736994171406561</c:v>
                </c:pt>
                <c:pt idx="110">
                  <c:v>8.2016579478864937</c:v>
                </c:pt>
                <c:pt idx="111">
                  <c:v>8.9575763990660953</c:v>
                </c:pt>
                <c:pt idx="112">
                  <c:v>9.7974599085508167</c:v>
                </c:pt>
                <c:pt idx="113">
                  <c:v>10.721344563534583</c:v>
                </c:pt>
                <c:pt idx="114">
                  <c:v>11.729275199621972</c:v>
                </c:pt>
                <c:pt idx="115">
                  <c:v>12.820387911261406</c:v>
                </c:pt>
                <c:pt idx="116">
                  <c:v>14.02317408483357</c:v>
                </c:pt>
                <c:pt idx="117">
                  <c:v>15.336815743942795</c:v>
                </c:pt>
                <c:pt idx="118">
                  <c:v>16.652610605622971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939456"/>
        <c:axId val="103097856"/>
      </c:scatterChart>
      <c:valAx>
        <c:axId val="103939456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/>
                  <a:t>Wetting Phase Saturation (1- Hg), fraction pore space</a:t>
                </a:r>
              </a:p>
            </c:rich>
          </c:tx>
          <c:layout>
            <c:manualLayout>
              <c:xMode val="edge"/>
              <c:yMode val="edge"/>
              <c:x val="0.2027230117574878"/>
              <c:y val="0.9165793151642208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575"/>
            </a:pPr>
            <a:endParaRPr lang="en-US"/>
          </a:p>
        </c:txPr>
        <c:crossAx val="103097856"/>
        <c:crossesAt val="0"/>
        <c:crossBetween val="midCat"/>
        <c:majorUnit val="0.2"/>
        <c:minorUnit val="0.1"/>
      </c:valAx>
      <c:valAx>
        <c:axId val="103097856"/>
        <c:scaling>
          <c:orientation val="minMax"/>
          <c:max val="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/>
                  <a:t>Leverett J Function.</a:t>
                </a:r>
              </a:p>
            </c:rich>
          </c:tx>
          <c:layout>
            <c:manualLayout>
              <c:xMode val="edge"/>
              <c:yMode val="edge"/>
              <c:x val="5.5363321799309036E-2"/>
              <c:y val="0.3311036789297744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575"/>
            </a:pPr>
            <a:endParaRPr lang="en-US"/>
          </a:p>
        </c:txPr>
        <c:crossAx val="103939456"/>
        <c:crosses val="autoZero"/>
        <c:crossBetween val="midCat"/>
        <c:majorUnit val="0.4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3175">
      <a:solidFill>
        <a:sysClr val="windowText" lastClr="000000"/>
      </a:solidFill>
    </a:ln>
  </c:spPr>
  <c:txPr>
    <a:bodyPr/>
    <a:lstStyle/>
    <a:p>
      <a:pPr>
        <a:defRPr sz="600">
          <a:solidFill>
            <a:srgbClr val="000000"/>
          </a:solidFill>
          <a:latin typeface="Arial"/>
        </a:defRPr>
      </a:pPr>
      <a:endParaRPr lang="en-US"/>
    </a:p>
  </c:txPr>
  <c:printSettings>
    <c:headerFooter/>
    <c:pageMargins b="1" l="0.75000000000000921" r="0.75000000000000921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1619718309859155"/>
          <c:y val="5.369136314257017E-2"/>
          <c:w val="0.79577464788732399"/>
          <c:h val="0.81320051436523455"/>
        </c:manualLayout>
      </c:layout>
      <c:scatterChart>
        <c:scatterStyle val="lineMarker"/>
        <c:varyColors val="0"/>
        <c:ser>
          <c:idx val="2"/>
          <c:order val="0"/>
          <c:tx>
            <c:v>Uncorrected</c:v>
          </c:tx>
          <c:spPr>
            <a:ln w="12700">
              <a:solidFill>
                <a:srgbClr val="99CCFF"/>
              </a:solidFill>
            </a:ln>
          </c:spPr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xVal>
            <c:numRef>
              <c:f>'Raw Data'!$D$18:$D$136</c:f>
              <c:numCache>
                <c:formatCode>0.000</c:formatCode>
                <c:ptCount val="119"/>
                <c:pt idx="0">
                  <c:v>0</c:v>
                </c:pt>
                <c:pt idx="1">
                  <c:v>3.3770461014277119E-4</c:v>
                </c:pt>
                <c:pt idx="2">
                  <c:v>2.0396265454315377E-3</c:v>
                </c:pt>
                <c:pt idx="3">
                  <c:v>2.2297985957216711E-3</c:v>
                </c:pt>
                <c:pt idx="4">
                  <c:v>2.2297985957216711E-3</c:v>
                </c:pt>
                <c:pt idx="5">
                  <c:v>4.7557633782065699E-3</c:v>
                </c:pt>
                <c:pt idx="6">
                  <c:v>5.5296757165764964E-3</c:v>
                </c:pt>
                <c:pt idx="7">
                  <c:v>6.7900067528490161E-3</c:v>
                </c:pt>
                <c:pt idx="8">
                  <c:v>7.531378457286418E-3</c:v>
                </c:pt>
                <c:pt idx="9">
                  <c:v>8.2368904610978719E-3</c:v>
                </c:pt>
                <c:pt idx="10">
                  <c:v>8.9404111155533868E-3</c:v>
                </c:pt>
                <c:pt idx="11">
                  <c:v>9.277931459018899E-3</c:v>
                </c:pt>
                <c:pt idx="12">
                  <c:v>9.7956958905803422E-3</c:v>
                </c:pt>
                <c:pt idx="13">
                  <c:v>1.0349650932175845E-2</c:v>
                </c:pt>
                <c:pt idx="14">
                  <c:v>1.0610256143381543E-2</c:v>
                </c:pt>
                <c:pt idx="15">
                  <c:v>1.0907569633859747E-2</c:v>
                </c:pt>
                <c:pt idx="16">
                  <c:v>1.1130172845997393E-2</c:v>
                </c:pt>
                <c:pt idx="17">
                  <c:v>1.1500280966653575E-2</c:v>
                </c:pt>
                <c:pt idx="18">
                  <c:v>1.1907635887646418E-2</c:v>
                </c:pt>
                <c:pt idx="19">
                  <c:v>1.1945729453427402E-2</c:v>
                </c:pt>
                <c:pt idx="20">
                  <c:v>1.2316002575487081E-2</c:v>
                </c:pt>
                <c:pt idx="21">
                  <c:v>1.2501957344026021E-2</c:v>
                </c:pt>
                <c:pt idx="22">
                  <c:v>1.272517885812622E-2</c:v>
                </c:pt>
                <c:pt idx="23">
                  <c:v>1.2910255130181705E-2</c:v>
                </c:pt>
                <c:pt idx="24">
                  <c:v>1.3059750934755624E-2</c:v>
                </c:pt>
                <c:pt idx="25">
                  <c:v>1.3430305103161917E-2</c:v>
                </c:pt>
                <c:pt idx="26">
                  <c:v>1.3578960488499341E-2</c:v>
                </c:pt>
                <c:pt idx="27">
                  <c:v>1.3764885339201382E-2</c:v>
                </c:pt>
                <c:pt idx="28">
                  <c:v>1.4024365458419501E-2</c:v>
                </c:pt>
                <c:pt idx="29">
                  <c:v>1.4321726998756962E-2</c:v>
                </c:pt>
                <c:pt idx="30">
                  <c:v>1.4470518374262106E-2</c:v>
                </c:pt>
                <c:pt idx="31">
                  <c:v>1.4731612243470469E-2</c:v>
                </c:pt>
                <c:pt idx="32">
                  <c:v>1.5064418261121782E-2</c:v>
                </c:pt>
                <c:pt idx="33">
                  <c:v>1.5398907837049435E-2</c:v>
                </c:pt>
                <c:pt idx="34">
                  <c:v>1.5697070812775313E-2</c:v>
                </c:pt>
                <c:pt idx="35">
                  <c:v>1.6066628626552799E-2</c:v>
                </c:pt>
                <c:pt idx="36">
                  <c:v>1.6414975600570852E-2</c:v>
                </c:pt>
                <c:pt idx="37">
                  <c:v>1.7339745005093544E-2</c:v>
                </c:pt>
                <c:pt idx="38">
                  <c:v>1.7686947848500535E-2</c:v>
                </c:pt>
                <c:pt idx="39">
                  <c:v>1.8261765595026111E-2</c:v>
                </c:pt>
                <c:pt idx="40">
                  <c:v>1.9102014390509122E-2</c:v>
                </c:pt>
                <c:pt idx="41">
                  <c:v>1.9887787338006797E-2</c:v>
                </c:pt>
                <c:pt idx="42">
                  <c:v>2.0940099201028236E-2</c:v>
                </c:pt>
                <c:pt idx="43">
                  <c:v>2.1973492111916841E-2</c:v>
                </c:pt>
                <c:pt idx="44">
                  <c:v>2.3412799354621608E-2</c:v>
                </c:pt>
                <c:pt idx="45">
                  <c:v>2.4904754737457579E-2</c:v>
                </c:pt>
                <c:pt idx="46">
                  <c:v>2.6549719004200171E-2</c:v>
                </c:pt>
                <c:pt idx="47">
                  <c:v>2.9096269071673005E-2</c:v>
                </c:pt>
                <c:pt idx="48">
                  <c:v>3.2483746072265195E-2</c:v>
                </c:pt>
                <c:pt idx="49">
                  <c:v>3.6678426257585078E-2</c:v>
                </c:pt>
                <c:pt idx="50">
                  <c:v>4.0766388612089338E-2</c:v>
                </c:pt>
                <c:pt idx="51">
                  <c:v>4.3793130840985538E-2</c:v>
                </c:pt>
                <c:pt idx="52">
                  <c:v>4.7285677471560629E-2</c:v>
                </c:pt>
                <c:pt idx="53">
                  <c:v>5.1381791983318978E-2</c:v>
                </c:pt>
                <c:pt idx="54">
                  <c:v>5.5438893635762578E-2</c:v>
                </c:pt>
                <c:pt idx="55">
                  <c:v>5.9501953470754432E-2</c:v>
                </c:pt>
                <c:pt idx="56">
                  <c:v>6.3538551432310714E-2</c:v>
                </c:pt>
                <c:pt idx="57">
                  <c:v>6.8390006105233839E-2</c:v>
                </c:pt>
                <c:pt idx="58">
                  <c:v>7.3058305593870762E-2</c:v>
                </c:pt>
                <c:pt idx="59">
                  <c:v>7.8286797539795824E-2</c:v>
                </c:pt>
                <c:pt idx="60">
                  <c:v>8.4098661920396986E-2</c:v>
                </c:pt>
                <c:pt idx="61">
                  <c:v>9.0888872205197035E-2</c:v>
                </c:pt>
                <c:pt idx="62">
                  <c:v>9.9185505413475927E-2</c:v>
                </c:pt>
                <c:pt idx="63">
                  <c:v>0.10864954349672104</c:v>
                </c:pt>
                <c:pt idx="64">
                  <c:v>0.11914843411865494</c:v>
                </c:pt>
                <c:pt idx="65">
                  <c:v>0.13081100167175738</c:v>
                </c:pt>
                <c:pt idx="66">
                  <c:v>0.14392135318801894</c:v>
                </c:pt>
                <c:pt idx="67">
                  <c:v>0.15800484309165691</c:v>
                </c:pt>
                <c:pt idx="68">
                  <c:v>0.17385144733295257</c:v>
                </c:pt>
                <c:pt idx="69">
                  <c:v>0.19136705346303648</c:v>
                </c:pt>
                <c:pt idx="70">
                  <c:v>0.21092465894032836</c:v>
                </c:pt>
                <c:pt idx="71">
                  <c:v>0.23181369156687592</c:v>
                </c:pt>
                <c:pt idx="72">
                  <c:v>0.25444557418288904</c:v>
                </c:pt>
                <c:pt idx="73">
                  <c:v>0.27713334694463176</c:v>
                </c:pt>
                <c:pt idx="74">
                  <c:v>0.30192646508690735</c:v>
                </c:pt>
                <c:pt idx="75">
                  <c:v>0.325657104741223</c:v>
                </c:pt>
                <c:pt idx="76">
                  <c:v>0.34699791483694997</c:v>
                </c:pt>
                <c:pt idx="77">
                  <c:v>0.36680617739137844</c:v>
                </c:pt>
                <c:pt idx="78">
                  <c:v>0.38687789097792236</c:v>
                </c:pt>
                <c:pt idx="79">
                  <c:v>0.40817776621996421</c:v>
                </c:pt>
                <c:pt idx="80">
                  <c:v>0.42907429825096088</c:v>
                </c:pt>
                <c:pt idx="81">
                  <c:v>0.44955660785749491</c:v>
                </c:pt>
                <c:pt idx="82">
                  <c:v>0.47226956237189438</c:v>
                </c:pt>
                <c:pt idx="83">
                  <c:v>0.49390234154450829</c:v>
                </c:pt>
                <c:pt idx="84">
                  <c:v>0.51621749399389649</c:v>
                </c:pt>
                <c:pt idx="85">
                  <c:v>0.53891983039600067</c:v>
                </c:pt>
                <c:pt idx="86">
                  <c:v>0.5619610760544832</c:v>
                </c:pt>
                <c:pt idx="87">
                  <c:v>0.58413778688673079</c:v>
                </c:pt>
                <c:pt idx="88">
                  <c:v>0.60624376832614724</c:v>
                </c:pt>
                <c:pt idx="89">
                  <c:v>0.62625629899170066</c:v>
                </c:pt>
                <c:pt idx="90">
                  <c:v>0.64677600408115465</c:v>
                </c:pt>
                <c:pt idx="91">
                  <c:v>0.66634321227748972</c:v>
                </c:pt>
                <c:pt idx="92">
                  <c:v>0.68521908272519449</c:v>
                </c:pt>
                <c:pt idx="93">
                  <c:v>0.70294048005628162</c:v>
                </c:pt>
                <c:pt idx="94">
                  <c:v>0.72056086026438393</c:v>
                </c:pt>
                <c:pt idx="95">
                  <c:v>0.73585094196971768</c:v>
                </c:pt>
                <c:pt idx="96">
                  <c:v>0.75266817512649475</c:v>
                </c:pt>
                <c:pt idx="97">
                  <c:v>0.76691948052350034</c:v>
                </c:pt>
                <c:pt idx="98">
                  <c:v>0.78150279050276894</c:v>
                </c:pt>
                <c:pt idx="99">
                  <c:v>0.79483235091658189</c:v>
                </c:pt>
                <c:pt idx="100">
                  <c:v>0.80632051017298567</c:v>
                </c:pt>
                <c:pt idx="101">
                  <c:v>0.81817043953956237</c:v>
                </c:pt>
                <c:pt idx="102">
                  <c:v>0.82779694779598278</c:v>
                </c:pt>
                <c:pt idx="103">
                  <c:v>0.83790481047646004</c:v>
                </c:pt>
                <c:pt idx="104">
                  <c:v>0.8453893611727934</c:v>
                </c:pt>
                <c:pt idx="105">
                  <c:v>0.85373949109985015</c:v>
                </c:pt>
                <c:pt idx="106">
                  <c:v>0.86008401627498454</c:v>
                </c:pt>
                <c:pt idx="107">
                  <c:v>0.86767585052123131</c:v>
                </c:pt>
                <c:pt idx="108">
                  <c:v>0.87056490542511711</c:v>
                </c:pt>
                <c:pt idx="109">
                  <c:v>0.87910018505891985</c:v>
                </c:pt>
                <c:pt idx="110">
                  <c:v>0.88361282476198066</c:v>
                </c:pt>
                <c:pt idx="111">
                  <c:v>0.88846994387868983</c:v>
                </c:pt>
                <c:pt idx="112">
                  <c:v>0.89403250020461811</c:v>
                </c:pt>
                <c:pt idx="113">
                  <c:v>0.89484005696378188</c:v>
                </c:pt>
                <c:pt idx="114">
                  <c:v>0.90215048222296568</c:v>
                </c:pt>
                <c:pt idx="115">
                  <c:v>0.90331847457545644</c:v>
                </c:pt>
                <c:pt idx="116">
                  <c:v>0.90331847457545644</c:v>
                </c:pt>
                <c:pt idx="117">
                  <c:v>0.90770497342534717</c:v>
                </c:pt>
                <c:pt idx="118">
                  <c:v>0.91137518486383728</c:v>
                </c:pt>
              </c:numCache>
            </c:numRef>
          </c:xVal>
          <c:yVal>
            <c:numRef>
              <c:f>Table!$E$18:$E$136</c:f>
              <c:numCache>
                <c:formatCode>???0.000</c:formatCode>
                <c:ptCount val="119"/>
                <c:pt idx="0">
                  <c:v>73.429073190040185</c:v>
                </c:pt>
                <c:pt idx="1">
                  <c:v>69.186919587292167</c:v>
                </c:pt>
                <c:pt idx="2">
                  <c:v>61.124653677331288</c:v>
                </c:pt>
                <c:pt idx="3">
                  <c:v>55.187466381243389</c:v>
                </c:pt>
                <c:pt idx="4">
                  <c:v>50.923925430906607</c:v>
                </c:pt>
                <c:pt idx="5">
                  <c:v>46.877823824794746</c:v>
                </c:pt>
                <c:pt idx="6">
                  <c:v>42.543092435881995</c:v>
                </c:pt>
                <c:pt idx="7">
                  <c:v>39.017780886179004</c:v>
                </c:pt>
                <c:pt idx="8">
                  <c:v>35.442280116411396</c:v>
                </c:pt>
                <c:pt idx="9">
                  <c:v>32.382436006269536</c:v>
                </c:pt>
                <c:pt idx="10">
                  <c:v>29.735635100310304</c:v>
                </c:pt>
                <c:pt idx="11">
                  <c:v>27.190162196008291</c:v>
                </c:pt>
                <c:pt idx="12">
                  <c:v>24.858856059468366</c:v>
                </c:pt>
                <c:pt idx="13">
                  <c:v>22.73726787646201</c:v>
                </c:pt>
                <c:pt idx="14">
                  <c:v>20.792502234150465</c:v>
                </c:pt>
                <c:pt idx="15">
                  <c:v>18.975192872638019</c:v>
                </c:pt>
                <c:pt idx="16">
                  <c:v>17.369505432379093</c:v>
                </c:pt>
                <c:pt idx="17">
                  <c:v>15.877225282446956</c:v>
                </c:pt>
                <c:pt idx="18">
                  <c:v>14.48959838017052</c:v>
                </c:pt>
                <c:pt idx="19">
                  <c:v>13.267196007397425</c:v>
                </c:pt>
                <c:pt idx="20">
                  <c:v>12.118033458982252</c:v>
                </c:pt>
                <c:pt idx="21">
                  <c:v>11.069682726051195</c:v>
                </c:pt>
                <c:pt idx="22">
                  <c:v>10.134627290001612</c:v>
                </c:pt>
                <c:pt idx="23">
                  <c:v>9.200264617638183</c:v>
                </c:pt>
                <c:pt idx="24">
                  <c:v>8.4916453889313086</c:v>
                </c:pt>
                <c:pt idx="25">
                  <c:v>7.711035212922047</c:v>
                </c:pt>
                <c:pt idx="26">
                  <c:v>7.0662056241225653</c:v>
                </c:pt>
                <c:pt idx="27">
                  <c:v>6.4775002186891486</c:v>
                </c:pt>
                <c:pt idx="28">
                  <c:v>5.9180218654097425</c:v>
                </c:pt>
                <c:pt idx="29">
                  <c:v>5.383612444613262</c:v>
                </c:pt>
                <c:pt idx="30">
                  <c:v>4.9219148795770824</c:v>
                </c:pt>
                <c:pt idx="31">
                  <c:v>4.5025755657454285</c:v>
                </c:pt>
                <c:pt idx="32">
                  <c:v>4.1098336495132939</c:v>
                </c:pt>
                <c:pt idx="33">
                  <c:v>3.7682051854919236</c:v>
                </c:pt>
                <c:pt idx="34">
                  <c:v>3.4965123203406687</c:v>
                </c:pt>
                <c:pt idx="35">
                  <c:v>3.2300188022610499</c:v>
                </c:pt>
                <c:pt idx="36">
                  <c:v>2.9547651518557139</c:v>
                </c:pt>
                <c:pt idx="37">
                  <c:v>2.7129287033684593</c:v>
                </c:pt>
                <c:pt idx="38">
                  <c:v>2.4439221008743925</c:v>
                </c:pt>
                <c:pt idx="39">
                  <c:v>2.234029735120088</c:v>
                </c:pt>
                <c:pt idx="40">
                  <c:v>2.0536224060898349</c:v>
                </c:pt>
                <c:pt idx="41">
                  <c:v>1.8604509976966666</c:v>
                </c:pt>
                <c:pt idx="42">
                  <c:v>1.6998574751314348</c:v>
                </c:pt>
                <c:pt idx="43">
                  <c:v>1.5601546797742061</c:v>
                </c:pt>
                <c:pt idx="44">
                  <c:v>1.4221531877154006</c:v>
                </c:pt>
                <c:pt idx="45">
                  <c:v>1.3007003239853623</c:v>
                </c:pt>
                <c:pt idx="46">
                  <c:v>1.1782667480757461</c:v>
                </c:pt>
                <c:pt idx="47">
                  <c:v>1.0798523226400718</c:v>
                </c:pt>
                <c:pt idx="48">
                  <c:v>0.98793775155888008</c:v>
                </c:pt>
                <c:pt idx="49">
                  <c:v>0.90196123294075292</c:v>
                </c:pt>
                <c:pt idx="50">
                  <c:v>0.82157313648495789</c:v>
                </c:pt>
                <c:pt idx="51">
                  <c:v>0.75429645034463444</c:v>
                </c:pt>
                <c:pt idx="52">
                  <c:v>0.687939367569112</c:v>
                </c:pt>
                <c:pt idx="53">
                  <c:v>0.62742766195207822</c:v>
                </c:pt>
                <c:pt idx="54">
                  <c:v>0.57616245508108765</c:v>
                </c:pt>
                <c:pt idx="55">
                  <c:v>0.52521545584517593</c:v>
                </c:pt>
                <c:pt idx="56">
                  <c:v>0.47883180962322047</c:v>
                </c:pt>
                <c:pt idx="57">
                  <c:v>0.43728355429678295</c:v>
                </c:pt>
                <c:pt idx="58">
                  <c:v>0.40017339838642685</c:v>
                </c:pt>
                <c:pt idx="59">
                  <c:v>0.36539010741691275</c:v>
                </c:pt>
                <c:pt idx="60">
                  <c:v>0.33370605414856269</c:v>
                </c:pt>
                <c:pt idx="61">
                  <c:v>0.3054853869152227</c:v>
                </c:pt>
                <c:pt idx="62">
                  <c:v>0.27898157478206637</c:v>
                </c:pt>
                <c:pt idx="63">
                  <c:v>0.25478714571925209</c:v>
                </c:pt>
                <c:pt idx="64">
                  <c:v>0.23303032597192633</c:v>
                </c:pt>
                <c:pt idx="65">
                  <c:v>0.21300120242485931</c:v>
                </c:pt>
                <c:pt idx="66">
                  <c:v>0.1945104147401199</c:v>
                </c:pt>
                <c:pt idx="67">
                  <c:v>0.17798765610793196</c:v>
                </c:pt>
                <c:pt idx="68">
                  <c:v>0.16259291734040449</c:v>
                </c:pt>
                <c:pt idx="69">
                  <c:v>0.14866202684585447</c:v>
                </c:pt>
                <c:pt idx="70">
                  <c:v>0.1357049000411662</c:v>
                </c:pt>
                <c:pt idx="71">
                  <c:v>0.12416029495592265</c:v>
                </c:pt>
                <c:pt idx="72">
                  <c:v>0.11350953967935375</c:v>
                </c:pt>
                <c:pt idx="73">
                  <c:v>0.10418866254751526</c:v>
                </c:pt>
                <c:pt idx="74">
                  <c:v>9.5090549266204902E-2</c:v>
                </c:pt>
                <c:pt idx="75">
                  <c:v>8.6790040486143707E-2</c:v>
                </c:pt>
                <c:pt idx="76">
                  <c:v>7.9209205183356238E-2</c:v>
                </c:pt>
                <c:pt idx="77">
                  <c:v>7.2394103516590647E-2</c:v>
                </c:pt>
                <c:pt idx="78">
                  <c:v>6.6271127218767004E-2</c:v>
                </c:pt>
                <c:pt idx="79">
                  <c:v>6.0392480701707239E-2</c:v>
                </c:pt>
                <c:pt idx="80">
                  <c:v>5.5211901586581867E-2</c:v>
                </c:pt>
                <c:pt idx="81">
                  <c:v>5.0592326077910289E-2</c:v>
                </c:pt>
                <c:pt idx="82">
                  <c:v>4.6120137948241172E-2</c:v>
                </c:pt>
                <c:pt idx="83">
                  <c:v>4.2210302523661432E-2</c:v>
                </c:pt>
                <c:pt idx="84">
                  <c:v>3.8625397885962323E-2</c:v>
                </c:pt>
                <c:pt idx="85">
                  <c:v>3.5265193301864978E-2</c:v>
                </c:pt>
                <c:pt idx="86">
                  <c:v>3.2232593036661594E-2</c:v>
                </c:pt>
                <c:pt idx="87">
                  <c:v>2.9461679473238168E-2</c:v>
                </c:pt>
                <c:pt idx="88">
                  <c:v>2.6918868967460603E-2</c:v>
                </c:pt>
                <c:pt idx="89">
                  <c:v>2.4645842377517338E-2</c:v>
                </c:pt>
                <c:pt idx="90">
                  <c:v>2.2553961280967535E-2</c:v>
                </c:pt>
                <c:pt idx="91">
                  <c:v>2.0584925212372193E-2</c:v>
                </c:pt>
                <c:pt idx="92">
                  <c:v>1.8815629285730714E-2</c:v>
                </c:pt>
                <c:pt idx="93">
                  <c:v>1.7185580968639484E-2</c:v>
                </c:pt>
                <c:pt idx="94">
                  <c:v>1.5727136514377068E-2</c:v>
                </c:pt>
                <c:pt idx="95">
                  <c:v>1.4365156227807936E-2</c:v>
                </c:pt>
                <c:pt idx="96">
                  <c:v>1.3135350385933399E-2</c:v>
                </c:pt>
                <c:pt idx="97">
                  <c:v>1.2008441932287554E-2</c:v>
                </c:pt>
                <c:pt idx="98">
                  <c:v>1.0972131216117197E-2</c:v>
                </c:pt>
                <c:pt idx="99">
                  <c:v>1.0025615666472559E-2</c:v>
                </c:pt>
                <c:pt idx="100">
                  <c:v>9.182328952085277E-3</c:v>
                </c:pt>
                <c:pt idx="101">
                  <c:v>8.4052303056680912E-3</c:v>
                </c:pt>
                <c:pt idx="102">
                  <c:v>7.641272191922099E-3</c:v>
                </c:pt>
                <c:pt idx="103">
                  <c:v>7.0046059815050757E-3</c:v>
                </c:pt>
                <c:pt idx="104">
                  <c:v>6.3901360397631496E-3</c:v>
                </c:pt>
                <c:pt idx="105">
                  <c:v>5.8429128462398469E-3</c:v>
                </c:pt>
                <c:pt idx="106">
                  <c:v>5.3558806187859664E-3</c:v>
                </c:pt>
                <c:pt idx="107">
                  <c:v>4.8991725720402878E-3</c:v>
                </c:pt>
                <c:pt idx="108">
                  <c:v>4.477220891740707E-3</c:v>
                </c:pt>
                <c:pt idx="109">
                  <c:v>4.0915376074390488E-3</c:v>
                </c:pt>
                <c:pt idx="110">
                  <c:v>3.7283830203875125E-3</c:v>
                </c:pt>
                <c:pt idx="111">
                  <c:v>3.4137495310801267E-3</c:v>
                </c:pt>
                <c:pt idx="112">
                  <c:v>3.1211071560740228E-3</c:v>
                </c:pt>
                <c:pt idx="113">
                  <c:v>2.8521536688533699E-3</c:v>
                </c:pt>
                <c:pt idx="114">
                  <c:v>2.6070598320441689E-3</c:v>
                </c:pt>
                <c:pt idx="115">
                  <c:v>2.3851791727039569E-3</c:v>
                </c:pt>
                <c:pt idx="116">
                  <c:v>2.1805992029292568E-3</c:v>
                </c:pt>
                <c:pt idx="117">
                  <c:v>1.9938247118867092E-3</c:v>
                </c:pt>
                <c:pt idx="118">
                  <c:v>1.8362839891062439E-3</c:v>
                </c:pt>
              </c:numCache>
            </c:numRef>
          </c:yVal>
          <c:smooth val="0"/>
        </c:ser>
        <c:ser>
          <c:idx val="0"/>
          <c:order val="1"/>
          <c:tx>
            <c:v>Conformance Corrected</c:v>
          </c:tx>
          <c:spPr>
            <a:ln w="12700">
              <a:solidFill>
                <a:srgbClr val="0000FF"/>
              </a:solidFill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Table!$B$18:$B$136</c:f>
              <c:numCache>
                <c:formatCode>0.000</c:formatCod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5.748177465255787E-4</c:v>
                </c:pt>
                <c:pt idx="40">
                  <c:v>1.4150665420085871E-3</c:v>
                </c:pt>
                <c:pt idx="41">
                  <c:v>2.2008394895062637E-3</c:v>
                </c:pt>
                <c:pt idx="42">
                  <c:v>3.2531513525277038E-3</c:v>
                </c:pt>
                <c:pt idx="43">
                  <c:v>4.2865442634163085E-3</c:v>
                </c:pt>
                <c:pt idx="44">
                  <c:v>5.7258515061210727E-3</c:v>
                </c:pt>
                <c:pt idx="45">
                  <c:v>7.2178068889570453E-3</c:v>
                </c:pt>
                <c:pt idx="46">
                  <c:v>8.8627711556996357E-3</c:v>
                </c:pt>
                <c:pt idx="47">
                  <c:v>1.1409321223172472E-2</c:v>
                </c:pt>
                <c:pt idx="48">
                  <c:v>1.4796798223764661E-2</c:v>
                </c:pt>
                <c:pt idx="49">
                  <c:v>1.8991478409084547E-2</c:v>
                </c:pt>
                <c:pt idx="50">
                  <c:v>2.3079440763588803E-2</c:v>
                </c:pt>
                <c:pt idx="51">
                  <c:v>2.6106182992485003E-2</c:v>
                </c:pt>
                <c:pt idx="52">
                  <c:v>2.9598729623060094E-2</c:v>
                </c:pt>
                <c:pt idx="53">
                  <c:v>3.3694844134818443E-2</c:v>
                </c:pt>
                <c:pt idx="54">
                  <c:v>3.7751945787262042E-2</c:v>
                </c:pt>
                <c:pt idx="55">
                  <c:v>4.1815005622253897E-2</c:v>
                </c:pt>
                <c:pt idx="56">
                  <c:v>4.5851603583810185E-2</c:v>
                </c:pt>
                <c:pt idx="57">
                  <c:v>5.070305825673331E-2</c:v>
                </c:pt>
                <c:pt idx="58">
                  <c:v>5.5371357745370227E-2</c:v>
                </c:pt>
                <c:pt idx="59">
                  <c:v>6.0599849691295282E-2</c:v>
                </c:pt>
                <c:pt idx="60">
                  <c:v>6.6411714071896458E-2</c:v>
                </c:pt>
                <c:pt idx="61">
                  <c:v>7.3201924356696493E-2</c:v>
                </c:pt>
                <c:pt idx="62">
                  <c:v>8.1498557564975399E-2</c:v>
                </c:pt>
                <c:pt idx="63">
                  <c:v>9.0962595648220512E-2</c:v>
                </c:pt>
                <c:pt idx="64">
                  <c:v>0.1014614862701544</c:v>
                </c:pt>
                <c:pt idx="65">
                  <c:v>0.11312405382325684</c:v>
                </c:pt>
                <c:pt idx="66">
                  <c:v>0.12623440533951841</c:v>
                </c:pt>
                <c:pt idx="67">
                  <c:v>0.14031789524315638</c:v>
                </c:pt>
                <c:pt idx="68">
                  <c:v>0.15616449948445202</c:v>
                </c:pt>
                <c:pt idx="69">
                  <c:v>0.17368010561453595</c:v>
                </c:pt>
                <c:pt idx="70">
                  <c:v>0.1932377110918278</c:v>
                </c:pt>
                <c:pt idx="71">
                  <c:v>0.2141267437183754</c:v>
                </c:pt>
                <c:pt idx="72">
                  <c:v>0.23675862633438854</c:v>
                </c:pt>
                <c:pt idx="73">
                  <c:v>0.25944639909613121</c:v>
                </c:pt>
                <c:pt idx="74">
                  <c:v>0.28423951723840685</c:v>
                </c:pt>
                <c:pt idx="75">
                  <c:v>0.30797015689272245</c:v>
                </c:pt>
                <c:pt idx="76">
                  <c:v>0.32931096698844947</c:v>
                </c:pt>
                <c:pt idx="77">
                  <c:v>0.34911922954287794</c:v>
                </c:pt>
                <c:pt idx="78">
                  <c:v>0.36919094312942186</c:v>
                </c:pt>
                <c:pt idx="79">
                  <c:v>0.39049081837146365</c:v>
                </c:pt>
                <c:pt idx="80">
                  <c:v>0.41138735040246033</c:v>
                </c:pt>
                <c:pt idx="81">
                  <c:v>0.43186966000899435</c:v>
                </c:pt>
                <c:pt idx="82">
                  <c:v>0.45458261452339388</c:v>
                </c:pt>
                <c:pt idx="83">
                  <c:v>0.47621539369600774</c:v>
                </c:pt>
                <c:pt idx="84">
                  <c:v>0.49853054614539594</c:v>
                </c:pt>
                <c:pt idx="85">
                  <c:v>0.52123288254750011</c:v>
                </c:pt>
                <c:pt idx="86">
                  <c:v>0.54427412820598275</c:v>
                </c:pt>
                <c:pt idx="87">
                  <c:v>0.56645083903823024</c:v>
                </c:pt>
                <c:pt idx="88">
                  <c:v>0.58855682047764679</c:v>
                </c:pt>
                <c:pt idx="89">
                  <c:v>0.6085693511432001</c:v>
                </c:pt>
                <c:pt idx="90">
                  <c:v>0.62908905623265421</c:v>
                </c:pt>
                <c:pt idx="91">
                  <c:v>0.64865626442898927</c:v>
                </c:pt>
                <c:pt idx="92">
                  <c:v>0.66753213487669394</c:v>
                </c:pt>
                <c:pt idx="93">
                  <c:v>0.68525353220778118</c:v>
                </c:pt>
                <c:pt idx="94">
                  <c:v>0.70287391241588348</c:v>
                </c:pt>
                <c:pt idx="95">
                  <c:v>0.71816399412121723</c:v>
                </c:pt>
                <c:pt idx="96">
                  <c:v>0.73498122727799431</c:v>
                </c:pt>
                <c:pt idx="97">
                  <c:v>0.7492325326749999</c:v>
                </c:pt>
                <c:pt idx="98">
                  <c:v>0.7638158426542685</c:v>
                </c:pt>
                <c:pt idx="99">
                  <c:v>0.77714540306808144</c:v>
                </c:pt>
                <c:pt idx="100">
                  <c:v>0.78863356232448523</c:v>
                </c:pt>
                <c:pt idx="101">
                  <c:v>0.80048349169106192</c:v>
                </c:pt>
                <c:pt idx="102">
                  <c:v>0.81010999994748234</c:v>
                </c:pt>
                <c:pt idx="103">
                  <c:v>0.82021786262795948</c:v>
                </c:pt>
                <c:pt idx="104">
                  <c:v>0.82770241332429295</c:v>
                </c:pt>
                <c:pt idx="105">
                  <c:v>0.83605254325134959</c:v>
                </c:pt>
                <c:pt idx="106">
                  <c:v>0.8423970684264841</c:v>
                </c:pt>
                <c:pt idx="107">
                  <c:v>0.84998890267273086</c:v>
                </c:pt>
                <c:pt idx="108">
                  <c:v>0.85287795757661666</c:v>
                </c:pt>
                <c:pt idx="109">
                  <c:v>0.8614132372104194</c:v>
                </c:pt>
                <c:pt idx="110">
                  <c:v>0.86592587691348022</c:v>
                </c:pt>
                <c:pt idx="111">
                  <c:v>0.87078299603018938</c:v>
                </c:pt>
                <c:pt idx="112">
                  <c:v>0.87634555235611766</c:v>
                </c:pt>
                <c:pt idx="113">
                  <c:v>0.87715310911528144</c:v>
                </c:pt>
                <c:pt idx="114">
                  <c:v>0.88446353437446512</c:v>
                </c:pt>
                <c:pt idx="115">
                  <c:v>0.885631526726956</c:v>
                </c:pt>
                <c:pt idx="116">
                  <c:v>0.885631526726956</c:v>
                </c:pt>
                <c:pt idx="117">
                  <c:v>0.89001802557684673</c:v>
                </c:pt>
                <c:pt idx="118">
                  <c:v>0.89368823701533684</c:v>
                </c:pt>
              </c:numCache>
            </c:numRef>
          </c:xVal>
          <c:yVal>
            <c:numRef>
              <c:f>Table!$E$18:$E$136</c:f>
              <c:numCache>
                <c:formatCode>???0.000</c:formatCode>
                <c:ptCount val="119"/>
                <c:pt idx="0">
                  <c:v>73.429073190040185</c:v>
                </c:pt>
                <c:pt idx="1">
                  <c:v>69.186919587292167</c:v>
                </c:pt>
                <c:pt idx="2">
                  <c:v>61.124653677331288</c:v>
                </c:pt>
                <c:pt idx="3">
                  <c:v>55.187466381243389</c:v>
                </c:pt>
                <c:pt idx="4">
                  <c:v>50.923925430906607</c:v>
                </c:pt>
                <c:pt idx="5">
                  <c:v>46.877823824794746</c:v>
                </c:pt>
                <c:pt idx="6">
                  <c:v>42.543092435881995</c:v>
                </c:pt>
                <c:pt idx="7">
                  <c:v>39.017780886179004</c:v>
                </c:pt>
                <c:pt idx="8">
                  <c:v>35.442280116411396</c:v>
                </c:pt>
                <c:pt idx="9">
                  <c:v>32.382436006269536</c:v>
                </c:pt>
                <c:pt idx="10">
                  <c:v>29.735635100310304</c:v>
                </c:pt>
                <c:pt idx="11">
                  <c:v>27.190162196008291</c:v>
                </c:pt>
                <c:pt idx="12">
                  <c:v>24.858856059468366</c:v>
                </c:pt>
                <c:pt idx="13">
                  <c:v>22.73726787646201</c:v>
                </c:pt>
                <c:pt idx="14">
                  <c:v>20.792502234150465</c:v>
                </c:pt>
                <c:pt idx="15">
                  <c:v>18.975192872638019</c:v>
                </c:pt>
                <c:pt idx="16">
                  <c:v>17.369505432379093</c:v>
                </c:pt>
                <c:pt idx="17">
                  <c:v>15.877225282446956</c:v>
                </c:pt>
                <c:pt idx="18">
                  <c:v>14.48959838017052</c:v>
                </c:pt>
                <c:pt idx="19">
                  <c:v>13.267196007397425</c:v>
                </c:pt>
                <c:pt idx="20">
                  <c:v>12.118033458982252</c:v>
                </c:pt>
                <c:pt idx="21">
                  <c:v>11.069682726051195</c:v>
                </c:pt>
                <c:pt idx="22">
                  <c:v>10.134627290001612</c:v>
                </c:pt>
                <c:pt idx="23">
                  <c:v>9.200264617638183</c:v>
                </c:pt>
                <c:pt idx="24">
                  <c:v>8.4916453889313086</c:v>
                </c:pt>
                <c:pt idx="25">
                  <c:v>7.711035212922047</c:v>
                </c:pt>
                <c:pt idx="26">
                  <c:v>7.0662056241225653</c:v>
                </c:pt>
                <c:pt idx="27">
                  <c:v>6.4775002186891486</c:v>
                </c:pt>
                <c:pt idx="28">
                  <c:v>5.9180218654097425</c:v>
                </c:pt>
                <c:pt idx="29">
                  <c:v>5.383612444613262</c:v>
                </c:pt>
                <c:pt idx="30">
                  <c:v>4.9219148795770824</c:v>
                </c:pt>
                <c:pt idx="31">
                  <c:v>4.5025755657454285</c:v>
                </c:pt>
                <c:pt idx="32">
                  <c:v>4.1098336495132939</c:v>
                </c:pt>
                <c:pt idx="33">
                  <c:v>3.7682051854919236</c:v>
                </c:pt>
                <c:pt idx="34">
                  <c:v>3.4965123203406687</c:v>
                </c:pt>
                <c:pt idx="35">
                  <c:v>3.2300188022610499</c:v>
                </c:pt>
                <c:pt idx="36">
                  <c:v>2.9547651518557139</c:v>
                </c:pt>
                <c:pt idx="37">
                  <c:v>2.7129287033684593</c:v>
                </c:pt>
                <c:pt idx="38">
                  <c:v>2.4439221008743925</c:v>
                </c:pt>
                <c:pt idx="39">
                  <c:v>2.234029735120088</c:v>
                </c:pt>
                <c:pt idx="40">
                  <c:v>2.0536224060898349</c:v>
                </c:pt>
                <c:pt idx="41">
                  <c:v>1.8604509976966666</c:v>
                </c:pt>
                <c:pt idx="42">
                  <c:v>1.6998574751314348</c:v>
                </c:pt>
                <c:pt idx="43">
                  <c:v>1.5601546797742061</c:v>
                </c:pt>
                <c:pt idx="44">
                  <c:v>1.4221531877154006</c:v>
                </c:pt>
                <c:pt idx="45">
                  <c:v>1.3007003239853623</c:v>
                </c:pt>
                <c:pt idx="46">
                  <c:v>1.1782667480757461</c:v>
                </c:pt>
                <c:pt idx="47">
                  <c:v>1.0798523226400718</c:v>
                </c:pt>
                <c:pt idx="48">
                  <c:v>0.98793775155888008</c:v>
                </c:pt>
                <c:pt idx="49">
                  <c:v>0.90196123294075292</c:v>
                </c:pt>
                <c:pt idx="50">
                  <c:v>0.82157313648495789</c:v>
                </c:pt>
                <c:pt idx="51">
                  <c:v>0.75429645034463444</c:v>
                </c:pt>
                <c:pt idx="52">
                  <c:v>0.687939367569112</c:v>
                </c:pt>
                <c:pt idx="53">
                  <c:v>0.62742766195207822</c:v>
                </c:pt>
                <c:pt idx="54">
                  <c:v>0.57616245508108765</c:v>
                </c:pt>
                <c:pt idx="55">
                  <c:v>0.52521545584517593</c:v>
                </c:pt>
                <c:pt idx="56">
                  <c:v>0.47883180962322047</c:v>
                </c:pt>
                <c:pt idx="57">
                  <c:v>0.43728355429678295</c:v>
                </c:pt>
                <c:pt idx="58">
                  <c:v>0.40017339838642685</c:v>
                </c:pt>
                <c:pt idx="59">
                  <c:v>0.36539010741691275</c:v>
                </c:pt>
                <c:pt idx="60">
                  <c:v>0.33370605414856269</c:v>
                </c:pt>
                <c:pt idx="61">
                  <c:v>0.3054853869152227</c:v>
                </c:pt>
                <c:pt idx="62">
                  <c:v>0.27898157478206637</c:v>
                </c:pt>
                <c:pt idx="63">
                  <c:v>0.25478714571925209</c:v>
                </c:pt>
                <c:pt idx="64">
                  <c:v>0.23303032597192633</c:v>
                </c:pt>
                <c:pt idx="65">
                  <c:v>0.21300120242485931</c:v>
                </c:pt>
                <c:pt idx="66">
                  <c:v>0.1945104147401199</c:v>
                </c:pt>
                <c:pt idx="67">
                  <c:v>0.17798765610793196</c:v>
                </c:pt>
                <c:pt idx="68">
                  <c:v>0.16259291734040449</c:v>
                </c:pt>
                <c:pt idx="69">
                  <c:v>0.14866202684585447</c:v>
                </c:pt>
                <c:pt idx="70">
                  <c:v>0.1357049000411662</c:v>
                </c:pt>
                <c:pt idx="71">
                  <c:v>0.12416029495592265</c:v>
                </c:pt>
                <c:pt idx="72">
                  <c:v>0.11350953967935375</c:v>
                </c:pt>
                <c:pt idx="73">
                  <c:v>0.10418866254751526</c:v>
                </c:pt>
                <c:pt idx="74">
                  <c:v>9.5090549266204902E-2</c:v>
                </c:pt>
                <c:pt idx="75">
                  <c:v>8.6790040486143707E-2</c:v>
                </c:pt>
                <c:pt idx="76">
                  <c:v>7.9209205183356238E-2</c:v>
                </c:pt>
                <c:pt idx="77">
                  <c:v>7.2394103516590647E-2</c:v>
                </c:pt>
                <c:pt idx="78">
                  <c:v>6.6271127218767004E-2</c:v>
                </c:pt>
                <c:pt idx="79">
                  <c:v>6.0392480701707239E-2</c:v>
                </c:pt>
                <c:pt idx="80">
                  <c:v>5.5211901586581867E-2</c:v>
                </c:pt>
                <c:pt idx="81">
                  <c:v>5.0592326077910289E-2</c:v>
                </c:pt>
                <c:pt idx="82">
                  <c:v>4.6120137948241172E-2</c:v>
                </c:pt>
                <c:pt idx="83">
                  <c:v>4.2210302523661432E-2</c:v>
                </c:pt>
                <c:pt idx="84">
                  <c:v>3.8625397885962323E-2</c:v>
                </c:pt>
                <c:pt idx="85">
                  <c:v>3.5265193301864978E-2</c:v>
                </c:pt>
                <c:pt idx="86">
                  <c:v>3.2232593036661594E-2</c:v>
                </c:pt>
                <c:pt idx="87">
                  <c:v>2.9461679473238168E-2</c:v>
                </c:pt>
                <c:pt idx="88">
                  <c:v>2.6918868967460603E-2</c:v>
                </c:pt>
                <c:pt idx="89">
                  <c:v>2.4645842377517338E-2</c:v>
                </c:pt>
                <c:pt idx="90">
                  <c:v>2.2553961280967535E-2</c:v>
                </c:pt>
                <c:pt idx="91">
                  <c:v>2.0584925212372193E-2</c:v>
                </c:pt>
                <c:pt idx="92">
                  <c:v>1.8815629285730714E-2</c:v>
                </c:pt>
                <c:pt idx="93">
                  <c:v>1.7185580968639484E-2</c:v>
                </c:pt>
                <c:pt idx="94">
                  <c:v>1.5727136514377068E-2</c:v>
                </c:pt>
                <c:pt idx="95">
                  <c:v>1.4365156227807936E-2</c:v>
                </c:pt>
                <c:pt idx="96">
                  <c:v>1.3135350385933399E-2</c:v>
                </c:pt>
                <c:pt idx="97">
                  <c:v>1.2008441932287554E-2</c:v>
                </c:pt>
                <c:pt idx="98">
                  <c:v>1.0972131216117197E-2</c:v>
                </c:pt>
                <c:pt idx="99">
                  <c:v>1.0025615666472559E-2</c:v>
                </c:pt>
                <c:pt idx="100">
                  <c:v>9.182328952085277E-3</c:v>
                </c:pt>
                <c:pt idx="101">
                  <c:v>8.4052303056680912E-3</c:v>
                </c:pt>
                <c:pt idx="102">
                  <c:v>7.641272191922099E-3</c:v>
                </c:pt>
                <c:pt idx="103">
                  <c:v>7.0046059815050757E-3</c:v>
                </c:pt>
                <c:pt idx="104">
                  <c:v>6.3901360397631496E-3</c:v>
                </c:pt>
                <c:pt idx="105">
                  <c:v>5.8429128462398469E-3</c:v>
                </c:pt>
                <c:pt idx="106">
                  <c:v>5.3558806187859664E-3</c:v>
                </c:pt>
                <c:pt idx="107">
                  <c:v>4.8991725720402878E-3</c:v>
                </c:pt>
                <c:pt idx="108">
                  <c:v>4.477220891740707E-3</c:v>
                </c:pt>
                <c:pt idx="109">
                  <c:v>4.0915376074390488E-3</c:v>
                </c:pt>
                <c:pt idx="110">
                  <c:v>3.7283830203875125E-3</c:v>
                </c:pt>
                <c:pt idx="111">
                  <c:v>3.4137495310801267E-3</c:v>
                </c:pt>
                <c:pt idx="112">
                  <c:v>3.1211071560740228E-3</c:v>
                </c:pt>
                <c:pt idx="113">
                  <c:v>2.8521536688533699E-3</c:v>
                </c:pt>
                <c:pt idx="114">
                  <c:v>2.6070598320441689E-3</c:v>
                </c:pt>
                <c:pt idx="115">
                  <c:v>2.3851791727039569E-3</c:v>
                </c:pt>
                <c:pt idx="116">
                  <c:v>2.1805992029292568E-3</c:v>
                </c:pt>
                <c:pt idx="117">
                  <c:v>1.9938247118867092E-3</c:v>
                </c:pt>
                <c:pt idx="118">
                  <c:v>1.8362839891062439E-3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134336"/>
        <c:axId val="103136640"/>
      </c:scatterChart>
      <c:valAx>
        <c:axId val="103134336"/>
        <c:scaling>
          <c:orientation val="maxMin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/>
                  <a:t>Mercury Saturation, fraction pore space</a:t>
                </a:r>
              </a:p>
            </c:rich>
          </c:tx>
          <c:layout>
            <c:manualLayout>
              <c:xMode val="edge"/>
              <c:yMode val="edge"/>
              <c:x val="0.26547320428824939"/>
              <c:y val="0.9407171720703485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575"/>
            </a:pPr>
            <a:endParaRPr lang="en-US"/>
          </a:p>
        </c:txPr>
        <c:crossAx val="103136640"/>
        <c:crossesAt val="1.0000000000000041E-3"/>
        <c:crossBetween val="midCat"/>
        <c:majorUnit val="0.2"/>
        <c:minorUnit val="0.1"/>
      </c:valAx>
      <c:valAx>
        <c:axId val="103136640"/>
        <c:scaling>
          <c:logBase val="10"/>
          <c:orientation val="minMax"/>
          <c:max val="1000"/>
          <c:min val="1.0000000000000041E-3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/>
                  <a:t>Pore Throat Radius, microns.</a:t>
                </a:r>
              </a:p>
            </c:rich>
          </c:tx>
          <c:layout>
            <c:manualLayout>
              <c:xMode val="edge"/>
              <c:yMode val="edge"/>
              <c:x val="1.7605633802816906E-2"/>
              <c:y val="0.288590956331800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575"/>
            </a:pPr>
            <a:endParaRPr lang="en-US"/>
          </a:p>
        </c:txPr>
        <c:crossAx val="103134336"/>
        <c:crosses val="max"/>
        <c:crossBetween val="midCat"/>
        <c:majorUnit val="1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901411284906759"/>
          <c:y val="6.0402679443359433E-2"/>
          <c:w val="0.4260563032526869"/>
          <c:h val="9.39597296336340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505"/>
          </a:pPr>
          <a:endParaRPr lang="en-US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 w="3175">
      <a:solidFill>
        <a:sysClr val="windowText" lastClr="000000"/>
      </a:solidFill>
    </a:ln>
  </c:spPr>
  <c:txPr>
    <a:bodyPr/>
    <a:lstStyle/>
    <a:p>
      <a:pPr>
        <a:defRPr sz="600">
          <a:solidFill>
            <a:srgbClr val="000000"/>
          </a:solidFill>
          <a:latin typeface="Arial"/>
        </a:defRPr>
      </a:pPr>
      <a:endParaRPr lang="en-US"/>
    </a:p>
  </c:txPr>
  <c:printSettings>
    <c:headerFooter/>
    <c:pageMargins b="1" l="0.75000000000000921" r="0.75000000000000921" t="1" header="0.5" footer="0.5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en-US" sz="900" b="1">
                <a:latin typeface="Arial"/>
              </a:rPr>
              <a:t>Normalized Data V.S. Pore Size Distrubition</a:t>
            </a:r>
          </a:p>
        </c:rich>
      </c:tx>
      <c:layout>
        <c:manualLayout>
          <c:xMode val="edge"/>
          <c:yMode val="edge"/>
          <c:x val="0.30823972597678045"/>
          <c:y val="5.73523378841218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30384661626489"/>
          <c:y val="0.16126507112319541"/>
          <c:w val="0.81528794194843257"/>
          <c:h val="0.67664041994752278"/>
        </c:manualLayout>
      </c:layout>
      <c:scatterChart>
        <c:scatterStyle val="lineMarker"/>
        <c:varyColors val="0"/>
        <c:ser>
          <c:idx val="0"/>
          <c:order val="0"/>
          <c:tx>
            <c:v>Normalized Pore Size Distribution</c:v>
          </c:tx>
          <c:spPr>
            <a:ln w="15875">
              <a:solidFill>
                <a:schemeClr val="dk2">
                  <a:lumMod val="75000"/>
                </a:schemeClr>
              </a:solidFill>
            </a:ln>
          </c:spPr>
          <c:marker>
            <c:symbol val="circle"/>
            <c:size val="5"/>
            <c:spPr>
              <a:solidFill>
                <a:schemeClr val="dk2">
                  <a:lumMod val="75000"/>
                </a:schemeClr>
              </a:solidFill>
              <a:ln>
                <a:solidFill>
                  <a:schemeClr val="dk2">
                    <a:lumMod val="75000"/>
                  </a:schemeClr>
                </a:solidFill>
              </a:ln>
            </c:spPr>
          </c:marker>
          <c:xVal>
            <c:numRef>
              <c:f>Table!$E$18:$E$136</c:f>
              <c:numCache>
                <c:formatCode>???0.000</c:formatCode>
                <c:ptCount val="119"/>
                <c:pt idx="0">
                  <c:v>73.429073190040185</c:v>
                </c:pt>
                <c:pt idx="1">
                  <c:v>69.186919587292167</c:v>
                </c:pt>
                <c:pt idx="2">
                  <c:v>61.124653677331288</c:v>
                </c:pt>
                <c:pt idx="3">
                  <c:v>55.187466381243389</c:v>
                </c:pt>
                <c:pt idx="4">
                  <c:v>50.923925430906607</c:v>
                </c:pt>
                <c:pt idx="5">
                  <c:v>46.877823824794746</c:v>
                </c:pt>
                <c:pt idx="6">
                  <c:v>42.543092435881995</c:v>
                </c:pt>
                <c:pt idx="7">
                  <c:v>39.017780886179004</c:v>
                </c:pt>
                <c:pt idx="8">
                  <c:v>35.442280116411396</c:v>
                </c:pt>
                <c:pt idx="9">
                  <c:v>32.382436006269536</c:v>
                </c:pt>
                <c:pt idx="10">
                  <c:v>29.735635100310304</c:v>
                </c:pt>
                <c:pt idx="11">
                  <c:v>27.190162196008291</c:v>
                </c:pt>
                <c:pt idx="12">
                  <c:v>24.858856059468366</c:v>
                </c:pt>
                <c:pt idx="13">
                  <c:v>22.73726787646201</c:v>
                </c:pt>
                <c:pt idx="14">
                  <c:v>20.792502234150465</c:v>
                </c:pt>
                <c:pt idx="15">
                  <c:v>18.975192872638019</c:v>
                </c:pt>
                <c:pt idx="16">
                  <c:v>17.369505432379093</c:v>
                </c:pt>
                <c:pt idx="17">
                  <c:v>15.877225282446956</c:v>
                </c:pt>
                <c:pt idx="18">
                  <c:v>14.48959838017052</c:v>
                </c:pt>
                <c:pt idx="19">
                  <c:v>13.267196007397425</c:v>
                </c:pt>
                <c:pt idx="20">
                  <c:v>12.118033458982252</c:v>
                </c:pt>
                <c:pt idx="21">
                  <c:v>11.069682726051195</c:v>
                </c:pt>
                <c:pt idx="22">
                  <c:v>10.134627290001612</c:v>
                </c:pt>
                <c:pt idx="23">
                  <c:v>9.200264617638183</c:v>
                </c:pt>
                <c:pt idx="24">
                  <c:v>8.4916453889313086</c:v>
                </c:pt>
                <c:pt idx="25">
                  <c:v>7.711035212922047</c:v>
                </c:pt>
                <c:pt idx="26">
                  <c:v>7.0662056241225653</c:v>
                </c:pt>
                <c:pt idx="27">
                  <c:v>6.4775002186891486</c:v>
                </c:pt>
                <c:pt idx="28">
                  <c:v>5.9180218654097425</c:v>
                </c:pt>
                <c:pt idx="29">
                  <c:v>5.383612444613262</c:v>
                </c:pt>
                <c:pt idx="30">
                  <c:v>4.9219148795770824</c:v>
                </c:pt>
                <c:pt idx="31">
                  <c:v>4.5025755657454285</c:v>
                </c:pt>
                <c:pt idx="32">
                  <c:v>4.1098336495132939</c:v>
                </c:pt>
                <c:pt idx="33">
                  <c:v>3.7682051854919236</c:v>
                </c:pt>
                <c:pt idx="34">
                  <c:v>3.4965123203406687</c:v>
                </c:pt>
                <c:pt idx="35">
                  <c:v>3.2300188022610499</c:v>
                </c:pt>
                <c:pt idx="36">
                  <c:v>2.9547651518557139</c:v>
                </c:pt>
                <c:pt idx="37">
                  <c:v>2.7129287033684593</c:v>
                </c:pt>
                <c:pt idx="38">
                  <c:v>2.4439221008743925</c:v>
                </c:pt>
                <c:pt idx="39">
                  <c:v>2.234029735120088</c:v>
                </c:pt>
                <c:pt idx="40">
                  <c:v>2.0536224060898349</c:v>
                </c:pt>
                <c:pt idx="41">
                  <c:v>1.8604509976966666</c:v>
                </c:pt>
                <c:pt idx="42">
                  <c:v>1.6998574751314348</c:v>
                </c:pt>
                <c:pt idx="43">
                  <c:v>1.5601546797742061</c:v>
                </c:pt>
                <c:pt idx="44">
                  <c:v>1.4221531877154006</c:v>
                </c:pt>
                <c:pt idx="45">
                  <c:v>1.3007003239853623</c:v>
                </c:pt>
                <c:pt idx="46">
                  <c:v>1.1782667480757461</c:v>
                </c:pt>
                <c:pt idx="47">
                  <c:v>1.0798523226400718</c:v>
                </c:pt>
                <c:pt idx="48">
                  <c:v>0.98793775155888008</c:v>
                </c:pt>
                <c:pt idx="49">
                  <c:v>0.90196123294075292</c:v>
                </c:pt>
                <c:pt idx="50">
                  <c:v>0.82157313648495789</c:v>
                </c:pt>
                <c:pt idx="51">
                  <c:v>0.75429645034463444</c:v>
                </c:pt>
                <c:pt idx="52">
                  <c:v>0.687939367569112</c:v>
                </c:pt>
                <c:pt idx="53">
                  <c:v>0.62742766195207822</c:v>
                </c:pt>
                <c:pt idx="54">
                  <c:v>0.57616245508108765</c:v>
                </c:pt>
                <c:pt idx="55">
                  <c:v>0.52521545584517593</c:v>
                </c:pt>
                <c:pt idx="56">
                  <c:v>0.47883180962322047</c:v>
                </c:pt>
                <c:pt idx="57">
                  <c:v>0.43728355429678295</c:v>
                </c:pt>
                <c:pt idx="58">
                  <c:v>0.40017339838642685</c:v>
                </c:pt>
                <c:pt idx="59">
                  <c:v>0.36539010741691275</c:v>
                </c:pt>
                <c:pt idx="60">
                  <c:v>0.33370605414856269</c:v>
                </c:pt>
                <c:pt idx="61">
                  <c:v>0.3054853869152227</c:v>
                </c:pt>
                <c:pt idx="62">
                  <c:v>0.27898157478206637</c:v>
                </c:pt>
                <c:pt idx="63">
                  <c:v>0.25478714571925209</c:v>
                </c:pt>
                <c:pt idx="64">
                  <c:v>0.23303032597192633</c:v>
                </c:pt>
                <c:pt idx="65">
                  <c:v>0.21300120242485931</c:v>
                </c:pt>
                <c:pt idx="66">
                  <c:v>0.1945104147401199</c:v>
                </c:pt>
                <c:pt idx="67">
                  <c:v>0.17798765610793196</c:v>
                </c:pt>
                <c:pt idx="68">
                  <c:v>0.16259291734040449</c:v>
                </c:pt>
                <c:pt idx="69">
                  <c:v>0.14866202684585447</c:v>
                </c:pt>
                <c:pt idx="70">
                  <c:v>0.1357049000411662</c:v>
                </c:pt>
                <c:pt idx="71">
                  <c:v>0.12416029495592265</c:v>
                </c:pt>
                <c:pt idx="72">
                  <c:v>0.11350953967935375</c:v>
                </c:pt>
                <c:pt idx="73">
                  <c:v>0.10418866254751526</c:v>
                </c:pt>
                <c:pt idx="74">
                  <c:v>9.5090549266204902E-2</c:v>
                </c:pt>
                <c:pt idx="75">
                  <c:v>8.6790040486143707E-2</c:v>
                </c:pt>
                <c:pt idx="76">
                  <c:v>7.9209205183356238E-2</c:v>
                </c:pt>
                <c:pt idx="77">
                  <c:v>7.2394103516590647E-2</c:v>
                </c:pt>
                <c:pt idx="78">
                  <c:v>6.6271127218767004E-2</c:v>
                </c:pt>
                <c:pt idx="79">
                  <c:v>6.0392480701707239E-2</c:v>
                </c:pt>
                <c:pt idx="80">
                  <c:v>5.5211901586581867E-2</c:v>
                </c:pt>
                <c:pt idx="81">
                  <c:v>5.0592326077910289E-2</c:v>
                </c:pt>
                <c:pt idx="82">
                  <c:v>4.6120137948241172E-2</c:v>
                </c:pt>
                <c:pt idx="83">
                  <c:v>4.2210302523661432E-2</c:v>
                </c:pt>
                <c:pt idx="84">
                  <c:v>3.8625397885962323E-2</c:v>
                </c:pt>
                <c:pt idx="85">
                  <c:v>3.5265193301864978E-2</c:v>
                </c:pt>
                <c:pt idx="86">
                  <c:v>3.2232593036661594E-2</c:v>
                </c:pt>
                <c:pt idx="87">
                  <c:v>2.9461679473238168E-2</c:v>
                </c:pt>
                <c:pt idx="88">
                  <c:v>2.6918868967460603E-2</c:v>
                </c:pt>
                <c:pt idx="89">
                  <c:v>2.4645842377517338E-2</c:v>
                </c:pt>
                <c:pt idx="90">
                  <c:v>2.2553961280967535E-2</c:v>
                </c:pt>
                <c:pt idx="91">
                  <c:v>2.0584925212372193E-2</c:v>
                </c:pt>
                <c:pt idx="92">
                  <c:v>1.8815629285730714E-2</c:v>
                </c:pt>
                <c:pt idx="93">
                  <c:v>1.7185580968639484E-2</c:v>
                </c:pt>
                <c:pt idx="94">
                  <c:v>1.5727136514377068E-2</c:v>
                </c:pt>
                <c:pt idx="95">
                  <c:v>1.4365156227807936E-2</c:v>
                </c:pt>
                <c:pt idx="96">
                  <c:v>1.3135350385933399E-2</c:v>
                </c:pt>
                <c:pt idx="97">
                  <c:v>1.2008441932287554E-2</c:v>
                </c:pt>
                <c:pt idx="98">
                  <c:v>1.0972131216117197E-2</c:v>
                </c:pt>
                <c:pt idx="99">
                  <c:v>1.0025615666472559E-2</c:v>
                </c:pt>
                <c:pt idx="100">
                  <c:v>9.182328952085277E-3</c:v>
                </c:pt>
                <c:pt idx="101">
                  <c:v>8.4052303056680912E-3</c:v>
                </c:pt>
                <c:pt idx="102">
                  <c:v>7.641272191922099E-3</c:v>
                </c:pt>
                <c:pt idx="103">
                  <c:v>7.0046059815050757E-3</c:v>
                </c:pt>
                <c:pt idx="104">
                  <c:v>6.3901360397631496E-3</c:v>
                </c:pt>
                <c:pt idx="105">
                  <c:v>5.8429128462398469E-3</c:v>
                </c:pt>
                <c:pt idx="106">
                  <c:v>5.3558806187859664E-3</c:v>
                </c:pt>
                <c:pt idx="107">
                  <c:v>4.8991725720402878E-3</c:v>
                </c:pt>
                <c:pt idx="108">
                  <c:v>4.477220891740707E-3</c:v>
                </c:pt>
                <c:pt idx="109">
                  <c:v>4.0915376074390488E-3</c:v>
                </c:pt>
                <c:pt idx="110">
                  <c:v>3.7283830203875125E-3</c:v>
                </c:pt>
                <c:pt idx="111">
                  <c:v>3.4137495310801267E-3</c:v>
                </c:pt>
                <c:pt idx="112">
                  <c:v>3.1211071560740228E-3</c:v>
                </c:pt>
                <c:pt idx="113">
                  <c:v>2.8521536688533699E-3</c:v>
                </c:pt>
                <c:pt idx="114">
                  <c:v>2.6070598320441689E-3</c:v>
                </c:pt>
                <c:pt idx="115">
                  <c:v>2.3851791727039569E-3</c:v>
                </c:pt>
                <c:pt idx="116">
                  <c:v>2.1805992029292568E-3</c:v>
                </c:pt>
                <c:pt idx="117">
                  <c:v>1.9938247118867092E-3</c:v>
                </c:pt>
                <c:pt idx="118">
                  <c:v>1.8362839891062439E-3</c:v>
                </c:pt>
              </c:numCache>
            </c:numRef>
          </c:xVal>
          <c:yVal>
            <c:numRef>
              <c:f>Table!$S$18:$S$136</c:f>
              <c:numCache>
                <c:formatCode>????0.000</c:formatCod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2.3184568525305264E-2</c:v>
                </c:pt>
                <c:pt idx="40">
                  <c:v>3.3890404210605116E-2</c:v>
                </c:pt>
                <c:pt idx="41">
                  <c:v>3.1693187722032702E-2</c:v>
                </c:pt>
                <c:pt idx="42">
                  <c:v>4.2443707845973004E-2</c:v>
                </c:pt>
                <c:pt idx="43">
                  <c:v>4.1680635124572298E-2</c:v>
                </c:pt>
                <c:pt idx="44">
                  <c:v>5.8052691656018431E-2</c:v>
                </c:pt>
                <c:pt idx="45">
                  <c:v>6.0176189790826909E-2</c:v>
                </c:pt>
                <c:pt idx="46">
                  <c:v>6.6347615386775513E-2</c:v>
                </c:pt>
                <c:pt idx="47">
                  <c:v>0.10271197244571759</c:v>
                </c:pt>
                <c:pt idx="48">
                  <c:v>0.13662972850583405</c:v>
                </c:pt>
                <c:pt idx="49">
                  <c:v>0.16918727855240545</c:v>
                </c:pt>
                <c:pt idx="50">
                  <c:v>0.16488294578541635</c:v>
                </c:pt>
                <c:pt idx="51">
                  <c:v>0.12207993409813155</c:v>
                </c:pt>
                <c:pt idx="52">
                  <c:v>0.14086758311451855</c:v>
                </c:pt>
                <c:pt idx="53">
                  <c:v>0.16521175304585495</c:v>
                </c:pt>
                <c:pt idx="54">
                  <c:v>0.16363821723277677</c:v>
                </c:pt>
                <c:pt idx="55">
                  <c:v>0.16387853321538384</c:v>
                </c:pt>
                <c:pt idx="56">
                  <c:v>0.16281122601813203</c:v>
                </c:pt>
                <c:pt idx="57">
                  <c:v>0.19567747167108984</c:v>
                </c:pt>
                <c:pt idx="58">
                  <c:v>0.18829013203776215</c:v>
                </c:pt>
                <c:pt idx="59">
                  <c:v>0.21088480746638177</c:v>
                </c:pt>
                <c:pt idx="60">
                  <c:v>0.23441441884194292</c:v>
                </c:pt>
                <c:pt idx="61">
                  <c:v>0.2738748004923916</c:v>
                </c:pt>
                <c:pt idx="62">
                  <c:v>0.33463452078389516</c:v>
                </c:pt>
                <c:pt idx="63">
                  <c:v>0.38172036405165355</c:v>
                </c:pt>
                <c:pt idx="64">
                  <c:v>0.4234598714726347</c:v>
                </c:pt>
                <c:pt idx="65">
                  <c:v>0.47039535270136812</c:v>
                </c:pt>
                <c:pt idx="66">
                  <c:v>0.52878994247628075</c:v>
                </c:pt>
                <c:pt idx="67">
                  <c:v>0.56804028532513262</c:v>
                </c:pt>
                <c:pt idx="68">
                  <c:v>0.63915333885635872</c:v>
                </c:pt>
                <c:pt idx="69">
                  <c:v>0.70647048223504583</c:v>
                </c:pt>
                <c:pt idx="70">
                  <c:v>0.78883202044455525</c:v>
                </c:pt>
                <c:pt idx="71">
                  <c:v>0.8425335008963214</c:v>
                </c:pt>
                <c:pt idx="72">
                  <c:v>0.91282921680684892</c:v>
                </c:pt>
                <c:pt idx="73">
                  <c:v>0.91508347725964023</c:v>
                </c:pt>
                <c:pt idx="74">
                  <c:v>1</c:v>
                </c:pt>
                <c:pt idx="75">
                  <c:v>0.95714623381121355</c:v>
                </c:pt>
                <c:pt idx="76">
                  <c:v>0.86075539080088681</c:v>
                </c:pt>
                <c:pt idx="77">
                  <c:v>0.79894196610359736</c:v>
                </c:pt>
                <c:pt idx="78">
                  <c:v>0.80956794023898571</c:v>
                </c:pt>
                <c:pt idx="79">
                  <c:v>0.8591043337030938</c:v>
                </c:pt>
                <c:pt idx="80">
                  <c:v>0.8428359801732741</c:v>
                </c:pt>
                <c:pt idx="81">
                  <c:v>0.82612882691866407</c:v>
                </c:pt>
                <c:pt idx="82">
                  <c:v>0.91609915235594563</c:v>
                </c:pt>
                <c:pt idx="83">
                  <c:v>0.87253160528150864</c:v>
                </c:pt>
                <c:pt idx="84">
                  <c:v>0.90005429415261118</c:v>
                </c:pt>
                <c:pt idx="85">
                  <c:v>0.91567088382455619</c:v>
                </c:pt>
                <c:pt idx="86">
                  <c:v>0.92934037285105286</c:v>
                </c:pt>
                <c:pt idx="87">
                  <c:v>0.89447042138815014</c:v>
                </c:pt>
                <c:pt idx="88">
                  <c:v>0.89161763811074857</c:v>
                </c:pt>
                <c:pt idx="89">
                  <c:v>0.80718086973615555</c:v>
                </c:pt>
                <c:pt idx="90">
                  <c:v>0.82763712783932664</c:v>
                </c:pt>
                <c:pt idx="91">
                  <c:v>0.7892193343349706</c:v>
                </c:pt>
                <c:pt idx="92">
                  <c:v>0.76133507449064031</c:v>
                </c:pt>
                <c:pt idx="93">
                  <c:v>0.71477081782907526</c:v>
                </c:pt>
                <c:pt idx="94">
                  <c:v>0.7106964161178726</c:v>
                </c:pt>
                <c:pt idx="95">
                  <c:v>0.61670668520157124</c:v>
                </c:pt>
                <c:pt idx="96">
                  <c:v>0.67830246523535931</c:v>
                </c:pt>
                <c:pt idx="97">
                  <c:v>0.57480891734651052</c:v>
                </c:pt>
                <c:pt idx="98">
                  <c:v>0.58819991481434808</c:v>
                </c:pt>
                <c:pt idx="99">
                  <c:v>0.53763146439754317</c:v>
                </c:pt>
                <c:pt idx="100">
                  <c:v>0.46336080804676644</c:v>
                </c:pt>
                <c:pt idx="101">
                  <c:v>0.47795236156161225</c:v>
                </c:pt>
                <c:pt idx="102">
                  <c:v>0.38827339914159131</c:v>
                </c:pt>
                <c:pt idx="103">
                  <c:v>0.40768823923126724</c:v>
                </c:pt>
                <c:pt idx="104">
                  <c:v>0.3018801690607561</c:v>
                </c:pt>
                <c:pt idx="105">
                  <c:v>0.33679224529723556</c:v>
                </c:pt>
                <c:pt idx="106">
                  <c:v>0.25589863843371236</c:v>
                </c:pt>
                <c:pt idx="107">
                  <c:v>0.30620731941343249</c:v>
                </c:pt>
                <c:pt idx="108">
                  <c:v>0.1165264847812575</c:v>
                </c:pt>
                <c:pt idx="109">
                  <c:v>0.34426003154677531</c:v>
                </c:pt>
                <c:pt idx="110">
                  <c:v>0.18201178557553646</c:v>
                </c:pt>
                <c:pt idx="111">
                  <c:v>0.19590594006112988</c:v>
                </c:pt>
                <c:pt idx="112">
                  <c:v>0.2243588843487728</c:v>
                </c:pt>
                <c:pt idx="113">
                  <c:v>3.2571811037627428E-2</c:v>
                </c:pt>
                <c:pt idx="114">
                  <c:v>0.29485703319899947</c:v>
                </c:pt>
                <c:pt idx="115">
                  <c:v>4.7109538452902E-2</c:v>
                </c:pt>
                <c:pt idx="116">
                  <c:v>0</c:v>
                </c:pt>
                <c:pt idx="117">
                  <c:v>0.17692404903323364</c:v>
                </c:pt>
                <c:pt idx="118">
                  <c:v>0.1480334751534097</c:v>
                </c:pt>
              </c:numCache>
            </c:numRef>
          </c:yVal>
          <c:smooth val="0"/>
        </c:ser>
        <c:ser>
          <c:idx val="1"/>
          <c:order val="1"/>
          <c:tx>
            <c:v>Conformance Point</c:v>
          </c:tx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Table!$AE$17</c:f>
              <c:numCache>
                <c:formatCode>General</c:formatCode>
                <c:ptCount val="1"/>
                <c:pt idx="0">
                  <c:v>2.4439221008743925</c:v>
                </c:pt>
              </c:numCache>
            </c:numRef>
          </c:xVal>
          <c:yVal>
            <c:numRef>
              <c:f>Table!$AD$17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237120"/>
        <c:axId val="103251968"/>
      </c:scatterChart>
      <c:valAx>
        <c:axId val="103237120"/>
        <c:scaling>
          <c:logBase val="10"/>
          <c:orientation val="minMax"/>
          <c:max val="100"/>
          <c:min val="1.0000000000000041E-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>
                    <a:latin typeface="Arial"/>
                  </a:rPr>
                  <a:t>Pore Throat Radius (Microns)</a:t>
                </a:r>
              </a:p>
            </c:rich>
          </c:tx>
          <c:layout>
            <c:manualLayout>
              <c:xMode val="edge"/>
              <c:yMode val="edge"/>
              <c:x val="0.40741869092575211"/>
              <c:y val="0.925774717568987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600">
                <a:latin typeface="Arial"/>
              </a:defRPr>
            </a:pPr>
            <a:endParaRPr lang="en-US"/>
          </a:p>
        </c:txPr>
        <c:crossAx val="103251968"/>
        <c:crosses val="autoZero"/>
        <c:crossBetween val="midCat"/>
      </c:valAx>
      <c:valAx>
        <c:axId val="103251968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>
                    <a:latin typeface="Arial"/>
                  </a:rPr>
                  <a:t>Dristubition Function</a:t>
                </a:r>
              </a:p>
            </c:rich>
          </c:tx>
          <c:layout>
            <c:manualLayout>
              <c:xMode val="edge"/>
              <c:yMode val="edge"/>
              <c:x val="3.5392202272293852E-2"/>
              <c:y val="0.308868582062702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600">
                <a:latin typeface="Arial"/>
              </a:defRPr>
            </a:pPr>
            <a:endParaRPr lang="en-US"/>
          </a:p>
        </c:txPr>
        <c:crossAx val="103237120"/>
        <c:crossesAt val="1.0000000000000041E-3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chemeClr val="dk1"/>
      </a:solidFill>
    </a:ln>
  </c:spPr>
  <c:txPr>
    <a:bodyPr/>
    <a:lstStyle/>
    <a:p>
      <a:pPr>
        <a:defRPr sz="800">
          <a:solidFill>
            <a:srgbClr val="000000"/>
          </a:solidFill>
          <a:latin typeface="Times New Roman"/>
        </a:defRPr>
      </a:pPr>
      <a:endParaRPr lang="en-US"/>
    </a:p>
  </c:txPr>
  <c:printSettings>
    <c:headerFooter/>
    <c:pageMargins b="1" l="0.75000000000000844" r="0.75000000000000844" t="1" header="0.5" footer="0.5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en-US" sz="900" b="1">
                <a:latin typeface="Arial"/>
              </a:rPr>
              <a:t>Saturation vs Pore Throat Size</a:t>
            </a:r>
          </a:p>
        </c:rich>
      </c:tx>
      <c:layout>
        <c:manualLayout>
          <c:xMode val="edge"/>
          <c:yMode val="edge"/>
          <c:x val="0.33093532012654897"/>
          <c:y val="3.10422220844448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64490420478818"/>
          <c:y val="0.10419268510258722"/>
          <c:w val="0.79829436705027268"/>
          <c:h val="0.76090414211159918"/>
        </c:manualLayout>
      </c:layout>
      <c:scatterChart>
        <c:scatterStyle val="smoothMarker"/>
        <c:varyColors val="0"/>
        <c:ser>
          <c:idx val="0"/>
          <c:order val="0"/>
          <c:tx>
            <c:v>Sat. (Frac)</c:v>
          </c:tx>
          <c:spPr>
            <a:ln w="12700">
              <a:solidFill>
                <a:srgbClr val="800080"/>
              </a:solidFill>
            </a:ln>
          </c:spPr>
          <c:marker>
            <c:symbol val="diamond"/>
            <c:size val="3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Table!$E$18:$E$136</c:f>
              <c:numCache>
                <c:formatCode>???0.000</c:formatCode>
                <c:ptCount val="119"/>
                <c:pt idx="0">
                  <c:v>73.429073190040185</c:v>
                </c:pt>
                <c:pt idx="1">
                  <c:v>69.186919587292167</c:v>
                </c:pt>
                <c:pt idx="2">
                  <c:v>61.124653677331288</c:v>
                </c:pt>
                <c:pt idx="3">
                  <c:v>55.187466381243389</c:v>
                </c:pt>
                <c:pt idx="4">
                  <c:v>50.923925430906607</c:v>
                </c:pt>
                <c:pt idx="5">
                  <c:v>46.877823824794746</c:v>
                </c:pt>
                <c:pt idx="6">
                  <c:v>42.543092435881995</c:v>
                </c:pt>
                <c:pt idx="7">
                  <c:v>39.017780886179004</c:v>
                </c:pt>
                <c:pt idx="8">
                  <c:v>35.442280116411396</c:v>
                </c:pt>
                <c:pt idx="9">
                  <c:v>32.382436006269536</c:v>
                </c:pt>
                <c:pt idx="10">
                  <c:v>29.735635100310304</c:v>
                </c:pt>
                <c:pt idx="11">
                  <c:v>27.190162196008291</c:v>
                </c:pt>
                <c:pt idx="12">
                  <c:v>24.858856059468366</c:v>
                </c:pt>
                <c:pt idx="13">
                  <c:v>22.73726787646201</c:v>
                </c:pt>
                <c:pt idx="14">
                  <c:v>20.792502234150465</c:v>
                </c:pt>
                <c:pt idx="15">
                  <c:v>18.975192872638019</c:v>
                </c:pt>
                <c:pt idx="16">
                  <c:v>17.369505432379093</c:v>
                </c:pt>
                <c:pt idx="17">
                  <c:v>15.877225282446956</c:v>
                </c:pt>
                <c:pt idx="18">
                  <c:v>14.48959838017052</c:v>
                </c:pt>
                <c:pt idx="19">
                  <c:v>13.267196007397425</c:v>
                </c:pt>
                <c:pt idx="20">
                  <c:v>12.118033458982252</c:v>
                </c:pt>
                <c:pt idx="21">
                  <c:v>11.069682726051195</c:v>
                </c:pt>
                <c:pt idx="22">
                  <c:v>10.134627290001612</c:v>
                </c:pt>
                <c:pt idx="23">
                  <c:v>9.200264617638183</c:v>
                </c:pt>
                <c:pt idx="24">
                  <c:v>8.4916453889313086</c:v>
                </c:pt>
                <c:pt idx="25">
                  <c:v>7.711035212922047</c:v>
                </c:pt>
                <c:pt idx="26">
                  <c:v>7.0662056241225653</c:v>
                </c:pt>
                <c:pt idx="27">
                  <c:v>6.4775002186891486</c:v>
                </c:pt>
                <c:pt idx="28">
                  <c:v>5.9180218654097425</c:v>
                </c:pt>
                <c:pt idx="29">
                  <c:v>5.383612444613262</c:v>
                </c:pt>
                <c:pt idx="30">
                  <c:v>4.9219148795770824</c:v>
                </c:pt>
                <c:pt idx="31">
                  <c:v>4.5025755657454285</c:v>
                </c:pt>
                <c:pt idx="32">
                  <c:v>4.1098336495132939</c:v>
                </c:pt>
                <c:pt idx="33">
                  <c:v>3.7682051854919236</c:v>
                </c:pt>
                <c:pt idx="34">
                  <c:v>3.4965123203406687</c:v>
                </c:pt>
                <c:pt idx="35">
                  <c:v>3.2300188022610499</c:v>
                </c:pt>
                <c:pt idx="36">
                  <c:v>2.9547651518557139</c:v>
                </c:pt>
                <c:pt idx="37">
                  <c:v>2.7129287033684593</c:v>
                </c:pt>
                <c:pt idx="38">
                  <c:v>2.4439221008743925</c:v>
                </c:pt>
                <c:pt idx="39">
                  <c:v>2.234029735120088</c:v>
                </c:pt>
                <c:pt idx="40">
                  <c:v>2.0536224060898349</c:v>
                </c:pt>
                <c:pt idx="41">
                  <c:v>1.8604509976966666</c:v>
                </c:pt>
                <c:pt idx="42">
                  <c:v>1.6998574751314348</c:v>
                </c:pt>
                <c:pt idx="43">
                  <c:v>1.5601546797742061</c:v>
                </c:pt>
                <c:pt idx="44">
                  <c:v>1.4221531877154006</c:v>
                </c:pt>
                <c:pt idx="45">
                  <c:v>1.3007003239853623</c:v>
                </c:pt>
                <c:pt idx="46">
                  <c:v>1.1782667480757461</c:v>
                </c:pt>
                <c:pt idx="47">
                  <c:v>1.0798523226400718</c:v>
                </c:pt>
                <c:pt idx="48">
                  <c:v>0.98793775155888008</c:v>
                </c:pt>
                <c:pt idx="49">
                  <c:v>0.90196123294075292</c:v>
                </c:pt>
                <c:pt idx="50">
                  <c:v>0.82157313648495789</c:v>
                </c:pt>
                <c:pt idx="51">
                  <c:v>0.75429645034463444</c:v>
                </c:pt>
                <c:pt idx="52">
                  <c:v>0.687939367569112</c:v>
                </c:pt>
                <c:pt idx="53">
                  <c:v>0.62742766195207822</c:v>
                </c:pt>
                <c:pt idx="54">
                  <c:v>0.57616245508108765</c:v>
                </c:pt>
                <c:pt idx="55">
                  <c:v>0.52521545584517593</c:v>
                </c:pt>
                <c:pt idx="56">
                  <c:v>0.47883180962322047</c:v>
                </c:pt>
                <c:pt idx="57">
                  <c:v>0.43728355429678295</c:v>
                </c:pt>
                <c:pt idx="58">
                  <c:v>0.40017339838642685</c:v>
                </c:pt>
                <c:pt idx="59">
                  <c:v>0.36539010741691275</c:v>
                </c:pt>
                <c:pt idx="60">
                  <c:v>0.33370605414856269</c:v>
                </c:pt>
                <c:pt idx="61">
                  <c:v>0.3054853869152227</c:v>
                </c:pt>
                <c:pt idx="62">
                  <c:v>0.27898157478206637</c:v>
                </c:pt>
                <c:pt idx="63">
                  <c:v>0.25478714571925209</c:v>
                </c:pt>
                <c:pt idx="64">
                  <c:v>0.23303032597192633</c:v>
                </c:pt>
                <c:pt idx="65">
                  <c:v>0.21300120242485931</c:v>
                </c:pt>
                <c:pt idx="66">
                  <c:v>0.1945104147401199</c:v>
                </c:pt>
                <c:pt idx="67">
                  <c:v>0.17798765610793196</c:v>
                </c:pt>
                <c:pt idx="68">
                  <c:v>0.16259291734040449</c:v>
                </c:pt>
                <c:pt idx="69">
                  <c:v>0.14866202684585447</c:v>
                </c:pt>
                <c:pt idx="70">
                  <c:v>0.1357049000411662</c:v>
                </c:pt>
                <c:pt idx="71">
                  <c:v>0.12416029495592265</c:v>
                </c:pt>
                <c:pt idx="72">
                  <c:v>0.11350953967935375</c:v>
                </c:pt>
                <c:pt idx="73">
                  <c:v>0.10418866254751526</c:v>
                </c:pt>
                <c:pt idx="74">
                  <c:v>9.5090549266204902E-2</c:v>
                </c:pt>
                <c:pt idx="75">
                  <c:v>8.6790040486143707E-2</c:v>
                </c:pt>
                <c:pt idx="76">
                  <c:v>7.9209205183356238E-2</c:v>
                </c:pt>
                <c:pt idx="77">
                  <c:v>7.2394103516590647E-2</c:v>
                </c:pt>
                <c:pt idx="78">
                  <c:v>6.6271127218767004E-2</c:v>
                </c:pt>
                <c:pt idx="79">
                  <c:v>6.0392480701707239E-2</c:v>
                </c:pt>
                <c:pt idx="80">
                  <c:v>5.5211901586581867E-2</c:v>
                </c:pt>
                <c:pt idx="81">
                  <c:v>5.0592326077910289E-2</c:v>
                </c:pt>
                <c:pt idx="82">
                  <c:v>4.6120137948241172E-2</c:v>
                </c:pt>
                <c:pt idx="83">
                  <c:v>4.2210302523661432E-2</c:v>
                </c:pt>
                <c:pt idx="84">
                  <c:v>3.8625397885962323E-2</c:v>
                </c:pt>
                <c:pt idx="85">
                  <c:v>3.5265193301864978E-2</c:v>
                </c:pt>
                <c:pt idx="86">
                  <c:v>3.2232593036661594E-2</c:v>
                </c:pt>
                <c:pt idx="87">
                  <c:v>2.9461679473238168E-2</c:v>
                </c:pt>
                <c:pt idx="88">
                  <c:v>2.6918868967460603E-2</c:v>
                </c:pt>
                <c:pt idx="89">
                  <c:v>2.4645842377517338E-2</c:v>
                </c:pt>
                <c:pt idx="90">
                  <c:v>2.2553961280967535E-2</c:v>
                </c:pt>
                <c:pt idx="91">
                  <c:v>2.0584925212372193E-2</c:v>
                </c:pt>
                <c:pt idx="92">
                  <c:v>1.8815629285730714E-2</c:v>
                </c:pt>
                <c:pt idx="93">
                  <c:v>1.7185580968639484E-2</c:v>
                </c:pt>
                <c:pt idx="94">
                  <c:v>1.5727136514377068E-2</c:v>
                </c:pt>
                <c:pt idx="95">
                  <c:v>1.4365156227807936E-2</c:v>
                </c:pt>
                <c:pt idx="96">
                  <c:v>1.3135350385933399E-2</c:v>
                </c:pt>
                <c:pt idx="97">
                  <c:v>1.2008441932287554E-2</c:v>
                </c:pt>
                <c:pt idx="98">
                  <c:v>1.0972131216117197E-2</c:v>
                </c:pt>
                <c:pt idx="99">
                  <c:v>1.0025615666472559E-2</c:v>
                </c:pt>
                <c:pt idx="100">
                  <c:v>9.182328952085277E-3</c:v>
                </c:pt>
                <c:pt idx="101">
                  <c:v>8.4052303056680912E-3</c:v>
                </c:pt>
                <c:pt idx="102">
                  <c:v>7.641272191922099E-3</c:v>
                </c:pt>
                <c:pt idx="103">
                  <c:v>7.0046059815050757E-3</c:v>
                </c:pt>
                <c:pt idx="104">
                  <c:v>6.3901360397631496E-3</c:v>
                </c:pt>
                <c:pt idx="105">
                  <c:v>5.8429128462398469E-3</c:v>
                </c:pt>
                <c:pt idx="106">
                  <c:v>5.3558806187859664E-3</c:v>
                </c:pt>
                <c:pt idx="107">
                  <c:v>4.8991725720402878E-3</c:v>
                </c:pt>
                <c:pt idx="108">
                  <c:v>4.477220891740707E-3</c:v>
                </c:pt>
                <c:pt idx="109">
                  <c:v>4.0915376074390488E-3</c:v>
                </c:pt>
                <c:pt idx="110">
                  <c:v>3.7283830203875125E-3</c:v>
                </c:pt>
                <c:pt idx="111">
                  <c:v>3.4137495310801267E-3</c:v>
                </c:pt>
                <c:pt idx="112">
                  <c:v>3.1211071560740228E-3</c:v>
                </c:pt>
                <c:pt idx="113">
                  <c:v>2.8521536688533699E-3</c:v>
                </c:pt>
                <c:pt idx="114">
                  <c:v>2.6070598320441689E-3</c:v>
                </c:pt>
                <c:pt idx="115">
                  <c:v>2.3851791727039569E-3</c:v>
                </c:pt>
                <c:pt idx="116">
                  <c:v>2.1805992029292568E-3</c:v>
                </c:pt>
                <c:pt idx="117">
                  <c:v>1.9938247118867092E-3</c:v>
                </c:pt>
                <c:pt idx="118">
                  <c:v>1.8362839891062439E-3</c:v>
                </c:pt>
              </c:numCache>
            </c:numRef>
          </c:xVal>
          <c:yVal>
            <c:numRef>
              <c:f>'Raw Data'!$E$18:$E$136</c:f>
              <c:numCache>
                <c:formatCode>0.000</c:formatCod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5.748177465255787E-4</c:v>
                </c:pt>
                <c:pt idx="40">
                  <c:v>1.4150665420085871E-3</c:v>
                </c:pt>
                <c:pt idx="41">
                  <c:v>2.2008394895062637E-3</c:v>
                </c:pt>
                <c:pt idx="42">
                  <c:v>3.2531513525277038E-3</c:v>
                </c:pt>
                <c:pt idx="43">
                  <c:v>4.2865442634163085E-3</c:v>
                </c:pt>
                <c:pt idx="44">
                  <c:v>5.7258515061210727E-3</c:v>
                </c:pt>
                <c:pt idx="45">
                  <c:v>7.2178068889570453E-3</c:v>
                </c:pt>
                <c:pt idx="46">
                  <c:v>8.8627711556996357E-3</c:v>
                </c:pt>
                <c:pt idx="47">
                  <c:v>1.1409321223172472E-2</c:v>
                </c:pt>
                <c:pt idx="48">
                  <c:v>1.4796798223764661E-2</c:v>
                </c:pt>
                <c:pt idx="49">
                  <c:v>1.8991478409084547E-2</c:v>
                </c:pt>
                <c:pt idx="50">
                  <c:v>2.3079440763588803E-2</c:v>
                </c:pt>
                <c:pt idx="51">
                  <c:v>2.6106182992485003E-2</c:v>
                </c:pt>
                <c:pt idx="52">
                  <c:v>2.9598729623060094E-2</c:v>
                </c:pt>
                <c:pt idx="53">
                  <c:v>3.3694844134818443E-2</c:v>
                </c:pt>
                <c:pt idx="54">
                  <c:v>3.7751945787262042E-2</c:v>
                </c:pt>
                <c:pt idx="55">
                  <c:v>4.1815005622253897E-2</c:v>
                </c:pt>
                <c:pt idx="56">
                  <c:v>4.5851603583810185E-2</c:v>
                </c:pt>
                <c:pt idx="57">
                  <c:v>5.070305825673331E-2</c:v>
                </c:pt>
                <c:pt idx="58">
                  <c:v>5.5371357745370227E-2</c:v>
                </c:pt>
                <c:pt idx="59">
                  <c:v>6.0599849691295282E-2</c:v>
                </c:pt>
                <c:pt idx="60">
                  <c:v>6.6411714071896458E-2</c:v>
                </c:pt>
                <c:pt idx="61">
                  <c:v>7.3201924356696493E-2</c:v>
                </c:pt>
                <c:pt idx="62">
                  <c:v>8.1498557564975399E-2</c:v>
                </c:pt>
                <c:pt idx="63">
                  <c:v>9.0962595648220512E-2</c:v>
                </c:pt>
                <c:pt idx="64">
                  <c:v>0.1014614862701544</c:v>
                </c:pt>
                <c:pt idx="65">
                  <c:v>0.11312405382325684</c:v>
                </c:pt>
                <c:pt idx="66">
                  <c:v>0.12623440533951841</c:v>
                </c:pt>
                <c:pt idx="67">
                  <c:v>0.14031789524315638</c:v>
                </c:pt>
                <c:pt idx="68">
                  <c:v>0.15616449948445202</c:v>
                </c:pt>
                <c:pt idx="69">
                  <c:v>0.17368010561453595</c:v>
                </c:pt>
                <c:pt idx="70">
                  <c:v>0.1932377110918278</c:v>
                </c:pt>
                <c:pt idx="71">
                  <c:v>0.2141267437183754</c:v>
                </c:pt>
                <c:pt idx="72">
                  <c:v>0.23675862633438854</c:v>
                </c:pt>
                <c:pt idx="73">
                  <c:v>0.25944639909613121</c:v>
                </c:pt>
                <c:pt idx="74">
                  <c:v>0.28423951723840685</c:v>
                </c:pt>
                <c:pt idx="75">
                  <c:v>0.30797015689272245</c:v>
                </c:pt>
                <c:pt idx="76">
                  <c:v>0.32931096698844947</c:v>
                </c:pt>
                <c:pt idx="77">
                  <c:v>0.34911922954287794</c:v>
                </c:pt>
                <c:pt idx="78">
                  <c:v>0.36919094312942186</c:v>
                </c:pt>
                <c:pt idx="79">
                  <c:v>0.39049081837146365</c:v>
                </c:pt>
                <c:pt idx="80">
                  <c:v>0.41138735040246033</c:v>
                </c:pt>
                <c:pt idx="81">
                  <c:v>0.43186966000899435</c:v>
                </c:pt>
                <c:pt idx="82">
                  <c:v>0.45458261452339388</c:v>
                </c:pt>
                <c:pt idx="83">
                  <c:v>0.47621539369600774</c:v>
                </c:pt>
                <c:pt idx="84">
                  <c:v>0.49853054614539594</c:v>
                </c:pt>
                <c:pt idx="85">
                  <c:v>0.52123288254750011</c:v>
                </c:pt>
                <c:pt idx="86">
                  <c:v>0.54427412820598275</c:v>
                </c:pt>
                <c:pt idx="87">
                  <c:v>0.56645083903823024</c:v>
                </c:pt>
                <c:pt idx="88">
                  <c:v>0.58855682047764679</c:v>
                </c:pt>
                <c:pt idx="89">
                  <c:v>0.6085693511432001</c:v>
                </c:pt>
                <c:pt idx="90">
                  <c:v>0.62908905623265421</c:v>
                </c:pt>
                <c:pt idx="91">
                  <c:v>0.64865626442898927</c:v>
                </c:pt>
                <c:pt idx="92">
                  <c:v>0.66753213487669394</c:v>
                </c:pt>
                <c:pt idx="93">
                  <c:v>0.68525353220778118</c:v>
                </c:pt>
                <c:pt idx="94">
                  <c:v>0.70287391241588348</c:v>
                </c:pt>
                <c:pt idx="95">
                  <c:v>0.71816399412121723</c:v>
                </c:pt>
                <c:pt idx="96">
                  <c:v>0.73498122727799431</c:v>
                </c:pt>
                <c:pt idx="97">
                  <c:v>0.7492325326749999</c:v>
                </c:pt>
                <c:pt idx="98">
                  <c:v>0.7638158426542685</c:v>
                </c:pt>
                <c:pt idx="99">
                  <c:v>0.77714540306808144</c:v>
                </c:pt>
                <c:pt idx="100">
                  <c:v>0.78863356232448523</c:v>
                </c:pt>
                <c:pt idx="101">
                  <c:v>0.80048349169106192</c:v>
                </c:pt>
                <c:pt idx="102">
                  <c:v>0.81010999994748234</c:v>
                </c:pt>
                <c:pt idx="103">
                  <c:v>0.82021786262795948</c:v>
                </c:pt>
                <c:pt idx="104">
                  <c:v>0.82770241332429295</c:v>
                </c:pt>
                <c:pt idx="105">
                  <c:v>0.83605254325134959</c:v>
                </c:pt>
                <c:pt idx="106">
                  <c:v>0.8423970684264841</c:v>
                </c:pt>
                <c:pt idx="107">
                  <c:v>0.84998890267273086</c:v>
                </c:pt>
                <c:pt idx="108">
                  <c:v>0.85287795757661666</c:v>
                </c:pt>
                <c:pt idx="109">
                  <c:v>0.8614132372104194</c:v>
                </c:pt>
                <c:pt idx="110">
                  <c:v>0.86592587691348022</c:v>
                </c:pt>
                <c:pt idx="111">
                  <c:v>0.87078299603018938</c:v>
                </c:pt>
                <c:pt idx="112">
                  <c:v>0.87634555235611766</c:v>
                </c:pt>
                <c:pt idx="113">
                  <c:v>0.87715310911528144</c:v>
                </c:pt>
                <c:pt idx="114">
                  <c:v>0.88446353437446512</c:v>
                </c:pt>
                <c:pt idx="115">
                  <c:v>0.885631526726956</c:v>
                </c:pt>
                <c:pt idx="116">
                  <c:v>0.885631526726956</c:v>
                </c:pt>
                <c:pt idx="117">
                  <c:v>0.89001802557684673</c:v>
                </c:pt>
                <c:pt idx="118">
                  <c:v>0.89368823701533684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305600"/>
        <c:axId val="103307904"/>
      </c:scatterChart>
      <c:valAx>
        <c:axId val="103305600"/>
        <c:scaling>
          <c:logBase val="10"/>
          <c:orientation val="minMax"/>
          <c:max val="100"/>
          <c:min val="1.0000000000000041E-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>
                    <a:latin typeface="Arial"/>
                  </a:rPr>
                  <a:t>Pore Throat Radius (Microns)</a:t>
                </a:r>
              </a:p>
            </c:rich>
          </c:tx>
          <c:layout>
            <c:manualLayout>
              <c:xMode val="edge"/>
              <c:yMode val="edge"/>
              <c:x val="0.39768561318499929"/>
              <c:y val="0.942799210869595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580">
                <a:latin typeface="Arial"/>
              </a:defRPr>
            </a:pPr>
            <a:endParaRPr lang="en-US"/>
          </a:p>
        </c:txPr>
        <c:crossAx val="103307904"/>
        <c:crosses val="autoZero"/>
        <c:crossBetween val="midCat"/>
      </c:valAx>
      <c:valAx>
        <c:axId val="103307904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>
                    <a:latin typeface="Arial"/>
                  </a:rPr>
                  <a:t>Mercury Saturation, fractional</a:t>
                </a:r>
              </a:p>
            </c:rich>
          </c:tx>
          <c:layout>
            <c:manualLayout>
              <c:xMode val="edge"/>
              <c:yMode val="edge"/>
              <c:x val="1.7213682297809941E-2"/>
              <c:y val="0.331670401146337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580">
                <a:latin typeface="Arial"/>
              </a:defRPr>
            </a:pPr>
            <a:endParaRPr lang="en-US"/>
          </a:p>
        </c:txPr>
        <c:crossAx val="103305600"/>
        <c:crossesAt val="1.0000000000000041E-3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solidFill>
        <a:sysClr val="windowText" lastClr="000000"/>
      </a:solidFill>
    </a:ln>
  </c:spPr>
  <c:txPr>
    <a:bodyPr/>
    <a:lstStyle/>
    <a:p>
      <a:pPr>
        <a:defRPr sz="825">
          <a:solidFill>
            <a:srgbClr val="000000"/>
          </a:solidFill>
          <a:latin typeface="Times New Roman"/>
        </a:defRPr>
      </a:pPr>
      <a:endParaRPr lang="en-US"/>
    </a:p>
  </c:txPr>
  <c:printSettings>
    <c:headerFooter/>
    <c:pageMargins b="1" l="0.75000000000000966" r="0.75000000000000966" t="1" header="0.5" footer="0.5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en-US" sz="900" b="1">
                <a:latin typeface="Arial"/>
              </a:rPr>
              <a:t>d Sw / d Log Pore Throat Size vs Pore Throat Size</a:t>
            </a:r>
          </a:p>
        </c:rich>
      </c:tx>
      <c:layout>
        <c:manualLayout>
          <c:xMode val="edge"/>
          <c:yMode val="edge"/>
          <c:x val="0.2429618814204548"/>
          <c:y val="3.10126151025640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9448905544897"/>
          <c:y val="0.10031489965429066"/>
          <c:w val="0.81356164375743056"/>
          <c:h val="0.76537560680389582"/>
        </c:manualLayout>
      </c:layout>
      <c:scatterChart>
        <c:scatterStyle val="smoothMarker"/>
        <c:varyColors val="0"/>
        <c:ser>
          <c:idx val="0"/>
          <c:order val="0"/>
          <c:tx>
            <c:v>Sat. (Frac)</c:v>
          </c:tx>
          <c:spPr>
            <a:ln w="12700">
              <a:solidFill>
                <a:srgbClr val="FF0000"/>
              </a:solidFill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Table!$E$18:$E$136</c:f>
              <c:numCache>
                <c:formatCode>???0.000</c:formatCode>
                <c:ptCount val="119"/>
                <c:pt idx="0">
                  <c:v>73.429073190040185</c:v>
                </c:pt>
                <c:pt idx="1">
                  <c:v>69.186919587292167</c:v>
                </c:pt>
                <c:pt idx="2">
                  <c:v>61.124653677331288</c:v>
                </c:pt>
                <c:pt idx="3">
                  <c:v>55.187466381243389</c:v>
                </c:pt>
                <c:pt idx="4">
                  <c:v>50.923925430906607</c:v>
                </c:pt>
                <c:pt idx="5">
                  <c:v>46.877823824794746</c:v>
                </c:pt>
                <c:pt idx="6">
                  <c:v>42.543092435881995</c:v>
                </c:pt>
                <c:pt idx="7">
                  <c:v>39.017780886179004</c:v>
                </c:pt>
                <c:pt idx="8">
                  <c:v>35.442280116411396</c:v>
                </c:pt>
                <c:pt idx="9">
                  <c:v>32.382436006269536</c:v>
                </c:pt>
                <c:pt idx="10">
                  <c:v>29.735635100310304</c:v>
                </c:pt>
                <c:pt idx="11">
                  <c:v>27.190162196008291</c:v>
                </c:pt>
                <c:pt idx="12">
                  <c:v>24.858856059468366</c:v>
                </c:pt>
                <c:pt idx="13">
                  <c:v>22.73726787646201</c:v>
                </c:pt>
                <c:pt idx="14">
                  <c:v>20.792502234150465</c:v>
                </c:pt>
                <c:pt idx="15">
                  <c:v>18.975192872638019</c:v>
                </c:pt>
                <c:pt idx="16">
                  <c:v>17.369505432379093</c:v>
                </c:pt>
                <c:pt idx="17">
                  <c:v>15.877225282446956</c:v>
                </c:pt>
                <c:pt idx="18">
                  <c:v>14.48959838017052</c:v>
                </c:pt>
                <c:pt idx="19">
                  <c:v>13.267196007397425</c:v>
                </c:pt>
                <c:pt idx="20">
                  <c:v>12.118033458982252</c:v>
                </c:pt>
                <c:pt idx="21">
                  <c:v>11.069682726051195</c:v>
                </c:pt>
                <c:pt idx="22">
                  <c:v>10.134627290001612</c:v>
                </c:pt>
                <c:pt idx="23">
                  <c:v>9.200264617638183</c:v>
                </c:pt>
                <c:pt idx="24">
                  <c:v>8.4916453889313086</c:v>
                </c:pt>
                <c:pt idx="25">
                  <c:v>7.711035212922047</c:v>
                </c:pt>
                <c:pt idx="26">
                  <c:v>7.0662056241225653</c:v>
                </c:pt>
                <c:pt idx="27">
                  <c:v>6.4775002186891486</c:v>
                </c:pt>
                <c:pt idx="28">
                  <c:v>5.9180218654097425</c:v>
                </c:pt>
                <c:pt idx="29">
                  <c:v>5.383612444613262</c:v>
                </c:pt>
                <c:pt idx="30">
                  <c:v>4.9219148795770824</c:v>
                </c:pt>
                <c:pt idx="31">
                  <c:v>4.5025755657454285</c:v>
                </c:pt>
                <c:pt idx="32">
                  <c:v>4.1098336495132939</c:v>
                </c:pt>
                <c:pt idx="33">
                  <c:v>3.7682051854919236</c:v>
                </c:pt>
                <c:pt idx="34">
                  <c:v>3.4965123203406687</c:v>
                </c:pt>
                <c:pt idx="35">
                  <c:v>3.2300188022610499</c:v>
                </c:pt>
                <c:pt idx="36">
                  <c:v>2.9547651518557139</c:v>
                </c:pt>
                <c:pt idx="37">
                  <c:v>2.7129287033684593</c:v>
                </c:pt>
                <c:pt idx="38">
                  <c:v>2.4439221008743925</c:v>
                </c:pt>
                <c:pt idx="39">
                  <c:v>2.234029735120088</c:v>
                </c:pt>
                <c:pt idx="40">
                  <c:v>2.0536224060898349</c:v>
                </c:pt>
                <c:pt idx="41">
                  <c:v>1.8604509976966666</c:v>
                </c:pt>
                <c:pt idx="42">
                  <c:v>1.6998574751314348</c:v>
                </c:pt>
                <c:pt idx="43">
                  <c:v>1.5601546797742061</c:v>
                </c:pt>
                <c:pt idx="44">
                  <c:v>1.4221531877154006</c:v>
                </c:pt>
                <c:pt idx="45">
                  <c:v>1.3007003239853623</c:v>
                </c:pt>
                <c:pt idx="46">
                  <c:v>1.1782667480757461</c:v>
                </c:pt>
                <c:pt idx="47">
                  <c:v>1.0798523226400718</c:v>
                </c:pt>
                <c:pt idx="48">
                  <c:v>0.98793775155888008</c:v>
                </c:pt>
                <c:pt idx="49">
                  <c:v>0.90196123294075292</c:v>
                </c:pt>
                <c:pt idx="50">
                  <c:v>0.82157313648495789</c:v>
                </c:pt>
                <c:pt idx="51">
                  <c:v>0.75429645034463444</c:v>
                </c:pt>
                <c:pt idx="52">
                  <c:v>0.687939367569112</c:v>
                </c:pt>
                <c:pt idx="53">
                  <c:v>0.62742766195207822</c:v>
                </c:pt>
                <c:pt idx="54">
                  <c:v>0.57616245508108765</c:v>
                </c:pt>
                <c:pt idx="55">
                  <c:v>0.52521545584517593</c:v>
                </c:pt>
                <c:pt idx="56">
                  <c:v>0.47883180962322047</c:v>
                </c:pt>
                <c:pt idx="57">
                  <c:v>0.43728355429678295</c:v>
                </c:pt>
                <c:pt idx="58">
                  <c:v>0.40017339838642685</c:v>
                </c:pt>
                <c:pt idx="59">
                  <c:v>0.36539010741691275</c:v>
                </c:pt>
                <c:pt idx="60">
                  <c:v>0.33370605414856269</c:v>
                </c:pt>
                <c:pt idx="61">
                  <c:v>0.3054853869152227</c:v>
                </c:pt>
                <c:pt idx="62">
                  <c:v>0.27898157478206637</c:v>
                </c:pt>
                <c:pt idx="63">
                  <c:v>0.25478714571925209</c:v>
                </c:pt>
                <c:pt idx="64">
                  <c:v>0.23303032597192633</c:v>
                </c:pt>
                <c:pt idx="65">
                  <c:v>0.21300120242485931</c:v>
                </c:pt>
                <c:pt idx="66">
                  <c:v>0.1945104147401199</c:v>
                </c:pt>
                <c:pt idx="67">
                  <c:v>0.17798765610793196</c:v>
                </c:pt>
                <c:pt idx="68">
                  <c:v>0.16259291734040449</c:v>
                </c:pt>
                <c:pt idx="69">
                  <c:v>0.14866202684585447</c:v>
                </c:pt>
                <c:pt idx="70">
                  <c:v>0.1357049000411662</c:v>
                </c:pt>
                <c:pt idx="71">
                  <c:v>0.12416029495592265</c:v>
                </c:pt>
                <c:pt idx="72">
                  <c:v>0.11350953967935375</c:v>
                </c:pt>
                <c:pt idx="73">
                  <c:v>0.10418866254751526</c:v>
                </c:pt>
                <c:pt idx="74">
                  <c:v>9.5090549266204902E-2</c:v>
                </c:pt>
                <c:pt idx="75">
                  <c:v>8.6790040486143707E-2</c:v>
                </c:pt>
                <c:pt idx="76">
                  <c:v>7.9209205183356238E-2</c:v>
                </c:pt>
                <c:pt idx="77">
                  <c:v>7.2394103516590647E-2</c:v>
                </c:pt>
                <c:pt idx="78">
                  <c:v>6.6271127218767004E-2</c:v>
                </c:pt>
                <c:pt idx="79">
                  <c:v>6.0392480701707239E-2</c:v>
                </c:pt>
                <c:pt idx="80">
                  <c:v>5.5211901586581867E-2</c:v>
                </c:pt>
                <c:pt idx="81">
                  <c:v>5.0592326077910289E-2</c:v>
                </c:pt>
                <c:pt idx="82">
                  <c:v>4.6120137948241172E-2</c:v>
                </c:pt>
                <c:pt idx="83">
                  <c:v>4.2210302523661432E-2</c:v>
                </c:pt>
                <c:pt idx="84">
                  <c:v>3.8625397885962323E-2</c:v>
                </c:pt>
                <c:pt idx="85">
                  <c:v>3.5265193301864978E-2</c:v>
                </c:pt>
                <c:pt idx="86">
                  <c:v>3.2232593036661594E-2</c:v>
                </c:pt>
                <c:pt idx="87">
                  <c:v>2.9461679473238168E-2</c:v>
                </c:pt>
                <c:pt idx="88">
                  <c:v>2.6918868967460603E-2</c:v>
                </c:pt>
                <c:pt idx="89">
                  <c:v>2.4645842377517338E-2</c:v>
                </c:pt>
                <c:pt idx="90">
                  <c:v>2.2553961280967535E-2</c:v>
                </c:pt>
                <c:pt idx="91">
                  <c:v>2.0584925212372193E-2</c:v>
                </c:pt>
                <c:pt idx="92">
                  <c:v>1.8815629285730714E-2</c:v>
                </c:pt>
                <c:pt idx="93">
                  <c:v>1.7185580968639484E-2</c:v>
                </c:pt>
                <c:pt idx="94">
                  <c:v>1.5727136514377068E-2</c:v>
                </c:pt>
                <c:pt idx="95">
                  <c:v>1.4365156227807936E-2</c:v>
                </c:pt>
                <c:pt idx="96">
                  <c:v>1.3135350385933399E-2</c:v>
                </c:pt>
                <c:pt idx="97">
                  <c:v>1.2008441932287554E-2</c:v>
                </c:pt>
                <c:pt idx="98">
                  <c:v>1.0972131216117197E-2</c:v>
                </c:pt>
                <c:pt idx="99">
                  <c:v>1.0025615666472559E-2</c:v>
                </c:pt>
                <c:pt idx="100">
                  <c:v>9.182328952085277E-3</c:v>
                </c:pt>
                <c:pt idx="101">
                  <c:v>8.4052303056680912E-3</c:v>
                </c:pt>
                <c:pt idx="102">
                  <c:v>7.641272191922099E-3</c:v>
                </c:pt>
                <c:pt idx="103">
                  <c:v>7.0046059815050757E-3</c:v>
                </c:pt>
                <c:pt idx="104">
                  <c:v>6.3901360397631496E-3</c:v>
                </c:pt>
                <c:pt idx="105">
                  <c:v>5.8429128462398469E-3</c:v>
                </c:pt>
                <c:pt idx="106">
                  <c:v>5.3558806187859664E-3</c:v>
                </c:pt>
                <c:pt idx="107">
                  <c:v>4.8991725720402878E-3</c:v>
                </c:pt>
                <c:pt idx="108">
                  <c:v>4.477220891740707E-3</c:v>
                </c:pt>
                <c:pt idx="109">
                  <c:v>4.0915376074390488E-3</c:v>
                </c:pt>
                <c:pt idx="110">
                  <c:v>3.7283830203875125E-3</c:v>
                </c:pt>
                <c:pt idx="111">
                  <c:v>3.4137495310801267E-3</c:v>
                </c:pt>
                <c:pt idx="112">
                  <c:v>3.1211071560740228E-3</c:v>
                </c:pt>
                <c:pt idx="113">
                  <c:v>2.8521536688533699E-3</c:v>
                </c:pt>
                <c:pt idx="114">
                  <c:v>2.6070598320441689E-3</c:v>
                </c:pt>
                <c:pt idx="115">
                  <c:v>2.3851791727039569E-3</c:v>
                </c:pt>
                <c:pt idx="116">
                  <c:v>2.1805992029292568E-3</c:v>
                </c:pt>
                <c:pt idx="117">
                  <c:v>1.9938247118867092E-3</c:v>
                </c:pt>
                <c:pt idx="118">
                  <c:v>1.8362839891062439E-3</c:v>
                </c:pt>
              </c:numCache>
            </c:numRef>
          </c:xVal>
          <c:yVal>
            <c:numRef>
              <c:f>Table!$J$18:$J$136</c:f>
              <c:numCache>
                <c:formatCode>???0.000</c:formatCod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1.4739517685543723E-2</c:v>
                </c:pt>
                <c:pt idx="40">
                  <c:v>2.2977483943358776E-2</c:v>
                </c:pt>
                <c:pt idx="41">
                  <c:v>1.8315378839775524E-2</c:v>
                </c:pt>
                <c:pt idx="42">
                  <c:v>2.6840769542276922E-2</c:v>
                </c:pt>
                <c:pt idx="43">
                  <c:v>2.7745926630016786E-2</c:v>
                </c:pt>
                <c:pt idx="44">
                  <c:v>3.5784720856442645E-2</c:v>
                </c:pt>
                <c:pt idx="45">
                  <c:v>3.8483075504266474E-2</c:v>
                </c:pt>
                <c:pt idx="46">
                  <c:v>3.8314123191108183E-2</c:v>
                </c:pt>
                <c:pt idx="47">
                  <c:v>6.7228092956641575E-2</c:v>
                </c:pt>
                <c:pt idx="48">
                  <c:v>8.7679456613570406E-2</c:v>
                </c:pt>
                <c:pt idx="49">
                  <c:v>0.10608241842022759</c:v>
                </c:pt>
                <c:pt idx="50">
                  <c:v>0.10083366718185854</c:v>
                </c:pt>
                <c:pt idx="51">
                  <c:v>8.1574187458959793E-2</c:v>
                </c:pt>
                <c:pt idx="52">
                  <c:v>8.7331347841927531E-2</c:v>
                </c:pt>
                <c:pt idx="53">
                  <c:v>0.1024374331004069</c:v>
                </c:pt>
                <c:pt idx="54">
                  <c:v>0.10959598397241611</c:v>
                </c:pt>
                <c:pt idx="55">
                  <c:v>0.10105239586511811</c:v>
                </c:pt>
                <c:pt idx="56">
                  <c:v>0.10052665418725931</c:v>
                </c:pt>
                <c:pt idx="57">
                  <c:v>0.12307136541519348</c:v>
                </c:pt>
                <c:pt idx="58">
                  <c:v>0.12120753222196996</c:v>
                </c:pt>
                <c:pt idx="59">
                  <c:v>0.13239560829861061</c:v>
                </c:pt>
                <c:pt idx="60">
                  <c:v>0.14753658629147345</c:v>
                </c:pt>
                <c:pt idx="61">
                  <c:v>0.17694983645889589</c:v>
                </c:pt>
                <c:pt idx="62">
                  <c:v>0.21049474260511886</c:v>
                </c:pt>
                <c:pt idx="63">
                  <c:v>0.24021615825071974</c:v>
                </c:pt>
                <c:pt idx="64">
                  <c:v>0.27083377825692573</c:v>
                </c:pt>
                <c:pt idx="65">
                  <c:v>0.29880737235800758</c:v>
                </c:pt>
                <c:pt idx="66">
                  <c:v>0.33241934672476309</c:v>
                </c:pt>
                <c:pt idx="67">
                  <c:v>0.36530227729060355</c:v>
                </c:pt>
                <c:pt idx="68">
                  <c:v>0.40334196693925983</c:v>
                </c:pt>
                <c:pt idx="69">
                  <c:v>0.45025443425326261</c:v>
                </c:pt>
                <c:pt idx="70">
                  <c:v>0.493822558507585</c:v>
                </c:pt>
                <c:pt idx="71">
                  <c:v>0.54098733981505742</c:v>
                </c:pt>
                <c:pt idx="72">
                  <c:v>0.58104405111271429</c:v>
                </c:pt>
                <c:pt idx="73">
                  <c:v>0.60969133933765363</c:v>
                </c:pt>
                <c:pt idx="74">
                  <c:v>0.62477764347701681</c:v>
                </c:pt>
                <c:pt idx="75">
                  <c:v>0.59823937909713243</c:v>
                </c:pt>
                <c:pt idx="76">
                  <c:v>0.53762995584574358</c:v>
                </c:pt>
                <c:pt idx="77">
                  <c:v>0.50696224549177837</c:v>
                </c:pt>
                <c:pt idx="78">
                  <c:v>0.5229891070897259</c:v>
                </c:pt>
                <c:pt idx="79">
                  <c:v>0.52798932458155257</c:v>
                </c:pt>
                <c:pt idx="80">
                  <c:v>0.53649407046446207</c:v>
                </c:pt>
                <c:pt idx="81">
                  <c:v>0.53974592597316828</c:v>
                </c:pt>
                <c:pt idx="82">
                  <c:v>0.5650825098476312</c:v>
                </c:pt>
                <c:pt idx="83">
                  <c:v>0.56229737140459934</c:v>
                </c:pt>
                <c:pt idx="84">
                  <c:v>0.57893018030705112</c:v>
                </c:pt>
                <c:pt idx="85">
                  <c:v>0.57435449597676469</c:v>
                </c:pt>
                <c:pt idx="86">
                  <c:v>0.59002923355900183</c:v>
                </c:pt>
                <c:pt idx="87">
                  <c:v>0.56808381413957254</c:v>
                </c:pt>
                <c:pt idx="88">
                  <c:v>0.56391814519246464</c:v>
                </c:pt>
                <c:pt idx="89">
                  <c:v>0.52234115247058366</c:v>
                </c:pt>
                <c:pt idx="90">
                  <c:v>0.53269106207340877</c:v>
                </c:pt>
                <c:pt idx="91">
                  <c:v>0.49320553837599651</c:v>
                </c:pt>
                <c:pt idx="92">
                  <c:v>0.48361789768296509</c:v>
                </c:pt>
                <c:pt idx="93">
                  <c:v>0.45030133895027541</c:v>
                </c:pt>
                <c:pt idx="94">
                  <c:v>0.45749917461304535</c:v>
                </c:pt>
                <c:pt idx="95">
                  <c:v>0.3886719011433496</c:v>
                </c:pt>
                <c:pt idx="96">
                  <c:v>0.43266785028294297</c:v>
                </c:pt>
                <c:pt idx="97">
                  <c:v>0.36584021278095707</c:v>
                </c:pt>
                <c:pt idx="98">
                  <c:v>0.37206431508262228</c:v>
                </c:pt>
                <c:pt idx="99">
                  <c:v>0.34021389829128396</c:v>
                </c:pt>
                <c:pt idx="100">
                  <c:v>0.30106655502774465</c:v>
                </c:pt>
                <c:pt idx="101">
                  <c:v>0.3085659609138407</c:v>
                </c:pt>
                <c:pt idx="102">
                  <c:v>0.23261454753766542</c:v>
                </c:pt>
                <c:pt idx="103">
                  <c:v>0.26753145772182385</c:v>
                </c:pt>
                <c:pt idx="104">
                  <c:v>0.18770688974743058</c:v>
                </c:pt>
                <c:pt idx="105">
                  <c:v>0.21476287388969167</c:v>
                </c:pt>
                <c:pt idx="106">
                  <c:v>0.16785115231361653</c:v>
                </c:pt>
                <c:pt idx="107">
                  <c:v>0.19613012111850039</c:v>
                </c:pt>
                <c:pt idx="108">
                  <c:v>7.3862017387691992E-2</c:v>
                </c:pt>
                <c:pt idx="109">
                  <c:v>0.21817098437115756</c:v>
                </c:pt>
                <c:pt idx="110">
                  <c:v>0.11179301413773778</c:v>
                </c:pt>
                <c:pt idx="111">
                  <c:v>0.12685460223390782</c:v>
                </c:pt>
                <c:pt idx="112">
                  <c:v>0.14291190382495877</c:v>
                </c:pt>
                <c:pt idx="113">
                  <c:v>2.0634754189165987E-2</c:v>
                </c:pt>
                <c:pt idx="114">
                  <c:v>0.18734149416111751</c:v>
                </c:pt>
                <c:pt idx="115">
                  <c:v>3.0235378150155007E-2</c:v>
                </c:pt>
                <c:pt idx="116">
                  <c:v>0</c:v>
                </c:pt>
                <c:pt idx="117">
                  <c:v>0.11279572624518337</c:v>
                </c:pt>
                <c:pt idx="118">
                  <c:v>0.10267150838993871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150336"/>
        <c:axId val="103328000"/>
      </c:scatterChart>
      <c:valAx>
        <c:axId val="103150336"/>
        <c:scaling>
          <c:logBase val="10"/>
          <c:orientation val="minMax"/>
          <c:max val="100"/>
          <c:min val="1.0000000000000041E-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>
                    <a:latin typeface="Arial"/>
                  </a:rPr>
                  <a:t>Pore Throat Radius (Microns)</a:t>
                </a:r>
              </a:p>
            </c:rich>
          </c:tx>
          <c:layout>
            <c:manualLayout>
              <c:xMode val="edge"/>
              <c:yMode val="edge"/>
              <c:x val="0.37010695397441207"/>
              <c:y val="0.940845879410746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580">
                <a:latin typeface="Arial"/>
              </a:defRPr>
            </a:pPr>
            <a:endParaRPr lang="en-US"/>
          </a:p>
        </c:txPr>
        <c:crossAx val="103328000"/>
        <c:crosses val="autoZero"/>
        <c:crossBetween val="midCat"/>
      </c:valAx>
      <c:valAx>
        <c:axId val="1033280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>
                    <a:latin typeface="Arial"/>
                  </a:rPr>
                  <a:t>d Sw / d LOG Pore Throat Rad.</a:t>
                </a:r>
              </a:p>
            </c:rich>
          </c:tx>
          <c:layout>
            <c:manualLayout>
              <c:xMode val="edge"/>
              <c:yMode val="edge"/>
              <c:x val="2.6667382486280127E-2"/>
              <c:y val="0.307192675084412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580">
                <a:latin typeface="Arial"/>
              </a:defRPr>
            </a:pPr>
            <a:endParaRPr lang="en-US"/>
          </a:p>
        </c:txPr>
        <c:crossAx val="103150336"/>
        <c:crossesAt val="1.0000000000000041E-3"/>
        <c:crossBetween val="midCat"/>
        <c:majorUnit val="1"/>
        <c:min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solidFill>
        <a:sysClr val="windowText" lastClr="000000"/>
      </a:solidFill>
    </a:ln>
  </c:spPr>
  <c:txPr>
    <a:bodyPr/>
    <a:lstStyle/>
    <a:p>
      <a:pPr>
        <a:defRPr sz="900">
          <a:solidFill>
            <a:srgbClr val="000000"/>
          </a:solidFill>
          <a:latin typeface="Times New Roman"/>
        </a:defRPr>
      </a:pPr>
      <a:endParaRPr lang="en-US"/>
    </a:p>
  </c:txPr>
  <c:printSettings>
    <c:headerFooter/>
    <c:pageMargins b="1" l="0.75000000000000966" r="0.75000000000000966" t="1" header="0.5" footer="0.5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en-US" sz="900" b="1">
                <a:latin typeface="Arial"/>
              </a:rPr>
              <a:t>Normalized Pore Size Distribution VS Normalized Permeability</a:t>
            </a:r>
          </a:p>
        </c:rich>
      </c:tx>
      <c:layout>
        <c:manualLayout>
          <c:xMode val="edge"/>
          <c:yMode val="edge"/>
          <c:x val="0.2255588553160959"/>
          <c:y val="4.42079021058823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30384661626489"/>
          <c:y val="0.16126507112319541"/>
          <c:w val="0.81528794194843257"/>
          <c:h val="0.67664041994752322"/>
        </c:manualLayout>
      </c:layout>
      <c:scatterChart>
        <c:scatterStyle val="smoothMarker"/>
        <c:varyColors val="0"/>
        <c:ser>
          <c:idx val="0"/>
          <c:order val="0"/>
          <c:tx>
            <c:v>Normalized Pore Size Distribution</c:v>
          </c:tx>
          <c:spPr>
            <a:ln w="15875">
              <a:solidFill>
                <a:schemeClr val="dk2">
                  <a:lumMod val="75000"/>
                </a:schemeClr>
              </a:solidFill>
            </a:ln>
          </c:spPr>
          <c:marker>
            <c:symbol val="circle"/>
            <c:size val="5"/>
            <c:spPr>
              <a:solidFill>
                <a:schemeClr val="dk2">
                  <a:lumMod val="75000"/>
                </a:schemeClr>
              </a:solidFill>
              <a:ln>
                <a:solidFill>
                  <a:schemeClr val="dk2">
                    <a:lumMod val="75000"/>
                  </a:schemeClr>
                </a:solidFill>
              </a:ln>
            </c:spPr>
          </c:marker>
          <c:xVal>
            <c:numRef>
              <c:f>Table!$E$18:$E$136</c:f>
              <c:numCache>
                <c:formatCode>???0.000</c:formatCode>
                <c:ptCount val="119"/>
                <c:pt idx="0">
                  <c:v>73.429073190040185</c:v>
                </c:pt>
                <c:pt idx="1">
                  <c:v>69.186919587292167</c:v>
                </c:pt>
                <c:pt idx="2">
                  <c:v>61.124653677331288</c:v>
                </c:pt>
                <c:pt idx="3">
                  <c:v>55.187466381243389</c:v>
                </c:pt>
                <c:pt idx="4">
                  <c:v>50.923925430906607</c:v>
                </c:pt>
                <c:pt idx="5">
                  <c:v>46.877823824794746</c:v>
                </c:pt>
                <c:pt idx="6">
                  <c:v>42.543092435881995</c:v>
                </c:pt>
                <c:pt idx="7">
                  <c:v>39.017780886179004</c:v>
                </c:pt>
                <c:pt idx="8">
                  <c:v>35.442280116411396</c:v>
                </c:pt>
                <c:pt idx="9">
                  <c:v>32.382436006269536</c:v>
                </c:pt>
                <c:pt idx="10">
                  <c:v>29.735635100310304</c:v>
                </c:pt>
                <c:pt idx="11">
                  <c:v>27.190162196008291</c:v>
                </c:pt>
                <c:pt idx="12">
                  <c:v>24.858856059468366</c:v>
                </c:pt>
                <c:pt idx="13">
                  <c:v>22.73726787646201</c:v>
                </c:pt>
                <c:pt idx="14">
                  <c:v>20.792502234150465</c:v>
                </c:pt>
                <c:pt idx="15">
                  <c:v>18.975192872638019</c:v>
                </c:pt>
                <c:pt idx="16">
                  <c:v>17.369505432379093</c:v>
                </c:pt>
                <c:pt idx="17">
                  <c:v>15.877225282446956</c:v>
                </c:pt>
                <c:pt idx="18">
                  <c:v>14.48959838017052</c:v>
                </c:pt>
                <c:pt idx="19">
                  <c:v>13.267196007397425</c:v>
                </c:pt>
                <c:pt idx="20">
                  <c:v>12.118033458982252</c:v>
                </c:pt>
                <c:pt idx="21">
                  <c:v>11.069682726051195</c:v>
                </c:pt>
                <c:pt idx="22">
                  <c:v>10.134627290001612</c:v>
                </c:pt>
                <c:pt idx="23">
                  <c:v>9.200264617638183</c:v>
                </c:pt>
                <c:pt idx="24">
                  <c:v>8.4916453889313086</c:v>
                </c:pt>
                <c:pt idx="25">
                  <c:v>7.711035212922047</c:v>
                </c:pt>
                <c:pt idx="26">
                  <c:v>7.0662056241225653</c:v>
                </c:pt>
                <c:pt idx="27">
                  <c:v>6.4775002186891486</c:v>
                </c:pt>
                <c:pt idx="28">
                  <c:v>5.9180218654097425</c:v>
                </c:pt>
                <c:pt idx="29">
                  <c:v>5.383612444613262</c:v>
                </c:pt>
                <c:pt idx="30">
                  <c:v>4.9219148795770824</c:v>
                </c:pt>
                <c:pt idx="31">
                  <c:v>4.5025755657454285</c:v>
                </c:pt>
                <c:pt idx="32">
                  <c:v>4.1098336495132939</c:v>
                </c:pt>
                <c:pt idx="33">
                  <c:v>3.7682051854919236</c:v>
                </c:pt>
                <c:pt idx="34">
                  <c:v>3.4965123203406687</c:v>
                </c:pt>
                <c:pt idx="35">
                  <c:v>3.2300188022610499</c:v>
                </c:pt>
                <c:pt idx="36">
                  <c:v>2.9547651518557139</c:v>
                </c:pt>
                <c:pt idx="37">
                  <c:v>2.7129287033684593</c:v>
                </c:pt>
                <c:pt idx="38">
                  <c:v>2.4439221008743925</c:v>
                </c:pt>
                <c:pt idx="39">
                  <c:v>2.234029735120088</c:v>
                </c:pt>
                <c:pt idx="40">
                  <c:v>2.0536224060898349</c:v>
                </c:pt>
                <c:pt idx="41">
                  <c:v>1.8604509976966666</c:v>
                </c:pt>
                <c:pt idx="42">
                  <c:v>1.6998574751314348</c:v>
                </c:pt>
                <c:pt idx="43">
                  <c:v>1.5601546797742061</c:v>
                </c:pt>
                <c:pt idx="44">
                  <c:v>1.4221531877154006</c:v>
                </c:pt>
                <c:pt idx="45">
                  <c:v>1.3007003239853623</c:v>
                </c:pt>
                <c:pt idx="46">
                  <c:v>1.1782667480757461</c:v>
                </c:pt>
                <c:pt idx="47">
                  <c:v>1.0798523226400718</c:v>
                </c:pt>
                <c:pt idx="48">
                  <c:v>0.98793775155888008</c:v>
                </c:pt>
                <c:pt idx="49">
                  <c:v>0.90196123294075292</c:v>
                </c:pt>
                <c:pt idx="50">
                  <c:v>0.82157313648495789</c:v>
                </c:pt>
                <c:pt idx="51">
                  <c:v>0.75429645034463444</c:v>
                </c:pt>
                <c:pt idx="52">
                  <c:v>0.687939367569112</c:v>
                </c:pt>
                <c:pt idx="53">
                  <c:v>0.62742766195207822</c:v>
                </c:pt>
                <c:pt idx="54">
                  <c:v>0.57616245508108765</c:v>
                </c:pt>
                <c:pt idx="55">
                  <c:v>0.52521545584517593</c:v>
                </c:pt>
                <c:pt idx="56">
                  <c:v>0.47883180962322047</c:v>
                </c:pt>
                <c:pt idx="57">
                  <c:v>0.43728355429678295</c:v>
                </c:pt>
                <c:pt idx="58">
                  <c:v>0.40017339838642685</c:v>
                </c:pt>
                <c:pt idx="59">
                  <c:v>0.36539010741691275</c:v>
                </c:pt>
                <c:pt idx="60">
                  <c:v>0.33370605414856269</c:v>
                </c:pt>
                <c:pt idx="61">
                  <c:v>0.3054853869152227</c:v>
                </c:pt>
                <c:pt idx="62">
                  <c:v>0.27898157478206637</c:v>
                </c:pt>
                <c:pt idx="63">
                  <c:v>0.25478714571925209</c:v>
                </c:pt>
                <c:pt idx="64">
                  <c:v>0.23303032597192633</c:v>
                </c:pt>
                <c:pt idx="65">
                  <c:v>0.21300120242485931</c:v>
                </c:pt>
                <c:pt idx="66">
                  <c:v>0.1945104147401199</c:v>
                </c:pt>
                <c:pt idx="67">
                  <c:v>0.17798765610793196</c:v>
                </c:pt>
                <c:pt idx="68">
                  <c:v>0.16259291734040449</c:v>
                </c:pt>
                <c:pt idx="69">
                  <c:v>0.14866202684585447</c:v>
                </c:pt>
                <c:pt idx="70">
                  <c:v>0.1357049000411662</c:v>
                </c:pt>
                <c:pt idx="71">
                  <c:v>0.12416029495592265</c:v>
                </c:pt>
                <c:pt idx="72">
                  <c:v>0.11350953967935375</c:v>
                </c:pt>
                <c:pt idx="73">
                  <c:v>0.10418866254751526</c:v>
                </c:pt>
                <c:pt idx="74">
                  <c:v>9.5090549266204902E-2</c:v>
                </c:pt>
                <c:pt idx="75">
                  <c:v>8.6790040486143707E-2</c:v>
                </c:pt>
                <c:pt idx="76">
                  <c:v>7.9209205183356238E-2</c:v>
                </c:pt>
                <c:pt idx="77">
                  <c:v>7.2394103516590647E-2</c:v>
                </c:pt>
                <c:pt idx="78">
                  <c:v>6.6271127218767004E-2</c:v>
                </c:pt>
                <c:pt idx="79">
                  <c:v>6.0392480701707239E-2</c:v>
                </c:pt>
                <c:pt idx="80">
                  <c:v>5.5211901586581867E-2</c:v>
                </c:pt>
                <c:pt idx="81">
                  <c:v>5.0592326077910289E-2</c:v>
                </c:pt>
                <c:pt idx="82">
                  <c:v>4.6120137948241172E-2</c:v>
                </c:pt>
                <c:pt idx="83">
                  <c:v>4.2210302523661432E-2</c:v>
                </c:pt>
                <c:pt idx="84">
                  <c:v>3.8625397885962323E-2</c:v>
                </c:pt>
                <c:pt idx="85">
                  <c:v>3.5265193301864978E-2</c:v>
                </c:pt>
                <c:pt idx="86">
                  <c:v>3.2232593036661594E-2</c:v>
                </c:pt>
                <c:pt idx="87">
                  <c:v>2.9461679473238168E-2</c:v>
                </c:pt>
                <c:pt idx="88">
                  <c:v>2.6918868967460603E-2</c:v>
                </c:pt>
                <c:pt idx="89">
                  <c:v>2.4645842377517338E-2</c:v>
                </c:pt>
                <c:pt idx="90">
                  <c:v>2.2553961280967535E-2</c:v>
                </c:pt>
                <c:pt idx="91">
                  <c:v>2.0584925212372193E-2</c:v>
                </c:pt>
                <c:pt idx="92">
                  <c:v>1.8815629285730714E-2</c:v>
                </c:pt>
                <c:pt idx="93">
                  <c:v>1.7185580968639484E-2</c:v>
                </c:pt>
                <c:pt idx="94">
                  <c:v>1.5727136514377068E-2</c:v>
                </c:pt>
                <c:pt idx="95">
                  <c:v>1.4365156227807936E-2</c:v>
                </c:pt>
                <c:pt idx="96">
                  <c:v>1.3135350385933399E-2</c:v>
                </c:pt>
                <c:pt idx="97">
                  <c:v>1.2008441932287554E-2</c:v>
                </c:pt>
                <c:pt idx="98">
                  <c:v>1.0972131216117197E-2</c:v>
                </c:pt>
                <c:pt idx="99">
                  <c:v>1.0025615666472559E-2</c:v>
                </c:pt>
                <c:pt idx="100">
                  <c:v>9.182328952085277E-3</c:v>
                </c:pt>
                <c:pt idx="101">
                  <c:v>8.4052303056680912E-3</c:v>
                </c:pt>
                <c:pt idx="102">
                  <c:v>7.641272191922099E-3</c:v>
                </c:pt>
                <c:pt idx="103">
                  <c:v>7.0046059815050757E-3</c:v>
                </c:pt>
                <c:pt idx="104">
                  <c:v>6.3901360397631496E-3</c:v>
                </c:pt>
                <c:pt idx="105">
                  <c:v>5.8429128462398469E-3</c:v>
                </c:pt>
                <c:pt idx="106">
                  <c:v>5.3558806187859664E-3</c:v>
                </c:pt>
                <c:pt idx="107">
                  <c:v>4.8991725720402878E-3</c:v>
                </c:pt>
                <c:pt idx="108">
                  <c:v>4.477220891740707E-3</c:v>
                </c:pt>
                <c:pt idx="109">
                  <c:v>4.0915376074390488E-3</c:v>
                </c:pt>
                <c:pt idx="110">
                  <c:v>3.7283830203875125E-3</c:v>
                </c:pt>
                <c:pt idx="111">
                  <c:v>3.4137495310801267E-3</c:v>
                </c:pt>
                <c:pt idx="112">
                  <c:v>3.1211071560740228E-3</c:v>
                </c:pt>
                <c:pt idx="113">
                  <c:v>2.8521536688533699E-3</c:v>
                </c:pt>
                <c:pt idx="114">
                  <c:v>2.6070598320441689E-3</c:v>
                </c:pt>
                <c:pt idx="115">
                  <c:v>2.3851791727039569E-3</c:v>
                </c:pt>
                <c:pt idx="116">
                  <c:v>2.1805992029292568E-3</c:v>
                </c:pt>
                <c:pt idx="117">
                  <c:v>1.9938247118867092E-3</c:v>
                </c:pt>
                <c:pt idx="118">
                  <c:v>1.8362839891062439E-3</c:v>
                </c:pt>
              </c:numCache>
            </c:numRef>
          </c:xVal>
          <c:yVal>
            <c:numRef>
              <c:f>Table!$S$18:$S$136</c:f>
              <c:numCache>
                <c:formatCode>????0.000</c:formatCod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2.3184568525305264E-2</c:v>
                </c:pt>
                <c:pt idx="40">
                  <c:v>3.3890404210605116E-2</c:v>
                </c:pt>
                <c:pt idx="41">
                  <c:v>3.1693187722032702E-2</c:v>
                </c:pt>
                <c:pt idx="42">
                  <c:v>4.2443707845973004E-2</c:v>
                </c:pt>
                <c:pt idx="43">
                  <c:v>4.1680635124572298E-2</c:v>
                </c:pt>
                <c:pt idx="44">
                  <c:v>5.8052691656018431E-2</c:v>
                </c:pt>
                <c:pt idx="45">
                  <c:v>6.0176189790826909E-2</c:v>
                </c:pt>
                <c:pt idx="46">
                  <c:v>6.6347615386775513E-2</c:v>
                </c:pt>
                <c:pt idx="47">
                  <c:v>0.10271197244571759</c:v>
                </c:pt>
                <c:pt idx="48">
                  <c:v>0.13662972850583405</c:v>
                </c:pt>
                <c:pt idx="49">
                  <c:v>0.16918727855240545</c:v>
                </c:pt>
                <c:pt idx="50">
                  <c:v>0.16488294578541635</c:v>
                </c:pt>
                <c:pt idx="51">
                  <c:v>0.12207993409813155</c:v>
                </c:pt>
                <c:pt idx="52">
                  <c:v>0.14086758311451855</c:v>
                </c:pt>
                <c:pt idx="53">
                  <c:v>0.16521175304585495</c:v>
                </c:pt>
                <c:pt idx="54">
                  <c:v>0.16363821723277677</c:v>
                </c:pt>
                <c:pt idx="55">
                  <c:v>0.16387853321538384</c:v>
                </c:pt>
                <c:pt idx="56">
                  <c:v>0.16281122601813203</c:v>
                </c:pt>
                <c:pt idx="57">
                  <c:v>0.19567747167108984</c:v>
                </c:pt>
                <c:pt idx="58">
                  <c:v>0.18829013203776215</c:v>
                </c:pt>
                <c:pt idx="59">
                  <c:v>0.21088480746638177</c:v>
                </c:pt>
                <c:pt idx="60">
                  <c:v>0.23441441884194292</c:v>
                </c:pt>
                <c:pt idx="61">
                  <c:v>0.2738748004923916</c:v>
                </c:pt>
                <c:pt idx="62">
                  <c:v>0.33463452078389516</c:v>
                </c:pt>
                <c:pt idx="63">
                  <c:v>0.38172036405165355</c:v>
                </c:pt>
                <c:pt idx="64">
                  <c:v>0.4234598714726347</c:v>
                </c:pt>
                <c:pt idx="65">
                  <c:v>0.47039535270136812</c:v>
                </c:pt>
                <c:pt idx="66">
                  <c:v>0.52878994247628075</c:v>
                </c:pt>
                <c:pt idx="67">
                  <c:v>0.56804028532513262</c:v>
                </c:pt>
                <c:pt idx="68">
                  <c:v>0.63915333885635872</c:v>
                </c:pt>
                <c:pt idx="69">
                  <c:v>0.70647048223504583</c:v>
                </c:pt>
                <c:pt idx="70">
                  <c:v>0.78883202044455525</c:v>
                </c:pt>
                <c:pt idx="71">
                  <c:v>0.8425335008963214</c:v>
                </c:pt>
                <c:pt idx="72">
                  <c:v>0.91282921680684892</c:v>
                </c:pt>
                <c:pt idx="73">
                  <c:v>0.91508347725964023</c:v>
                </c:pt>
                <c:pt idx="74">
                  <c:v>1</c:v>
                </c:pt>
                <c:pt idx="75">
                  <c:v>0.95714623381121355</c:v>
                </c:pt>
                <c:pt idx="76">
                  <c:v>0.86075539080088681</c:v>
                </c:pt>
                <c:pt idx="77">
                  <c:v>0.79894196610359736</c:v>
                </c:pt>
                <c:pt idx="78">
                  <c:v>0.80956794023898571</c:v>
                </c:pt>
                <c:pt idx="79">
                  <c:v>0.8591043337030938</c:v>
                </c:pt>
                <c:pt idx="80">
                  <c:v>0.8428359801732741</c:v>
                </c:pt>
                <c:pt idx="81">
                  <c:v>0.82612882691866407</c:v>
                </c:pt>
                <c:pt idx="82">
                  <c:v>0.91609915235594563</c:v>
                </c:pt>
                <c:pt idx="83">
                  <c:v>0.87253160528150864</c:v>
                </c:pt>
                <c:pt idx="84">
                  <c:v>0.90005429415261118</c:v>
                </c:pt>
                <c:pt idx="85">
                  <c:v>0.91567088382455619</c:v>
                </c:pt>
                <c:pt idx="86">
                  <c:v>0.92934037285105286</c:v>
                </c:pt>
                <c:pt idx="87">
                  <c:v>0.89447042138815014</c:v>
                </c:pt>
                <c:pt idx="88">
                  <c:v>0.89161763811074857</c:v>
                </c:pt>
                <c:pt idx="89">
                  <c:v>0.80718086973615555</c:v>
                </c:pt>
                <c:pt idx="90">
                  <c:v>0.82763712783932664</c:v>
                </c:pt>
                <c:pt idx="91">
                  <c:v>0.7892193343349706</c:v>
                </c:pt>
                <c:pt idx="92">
                  <c:v>0.76133507449064031</c:v>
                </c:pt>
                <c:pt idx="93">
                  <c:v>0.71477081782907526</c:v>
                </c:pt>
                <c:pt idx="94">
                  <c:v>0.7106964161178726</c:v>
                </c:pt>
                <c:pt idx="95">
                  <c:v>0.61670668520157124</c:v>
                </c:pt>
                <c:pt idx="96">
                  <c:v>0.67830246523535931</c:v>
                </c:pt>
                <c:pt idx="97">
                  <c:v>0.57480891734651052</c:v>
                </c:pt>
                <c:pt idx="98">
                  <c:v>0.58819991481434808</c:v>
                </c:pt>
                <c:pt idx="99">
                  <c:v>0.53763146439754317</c:v>
                </c:pt>
                <c:pt idx="100">
                  <c:v>0.46336080804676644</c:v>
                </c:pt>
                <c:pt idx="101">
                  <c:v>0.47795236156161225</c:v>
                </c:pt>
                <c:pt idx="102">
                  <c:v>0.38827339914159131</c:v>
                </c:pt>
                <c:pt idx="103">
                  <c:v>0.40768823923126724</c:v>
                </c:pt>
                <c:pt idx="104">
                  <c:v>0.3018801690607561</c:v>
                </c:pt>
                <c:pt idx="105">
                  <c:v>0.33679224529723556</c:v>
                </c:pt>
                <c:pt idx="106">
                  <c:v>0.25589863843371236</c:v>
                </c:pt>
                <c:pt idx="107">
                  <c:v>0.30620731941343249</c:v>
                </c:pt>
                <c:pt idx="108">
                  <c:v>0.1165264847812575</c:v>
                </c:pt>
                <c:pt idx="109">
                  <c:v>0.34426003154677531</c:v>
                </c:pt>
                <c:pt idx="110">
                  <c:v>0.18201178557553646</c:v>
                </c:pt>
                <c:pt idx="111">
                  <c:v>0.19590594006112988</c:v>
                </c:pt>
                <c:pt idx="112">
                  <c:v>0.2243588843487728</c:v>
                </c:pt>
                <c:pt idx="113">
                  <c:v>3.2571811037627428E-2</c:v>
                </c:pt>
                <c:pt idx="114">
                  <c:v>0.29485703319899947</c:v>
                </c:pt>
                <c:pt idx="115">
                  <c:v>4.7109538452902E-2</c:v>
                </c:pt>
                <c:pt idx="116">
                  <c:v>0</c:v>
                </c:pt>
                <c:pt idx="117">
                  <c:v>0.17692404903323364</c:v>
                </c:pt>
                <c:pt idx="118">
                  <c:v>0.1480334751534097</c:v>
                </c:pt>
              </c:numCache>
            </c:numRef>
          </c:yVal>
          <c:smooth val="1"/>
        </c:ser>
        <c:ser>
          <c:idx val="1"/>
          <c:order val="1"/>
          <c:tx>
            <c:v>Normalized Permeability</c:v>
          </c:tx>
          <c:marker>
            <c:symbol val="circle"/>
            <c:size val="5"/>
          </c:marker>
          <c:xVal>
            <c:numRef>
              <c:f>Table!$E$18:$E$136</c:f>
              <c:numCache>
                <c:formatCode>???0.000</c:formatCode>
                <c:ptCount val="119"/>
                <c:pt idx="0">
                  <c:v>73.429073190040185</c:v>
                </c:pt>
                <c:pt idx="1">
                  <c:v>69.186919587292167</c:v>
                </c:pt>
                <c:pt idx="2">
                  <c:v>61.124653677331288</c:v>
                </c:pt>
                <c:pt idx="3">
                  <c:v>55.187466381243389</c:v>
                </c:pt>
                <c:pt idx="4">
                  <c:v>50.923925430906607</c:v>
                </c:pt>
                <c:pt idx="5">
                  <c:v>46.877823824794746</c:v>
                </c:pt>
                <c:pt idx="6">
                  <c:v>42.543092435881995</c:v>
                </c:pt>
                <c:pt idx="7">
                  <c:v>39.017780886179004</c:v>
                </c:pt>
                <c:pt idx="8">
                  <c:v>35.442280116411396</c:v>
                </c:pt>
                <c:pt idx="9">
                  <c:v>32.382436006269536</c:v>
                </c:pt>
                <c:pt idx="10">
                  <c:v>29.735635100310304</c:v>
                </c:pt>
                <c:pt idx="11">
                  <c:v>27.190162196008291</c:v>
                </c:pt>
                <c:pt idx="12">
                  <c:v>24.858856059468366</c:v>
                </c:pt>
                <c:pt idx="13">
                  <c:v>22.73726787646201</c:v>
                </c:pt>
                <c:pt idx="14">
                  <c:v>20.792502234150465</c:v>
                </c:pt>
                <c:pt idx="15">
                  <c:v>18.975192872638019</c:v>
                </c:pt>
                <c:pt idx="16">
                  <c:v>17.369505432379093</c:v>
                </c:pt>
                <c:pt idx="17">
                  <c:v>15.877225282446956</c:v>
                </c:pt>
                <c:pt idx="18">
                  <c:v>14.48959838017052</c:v>
                </c:pt>
                <c:pt idx="19">
                  <c:v>13.267196007397425</c:v>
                </c:pt>
                <c:pt idx="20">
                  <c:v>12.118033458982252</c:v>
                </c:pt>
                <c:pt idx="21">
                  <c:v>11.069682726051195</c:v>
                </c:pt>
                <c:pt idx="22">
                  <c:v>10.134627290001612</c:v>
                </c:pt>
                <c:pt idx="23">
                  <c:v>9.200264617638183</c:v>
                </c:pt>
                <c:pt idx="24">
                  <c:v>8.4916453889313086</c:v>
                </c:pt>
                <c:pt idx="25">
                  <c:v>7.711035212922047</c:v>
                </c:pt>
                <c:pt idx="26">
                  <c:v>7.0662056241225653</c:v>
                </c:pt>
                <c:pt idx="27">
                  <c:v>6.4775002186891486</c:v>
                </c:pt>
                <c:pt idx="28">
                  <c:v>5.9180218654097425</c:v>
                </c:pt>
                <c:pt idx="29">
                  <c:v>5.383612444613262</c:v>
                </c:pt>
                <c:pt idx="30">
                  <c:v>4.9219148795770824</c:v>
                </c:pt>
                <c:pt idx="31">
                  <c:v>4.5025755657454285</c:v>
                </c:pt>
                <c:pt idx="32">
                  <c:v>4.1098336495132939</c:v>
                </c:pt>
                <c:pt idx="33">
                  <c:v>3.7682051854919236</c:v>
                </c:pt>
                <c:pt idx="34">
                  <c:v>3.4965123203406687</c:v>
                </c:pt>
                <c:pt idx="35">
                  <c:v>3.2300188022610499</c:v>
                </c:pt>
                <c:pt idx="36">
                  <c:v>2.9547651518557139</c:v>
                </c:pt>
                <c:pt idx="37">
                  <c:v>2.7129287033684593</c:v>
                </c:pt>
                <c:pt idx="38">
                  <c:v>2.4439221008743925</c:v>
                </c:pt>
                <c:pt idx="39">
                  <c:v>2.234029735120088</c:v>
                </c:pt>
                <c:pt idx="40">
                  <c:v>2.0536224060898349</c:v>
                </c:pt>
                <c:pt idx="41">
                  <c:v>1.8604509976966666</c:v>
                </c:pt>
                <c:pt idx="42">
                  <c:v>1.6998574751314348</c:v>
                </c:pt>
                <c:pt idx="43">
                  <c:v>1.5601546797742061</c:v>
                </c:pt>
                <c:pt idx="44">
                  <c:v>1.4221531877154006</c:v>
                </c:pt>
                <c:pt idx="45">
                  <c:v>1.3007003239853623</c:v>
                </c:pt>
                <c:pt idx="46">
                  <c:v>1.1782667480757461</c:v>
                </c:pt>
                <c:pt idx="47">
                  <c:v>1.0798523226400718</c:v>
                </c:pt>
                <c:pt idx="48">
                  <c:v>0.98793775155888008</c:v>
                </c:pt>
                <c:pt idx="49">
                  <c:v>0.90196123294075292</c:v>
                </c:pt>
                <c:pt idx="50">
                  <c:v>0.82157313648495789</c:v>
                </c:pt>
                <c:pt idx="51">
                  <c:v>0.75429645034463444</c:v>
                </c:pt>
                <c:pt idx="52">
                  <c:v>0.687939367569112</c:v>
                </c:pt>
                <c:pt idx="53">
                  <c:v>0.62742766195207822</c:v>
                </c:pt>
                <c:pt idx="54">
                  <c:v>0.57616245508108765</c:v>
                </c:pt>
                <c:pt idx="55">
                  <c:v>0.52521545584517593</c:v>
                </c:pt>
                <c:pt idx="56">
                  <c:v>0.47883180962322047</c:v>
                </c:pt>
                <c:pt idx="57">
                  <c:v>0.43728355429678295</c:v>
                </c:pt>
                <c:pt idx="58">
                  <c:v>0.40017339838642685</c:v>
                </c:pt>
                <c:pt idx="59">
                  <c:v>0.36539010741691275</c:v>
                </c:pt>
                <c:pt idx="60">
                  <c:v>0.33370605414856269</c:v>
                </c:pt>
                <c:pt idx="61">
                  <c:v>0.3054853869152227</c:v>
                </c:pt>
                <c:pt idx="62">
                  <c:v>0.27898157478206637</c:v>
                </c:pt>
                <c:pt idx="63">
                  <c:v>0.25478714571925209</c:v>
                </c:pt>
                <c:pt idx="64">
                  <c:v>0.23303032597192633</c:v>
                </c:pt>
                <c:pt idx="65">
                  <c:v>0.21300120242485931</c:v>
                </c:pt>
                <c:pt idx="66">
                  <c:v>0.1945104147401199</c:v>
                </c:pt>
                <c:pt idx="67">
                  <c:v>0.17798765610793196</c:v>
                </c:pt>
                <c:pt idx="68">
                  <c:v>0.16259291734040449</c:v>
                </c:pt>
                <c:pt idx="69">
                  <c:v>0.14866202684585447</c:v>
                </c:pt>
                <c:pt idx="70">
                  <c:v>0.1357049000411662</c:v>
                </c:pt>
                <c:pt idx="71">
                  <c:v>0.12416029495592265</c:v>
                </c:pt>
                <c:pt idx="72">
                  <c:v>0.11350953967935375</c:v>
                </c:pt>
                <c:pt idx="73">
                  <c:v>0.10418866254751526</c:v>
                </c:pt>
                <c:pt idx="74">
                  <c:v>9.5090549266204902E-2</c:v>
                </c:pt>
                <c:pt idx="75">
                  <c:v>8.6790040486143707E-2</c:v>
                </c:pt>
                <c:pt idx="76">
                  <c:v>7.9209205183356238E-2</c:v>
                </c:pt>
                <c:pt idx="77">
                  <c:v>7.2394103516590647E-2</c:v>
                </c:pt>
                <c:pt idx="78">
                  <c:v>6.6271127218767004E-2</c:v>
                </c:pt>
                <c:pt idx="79">
                  <c:v>6.0392480701707239E-2</c:v>
                </c:pt>
                <c:pt idx="80">
                  <c:v>5.5211901586581867E-2</c:v>
                </c:pt>
                <c:pt idx="81">
                  <c:v>5.0592326077910289E-2</c:v>
                </c:pt>
                <c:pt idx="82">
                  <c:v>4.6120137948241172E-2</c:v>
                </c:pt>
                <c:pt idx="83">
                  <c:v>4.2210302523661432E-2</c:v>
                </c:pt>
                <c:pt idx="84">
                  <c:v>3.8625397885962323E-2</c:v>
                </c:pt>
                <c:pt idx="85">
                  <c:v>3.5265193301864978E-2</c:v>
                </c:pt>
                <c:pt idx="86">
                  <c:v>3.2232593036661594E-2</c:v>
                </c:pt>
                <c:pt idx="87">
                  <c:v>2.9461679473238168E-2</c:v>
                </c:pt>
                <c:pt idx="88">
                  <c:v>2.6918868967460603E-2</c:v>
                </c:pt>
                <c:pt idx="89">
                  <c:v>2.4645842377517338E-2</c:v>
                </c:pt>
                <c:pt idx="90">
                  <c:v>2.2553961280967535E-2</c:v>
                </c:pt>
                <c:pt idx="91">
                  <c:v>2.0584925212372193E-2</c:v>
                </c:pt>
                <c:pt idx="92">
                  <c:v>1.8815629285730714E-2</c:v>
                </c:pt>
                <c:pt idx="93">
                  <c:v>1.7185580968639484E-2</c:v>
                </c:pt>
                <c:pt idx="94">
                  <c:v>1.5727136514377068E-2</c:v>
                </c:pt>
                <c:pt idx="95">
                  <c:v>1.4365156227807936E-2</c:v>
                </c:pt>
                <c:pt idx="96">
                  <c:v>1.3135350385933399E-2</c:v>
                </c:pt>
                <c:pt idx="97">
                  <c:v>1.2008441932287554E-2</c:v>
                </c:pt>
                <c:pt idx="98">
                  <c:v>1.0972131216117197E-2</c:v>
                </c:pt>
                <c:pt idx="99">
                  <c:v>1.0025615666472559E-2</c:v>
                </c:pt>
                <c:pt idx="100">
                  <c:v>9.182328952085277E-3</c:v>
                </c:pt>
                <c:pt idx="101">
                  <c:v>8.4052303056680912E-3</c:v>
                </c:pt>
                <c:pt idx="102">
                  <c:v>7.641272191922099E-3</c:v>
                </c:pt>
                <c:pt idx="103">
                  <c:v>7.0046059815050757E-3</c:v>
                </c:pt>
                <c:pt idx="104">
                  <c:v>6.3901360397631496E-3</c:v>
                </c:pt>
                <c:pt idx="105">
                  <c:v>5.8429128462398469E-3</c:v>
                </c:pt>
                <c:pt idx="106">
                  <c:v>5.3558806187859664E-3</c:v>
                </c:pt>
                <c:pt idx="107">
                  <c:v>4.8991725720402878E-3</c:v>
                </c:pt>
                <c:pt idx="108">
                  <c:v>4.477220891740707E-3</c:v>
                </c:pt>
                <c:pt idx="109">
                  <c:v>4.0915376074390488E-3</c:v>
                </c:pt>
                <c:pt idx="110">
                  <c:v>3.7283830203875125E-3</c:v>
                </c:pt>
                <c:pt idx="111">
                  <c:v>3.4137495310801267E-3</c:v>
                </c:pt>
                <c:pt idx="112">
                  <c:v>3.1211071560740228E-3</c:v>
                </c:pt>
                <c:pt idx="113">
                  <c:v>2.8521536688533699E-3</c:v>
                </c:pt>
                <c:pt idx="114">
                  <c:v>2.6070598320441689E-3</c:v>
                </c:pt>
                <c:pt idx="115">
                  <c:v>2.3851791727039569E-3</c:v>
                </c:pt>
                <c:pt idx="116">
                  <c:v>2.1805992029292568E-3</c:v>
                </c:pt>
                <c:pt idx="117">
                  <c:v>1.9938247118867092E-3</c:v>
                </c:pt>
                <c:pt idx="118">
                  <c:v>1.8362839891062439E-3</c:v>
                </c:pt>
              </c:numCache>
            </c:numRef>
          </c:xVal>
          <c:yVal>
            <c:numRef>
              <c:f>Table!$T$18:$T$136</c:f>
              <c:numCache>
                <c:formatCode>????0.000</c:formatCode>
                <c:ptCount val="11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0.94628625354424556</c:v>
                </c:pt>
                <c:pt idx="40">
                  <c:v>0.8799384629701239</c:v>
                </c:pt>
                <c:pt idx="41">
                  <c:v>0.82901582158761622</c:v>
                </c:pt>
                <c:pt idx="42">
                  <c:v>0.7720850770413088</c:v>
                </c:pt>
                <c:pt idx="43">
                  <c:v>0.72498971144458602</c:v>
                </c:pt>
                <c:pt idx="44">
                  <c:v>0.67048630486975069</c:v>
                </c:pt>
                <c:pt idx="45">
                  <c:v>0.62322695847534293</c:v>
                </c:pt>
                <c:pt idx="46">
                  <c:v>0.58046859350506752</c:v>
                </c:pt>
                <c:pt idx="47">
                  <c:v>0.52487070079324205</c:v>
                </c:pt>
                <c:pt idx="48">
                  <c:v>0.46296752983355394</c:v>
                </c:pt>
                <c:pt idx="49">
                  <c:v>0.39907472168804992</c:v>
                </c:pt>
                <c:pt idx="50">
                  <c:v>0.34741206600202101</c:v>
                </c:pt>
                <c:pt idx="51">
                  <c:v>0.3151689547019596</c:v>
                </c:pt>
                <c:pt idx="52">
                  <c:v>0.28422185761754015</c:v>
                </c:pt>
                <c:pt idx="53">
                  <c:v>0.25403090673547291</c:v>
                </c:pt>
                <c:pt idx="54">
                  <c:v>0.22881450139539938</c:v>
                </c:pt>
                <c:pt idx="55">
                  <c:v>0.20782966478018305</c:v>
                </c:pt>
                <c:pt idx="56">
                  <c:v>0.19050124890744147</c:v>
                </c:pt>
                <c:pt idx="57">
                  <c:v>0.17313221570763293</c:v>
                </c:pt>
                <c:pt idx="58">
                  <c:v>0.15913529445725549</c:v>
                </c:pt>
                <c:pt idx="59">
                  <c:v>0.14606554110087733</c:v>
                </c:pt>
                <c:pt idx="60">
                  <c:v>0.13394781807898481</c:v>
                </c:pt>
                <c:pt idx="61">
                  <c:v>0.12208353546823381</c:v>
                </c:pt>
                <c:pt idx="62">
                  <c:v>0.10999342381076149</c:v>
                </c:pt>
                <c:pt idx="63">
                  <c:v>9.8490483006406726E-2</c:v>
                </c:pt>
                <c:pt idx="64">
                  <c:v>8.7816028883489605E-2</c:v>
                </c:pt>
                <c:pt idx="65">
                  <c:v>7.7909177204533719E-2</c:v>
                </c:pt>
                <c:pt idx="66">
                  <c:v>6.8622134675190072E-2</c:v>
                </c:pt>
                <c:pt idx="67">
                  <c:v>6.0268654753451112E-2</c:v>
                </c:pt>
                <c:pt idx="68">
                  <c:v>5.2425029478903595E-2</c:v>
                </c:pt>
                <c:pt idx="69">
                  <c:v>4.5177288760184786E-2</c:v>
                </c:pt>
                <c:pt idx="70">
                  <c:v>3.8433808065598374E-2</c:v>
                </c:pt>
                <c:pt idx="71">
                  <c:v>3.2404587415857389E-2</c:v>
                </c:pt>
                <c:pt idx="72">
                  <c:v>2.6944962773939984E-2</c:v>
                </c:pt>
                <c:pt idx="73">
                  <c:v>2.2333803023449672E-2</c:v>
                </c:pt>
                <c:pt idx="74">
                  <c:v>1.8136375168024466E-2</c:v>
                </c:pt>
                <c:pt idx="75">
                  <c:v>1.4789599483354454E-2</c:v>
                </c:pt>
                <c:pt idx="76">
                  <c:v>1.2282684589801862E-2</c:v>
                </c:pt>
                <c:pt idx="77">
                  <c:v>1.0338980487817007E-2</c:v>
                </c:pt>
                <c:pt idx="78">
                  <c:v>8.6884994279828875E-3</c:v>
                </c:pt>
                <c:pt idx="79">
                  <c:v>7.2339778229015828E-3</c:v>
                </c:pt>
                <c:pt idx="80">
                  <c:v>6.0413168565333075E-3</c:v>
                </c:pt>
                <c:pt idx="81">
                  <c:v>5.0597370851880319E-3</c:v>
                </c:pt>
                <c:pt idx="82">
                  <c:v>4.155187862283527E-3</c:v>
                </c:pt>
                <c:pt idx="83">
                  <c:v>3.4335378472242217E-3</c:v>
                </c:pt>
                <c:pt idx="84">
                  <c:v>2.8102004705096162E-3</c:v>
                </c:pt>
                <c:pt idx="85">
                  <c:v>2.2815842678248766E-3</c:v>
                </c:pt>
                <c:pt idx="86">
                  <c:v>1.8333822344474004E-3</c:v>
                </c:pt>
                <c:pt idx="87">
                  <c:v>1.4729783088897053E-3</c:v>
                </c:pt>
                <c:pt idx="88">
                  <c:v>1.173061506998252E-3</c:v>
                </c:pt>
                <c:pt idx="89">
                  <c:v>9.4546440803011667E-4</c:v>
                </c:pt>
                <c:pt idx="90">
                  <c:v>7.5003309302912324E-4</c:v>
                </c:pt>
                <c:pt idx="91">
                  <c:v>5.9479266504891548E-4</c:v>
                </c:pt>
                <c:pt idx="92">
                  <c:v>4.696740691537693E-4</c:v>
                </c:pt>
                <c:pt idx="93">
                  <c:v>3.7167910056579156E-4</c:v>
                </c:pt>
                <c:pt idx="94">
                  <c:v>2.9007876084463646E-4</c:v>
                </c:pt>
                <c:pt idx="95">
                  <c:v>2.3100319479985032E-4</c:v>
                </c:pt>
                <c:pt idx="96">
                  <c:v>1.7667625427730815E-4</c:v>
                </c:pt>
                <c:pt idx="97">
                  <c:v>1.3819888689581283E-4</c:v>
                </c:pt>
                <c:pt idx="98">
                  <c:v>1.0532769353954752E-4</c:v>
                </c:pt>
                <c:pt idx="99">
                  <c:v>8.0242623988424633E-5</c:v>
                </c:pt>
                <c:pt idx="100">
                  <c:v>6.2106957524510342E-5</c:v>
                </c:pt>
                <c:pt idx="101">
                  <c:v>4.6432505187987694E-5</c:v>
                </c:pt>
                <c:pt idx="102">
                  <c:v>3.5908585958144279E-5</c:v>
                </c:pt>
                <c:pt idx="103">
                  <c:v>2.6623110788714932E-5</c:v>
                </c:pt>
                <c:pt idx="104">
                  <c:v>2.090090699724545E-5</c:v>
                </c:pt>
                <c:pt idx="105">
                  <c:v>1.5563510967320227E-5</c:v>
                </c:pt>
                <c:pt idx="106">
                  <c:v>1.215599201731532E-5</c:v>
                </c:pt>
                <c:pt idx="107">
                  <c:v>8.7443019491928453E-6</c:v>
                </c:pt>
                <c:pt idx="108">
                  <c:v>7.6600000538107338E-6</c:v>
                </c:pt>
                <c:pt idx="109">
                  <c:v>4.9847263098312666E-6</c:v>
                </c:pt>
                <c:pt idx="110">
                  <c:v>3.8102369641634937E-6</c:v>
                </c:pt>
                <c:pt idx="111">
                  <c:v>2.750447885557783E-6</c:v>
                </c:pt>
                <c:pt idx="112">
                  <c:v>1.7359079220735651E-6</c:v>
                </c:pt>
                <c:pt idx="113">
                  <c:v>1.6129104243312042E-6</c:v>
                </c:pt>
                <c:pt idx="114">
                  <c:v>6.8261257601953673E-7</c:v>
                </c:pt>
                <c:pt idx="115">
                  <c:v>5.5820140021367592E-7</c:v>
                </c:pt>
                <c:pt idx="116">
                  <c:v>5.5820140021367592E-7</c:v>
                </c:pt>
                <c:pt idx="117">
                  <c:v>2.3171180374426115E-7</c:v>
                </c:pt>
                <c:pt idx="118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185408"/>
        <c:axId val="103191680"/>
      </c:scatterChart>
      <c:valAx>
        <c:axId val="103185408"/>
        <c:scaling>
          <c:logBase val="10"/>
          <c:orientation val="minMax"/>
          <c:max val="100"/>
          <c:min val="1.0000000000000041E-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>
                    <a:latin typeface="Arial"/>
                  </a:rPr>
                  <a:t>Pore Throat Radius (microns)</a:t>
                </a:r>
              </a:p>
            </c:rich>
          </c:tx>
          <c:layout>
            <c:manualLayout>
              <c:xMode val="edge"/>
              <c:yMode val="edge"/>
              <c:x val="0.37003231262758834"/>
              <c:y val="0.925774602248809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600">
                <a:latin typeface="Arial"/>
              </a:defRPr>
            </a:pPr>
            <a:endParaRPr lang="en-US"/>
          </a:p>
        </c:txPr>
        <c:crossAx val="103191680"/>
        <c:crosses val="autoZero"/>
        <c:crossBetween val="midCat"/>
      </c:valAx>
      <c:valAx>
        <c:axId val="103191680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>
                    <a:latin typeface="Arial"/>
                  </a:rPr>
                  <a:t>Distribution Function</a:t>
                </a:r>
              </a:p>
            </c:rich>
          </c:tx>
          <c:layout>
            <c:manualLayout>
              <c:xMode val="edge"/>
              <c:yMode val="edge"/>
              <c:x val="1.753793951647354E-2"/>
              <c:y val="0.414806277095512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600">
                <a:latin typeface="Arial"/>
              </a:defRPr>
            </a:pPr>
            <a:endParaRPr lang="en-US"/>
          </a:p>
        </c:txPr>
        <c:crossAx val="103185408"/>
        <c:crossesAt val="1.0000000000000041E-3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2926580820410549"/>
          <c:y val="0.53095033114718149"/>
          <c:w val="0.27719825824173727"/>
          <c:h val="0.21107166579607525"/>
        </c:manualLayout>
      </c:layout>
      <c:overlay val="0"/>
      <c:spPr>
        <a:solidFill>
          <a:srgbClr val="FFFFFF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solidFill>
      <a:schemeClr val="lt2"/>
    </a:solidFill>
    <a:ln w="3175">
      <a:solidFill>
        <a:sysClr val="windowText" lastClr="000000"/>
      </a:solidFill>
    </a:ln>
  </c:spPr>
  <c:txPr>
    <a:bodyPr/>
    <a:lstStyle/>
    <a:p>
      <a:pPr>
        <a:defRPr sz="800">
          <a:solidFill>
            <a:srgbClr val="000000"/>
          </a:solidFill>
          <a:latin typeface="Times New Roman"/>
        </a:defRPr>
      </a:pPr>
      <a:endParaRPr lang="en-US"/>
    </a:p>
  </c:txPr>
  <c:printSettings>
    <c:headerFooter/>
    <c:pageMargins b="1" l="0.75000000000000866" r="0.75000000000000866" t="1" header="0.5" footer="0.5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en-US" sz="900" b="1"/>
              <a:t>Incremental Intrusion %PV vs Pore Aperture Diameter</a:t>
            </a:r>
          </a:p>
        </c:rich>
      </c:tx>
      <c:layout>
        <c:manualLayout>
          <c:xMode val="edge"/>
          <c:yMode val="edge"/>
          <c:x val="0.1723981077147016"/>
          <c:y val="4.436254436254435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059498670579271"/>
          <c:y val="0.15326975675683863"/>
          <c:w val="0.82827901825522265"/>
          <c:h val="0.72458777553660758"/>
        </c:manualLayout>
      </c:layout>
      <c:scatterChart>
        <c:scatterStyle val="lineMarker"/>
        <c:varyColors val="0"/>
        <c:ser>
          <c:idx val="0"/>
          <c:order val="0"/>
          <c:spPr>
            <a:ln w="15875">
              <a:solidFill>
                <a:schemeClr val="dk2">
                  <a:lumMod val="50000"/>
                </a:schemeClr>
              </a:solidFill>
            </a:ln>
          </c:spPr>
          <c:marker>
            <c:symbol val="circle"/>
            <c:size val="5"/>
            <c:spPr>
              <a:solidFill>
                <a:schemeClr val="dk2">
                  <a:lumMod val="60000"/>
                  <a:lumOff val="40000"/>
                </a:schemeClr>
              </a:solidFill>
              <a:ln>
                <a:solidFill>
                  <a:schemeClr val="dk2">
                    <a:lumMod val="50000"/>
                  </a:schemeClr>
                </a:solidFill>
              </a:ln>
            </c:spPr>
          </c:marker>
          <c:xVal>
            <c:numRef>
              <c:f>Table!$F$18:$F$136</c:f>
              <c:numCache>
                <c:formatCode>???0.000</c:formatCode>
                <c:ptCount val="119"/>
                <c:pt idx="0">
                  <c:v>146.85814638008037</c:v>
                </c:pt>
                <c:pt idx="1">
                  <c:v>138.37383917458433</c:v>
                </c:pt>
                <c:pt idx="2">
                  <c:v>122.24930735466258</c:v>
                </c:pt>
                <c:pt idx="3">
                  <c:v>110.37493276248678</c:v>
                </c:pt>
                <c:pt idx="4">
                  <c:v>101.84785086181321</c:v>
                </c:pt>
                <c:pt idx="5">
                  <c:v>93.755647649589491</c:v>
                </c:pt>
                <c:pt idx="6">
                  <c:v>85.08618487176399</c:v>
                </c:pt>
                <c:pt idx="7">
                  <c:v>78.035561772358008</c:v>
                </c:pt>
                <c:pt idx="8">
                  <c:v>70.884560232822793</c:v>
                </c:pt>
                <c:pt idx="9">
                  <c:v>64.764872012539072</c:v>
                </c:pt>
                <c:pt idx="10">
                  <c:v>59.471270200620609</c:v>
                </c:pt>
                <c:pt idx="11">
                  <c:v>54.380324392016583</c:v>
                </c:pt>
                <c:pt idx="12">
                  <c:v>49.717712118936731</c:v>
                </c:pt>
                <c:pt idx="13">
                  <c:v>45.47453575292402</c:v>
                </c:pt>
                <c:pt idx="14">
                  <c:v>41.58500446830093</c:v>
                </c:pt>
                <c:pt idx="15">
                  <c:v>37.950385745276037</c:v>
                </c:pt>
                <c:pt idx="16">
                  <c:v>34.739010864758185</c:v>
                </c:pt>
                <c:pt idx="17">
                  <c:v>31.754450564893911</c:v>
                </c:pt>
                <c:pt idx="18">
                  <c:v>28.97919676034104</c:v>
                </c:pt>
                <c:pt idx="19">
                  <c:v>26.53439201479485</c:v>
                </c:pt>
                <c:pt idx="20">
                  <c:v>24.236066917964504</c:v>
                </c:pt>
                <c:pt idx="21">
                  <c:v>22.139365452102389</c:v>
                </c:pt>
                <c:pt idx="22">
                  <c:v>20.269254580003224</c:v>
                </c:pt>
                <c:pt idx="23">
                  <c:v>18.400529235276366</c:v>
                </c:pt>
                <c:pt idx="24">
                  <c:v>16.983290777862617</c:v>
                </c:pt>
                <c:pt idx="25">
                  <c:v>15.422070425844094</c:v>
                </c:pt>
                <c:pt idx="26">
                  <c:v>14.132411248245131</c:v>
                </c:pt>
                <c:pt idx="27">
                  <c:v>12.955000437378297</c:v>
                </c:pt>
                <c:pt idx="28">
                  <c:v>11.836043730819485</c:v>
                </c:pt>
                <c:pt idx="29">
                  <c:v>10.767224889226524</c:v>
                </c:pt>
                <c:pt idx="30">
                  <c:v>9.8438297591541648</c:v>
                </c:pt>
                <c:pt idx="31">
                  <c:v>9.005151131490857</c:v>
                </c:pt>
                <c:pt idx="32">
                  <c:v>8.2196672990265878</c:v>
                </c:pt>
                <c:pt idx="33">
                  <c:v>7.5364103709838473</c:v>
                </c:pt>
                <c:pt idx="34">
                  <c:v>6.9930246406813374</c:v>
                </c:pt>
                <c:pt idx="35">
                  <c:v>6.4600376045220997</c:v>
                </c:pt>
                <c:pt idx="36">
                  <c:v>5.9095303037114277</c:v>
                </c:pt>
                <c:pt idx="37">
                  <c:v>5.4258574067369185</c:v>
                </c:pt>
                <c:pt idx="38">
                  <c:v>4.8878442017487851</c:v>
                </c:pt>
                <c:pt idx="39">
                  <c:v>4.4680594702401759</c:v>
                </c:pt>
                <c:pt idx="40">
                  <c:v>4.1072448121796699</c:v>
                </c:pt>
                <c:pt idx="41">
                  <c:v>3.7209019953933331</c:v>
                </c:pt>
                <c:pt idx="42">
                  <c:v>3.3997149502628696</c:v>
                </c:pt>
                <c:pt idx="43">
                  <c:v>3.1203093595484122</c:v>
                </c:pt>
                <c:pt idx="44">
                  <c:v>2.8443063754308011</c:v>
                </c:pt>
                <c:pt idx="45">
                  <c:v>2.6014006479707246</c:v>
                </c:pt>
                <c:pt idx="46">
                  <c:v>2.3565334961514921</c:v>
                </c:pt>
                <c:pt idx="47">
                  <c:v>2.1597046452801436</c:v>
                </c:pt>
                <c:pt idx="48">
                  <c:v>1.9758755031177602</c:v>
                </c:pt>
                <c:pt idx="49">
                  <c:v>1.8039224658815058</c:v>
                </c:pt>
                <c:pt idx="50">
                  <c:v>1.6431462729699158</c:v>
                </c:pt>
                <c:pt idx="51">
                  <c:v>1.5085929006892689</c:v>
                </c:pt>
                <c:pt idx="52">
                  <c:v>1.375878735138224</c:v>
                </c:pt>
                <c:pt idx="53">
                  <c:v>1.2548553239041564</c:v>
                </c:pt>
                <c:pt idx="54">
                  <c:v>1.1523249101621753</c:v>
                </c:pt>
                <c:pt idx="55">
                  <c:v>1.0504309116903519</c:v>
                </c:pt>
                <c:pt idx="56">
                  <c:v>0.95766361924644094</c:v>
                </c:pt>
                <c:pt idx="57">
                  <c:v>0.8745671085935659</c:v>
                </c:pt>
                <c:pt idx="58">
                  <c:v>0.8003467967728537</c:v>
                </c:pt>
                <c:pt idx="59">
                  <c:v>0.73078021483382549</c:v>
                </c:pt>
                <c:pt idx="60">
                  <c:v>0.66741210829712538</c:v>
                </c:pt>
                <c:pt idx="61">
                  <c:v>0.6109707738304454</c:v>
                </c:pt>
                <c:pt idx="62">
                  <c:v>0.55796314956413273</c:v>
                </c:pt>
                <c:pt idx="63">
                  <c:v>0.50957429143850419</c:v>
                </c:pt>
                <c:pt idx="64">
                  <c:v>0.46606065194385266</c:v>
                </c:pt>
                <c:pt idx="65">
                  <c:v>0.42600240484971863</c:v>
                </c:pt>
                <c:pt idx="66">
                  <c:v>0.3890208294802398</c:v>
                </c:pt>
                <c:pt idx="67">
                  <c:v>0.35597531221586393</c:v>
                </c:pt>
                <c:pt idx="68">
                  <c:v>0.32518583468080897</c:v>
                </c:pt>
                <c:pt idx="69">
                  <c:v>0.29732405369170894</c:v>
                </c:pt>
                <c:pt idx="70">
                  <c:v>0.2714098000823324</c:v>
                </c:pt>
                <c:pt idx="71">
                  <c:v>0.2483205899118453</c:v>
                </c:pt>
                <c:pt idx="72">
                  <c:v>0.22701907935870749</c:v>
                </c:pt>
                <c:pt idx="73">
                  <c:v>0.20837732509503051</c:v>
                </c:pt>
                <c:pt idx="74">
                  <c:v>0.1901810985324098</c:v>
                </c:pt>
                <c:pt idx="75">
                  <c:v>0.17358008097228741</c:v>
                </c:pt>
                <c:pt idx="76">
                  <c:v>0.15841841036671248</c:v>
                </c:pt>
                <c:pt idx="77">
                  <c:v>0.14478820703318129</c:v>
                </c:pt>
                <c:pt idx="78">
                  <c:v>0.13254225443753401</c:v>
                </c:pt>
                <c:pt idx="79">
                  <c:v>0.12078496140341448</c:v>
                </c:pt>
                <c:pt idx="80">
                  <c:v>0.11042380317316373</c:v>
                </c:pt>
                <c:pt idx="81">
                  <c:v>0.10118465215582058</c:v>
                </c:pt>
                <c:pt idx="82">
                  <c:v>9.2240275896482343E-2</c:v>
                </c:pt>
                <c:pt idx="83">
                  <c:v>8.4420605047322864E-2</c:v>
                </c:pt>
                <c:pt idx="84">
                  <c:v>7.7250795771924646E-2</c:v>
                </c:pt>
                <c:pt idx="85">
                  <c:v>7.0530386603729955E-2</c:v>
                </c:pt>
                <c:pt idx="86">
                  <c:v>6.4465186073323189E-2</c:v>
                </c:pt>
                <c:pt idx="87">
                  <c:v>5.8923358946476337E-2</c:v>
                </c:pt>
                <c:pt idx="88">
                  <c:v>5.3837737934921207E-2</c:v>
                </c:pt>
                <c:pt idx="89">
                  <c:v>4.9291684755034676E-2</c:v>
                </c:pt>
                <c:pt idx="90">
                  <c:v>4.510792256193507E-2</c:v>
                </c:pt>
                <c:pt idx="91">
                  <c:v>4.1169850424744386E-2</c:v>
                </c:pt>
                <c:pt idx="92">
                  <c:v>3.7631258571461428E-2</c:v>
                </c:pt>
                <c:pt idx="93">
                  <c:v>3.4371161937278967E-2</c:v>
                </c:pt>
                <c:pt idx="94">
                  <c:v>3.1454273028754136E-2</c:v>
                </c:pt>
                <c:pt idx="95">
                  <c:v>2.8730312455615872E-2</c:v>
                </c:pt>
                <c:pt idx="96">
                  <c:v>2.6270700771866797E-2</c:v>
                </c:pt>
                <c:pt idx="97">
                  <c:v>2.4016883864575109E-2</c:v>
                </c:pt>
                <c:pt idx="98">
                  <c:v>2.1944262432234393E-2</c:v>
                </c:pt>
                <c:pt idx="99">
                  <c:v>2.0051231332945119E-2</c:v>
                </c:pt>
                <c:pt idx="100">
                  <c:v>1.8364657904170554E-2</c:v>
                </c:pt>
                <c:pt idx="101">
                  <c:v>1.6810460611336182E-2</c:v>
                </c:pt>
                <c:pt idx="102">
                  <c:v>1.5282544383844198E-2</c:v>
                </c:pt>
                <c:pt idx="103">
                  <c:v>1.4009211963010151E-2</c:v>
                </c:pt>
                <c:pt idx="104">
                  <c:v>1.2780272079526299E-2</c:v>
                </c:pt>
                <c:pt idx="105">
                  <c:v>1.1685825692479694E-2</c:v>
                </c:pt>
                <c:pt idx="106">
                  <c:v>1.0711761237571933E-2</c:v>
                </c:pt>
                <c:pt idx="107">
                  <c:v>9.7983451440805756E-3</c:v>
                </c:pt>
                <c:pt idx="108">
                  <c:v>8.9544417834814139E-3</c:v>
                </c:pt>
                <c:pt idx="109">
                  <c:v>8.1830752148780977E-3</c:v>
                </c:pt>
                <c:pt idx="110">
                  <c:v>7.4567660407750249E-3</c:v>
                </c:pt>
                <c:pt idx="111">
                  <c:v>6.8274990621602534E-3</c:v>
                </c:pt>
                <c:pt idx="112">
                  <c:v>6.2422143121480455E-3</c:v>
                </c:pt>
                <c:pt idx="113">
                  <c:v>5.7043073377067398E-3</c:v>
                </c:pt>
                <c:pt idx="114">
                  <c:v>5.2141196640883378E-3</c:v>
                </c:pt>
                <c:pt idx="115">
                  <c:v>4.7703583454079138E-3</c:v>
                </c:pt>
                <c:pt idx="116">
                  <c:v>4.3611984058585136E-3</c:v>
                </c:pt>
                <c:pt idx="117">
                  <c:v>3.9876494237734185E-3</c:v>
                </c:pt>
                <c:pt idx="118">
                  <c:v>3.6725679782124879E-3</c:v>
                </c:pt>
              </c:numCache>
            </c:numRef>
          </c:xVal>
          <c:yVal>
            <c:numRef>
              <c:f>Table!$H$18:$H$136</c:f>
              <c:numCache>
                <c:formatCode>????0.00</c:formatCod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6.4319717180714567E-2</c:v>
                </c:pt>
                <c:pt idx="40">
                  <c:v>9.402034856016446E-2</c:v>
                </c:pt>
                <c:pt idx="41">
                  <c:v>8.7924727545025505E-2</c:v>
                </c:pt>
                <c:pt idx="42">
                  <c:v>0.11774932458950796</c:v>
                </c:pt>
                <c:pt idx="43">
                  <c:v>0.11563237246356084</c:v>
                </c:pt>
                <c:pt idx="44">
                  <c:v>0.16105249941653466</c:v>
                </c:pt>
                <c:pt idx="45">
                  <c:v>0.16694360751783832</c:v>
                </c:pt>
                <c:pt idx="46">
                  <c:v>0.18406466579847813</c:v>
                </c:pt>
                <c:pt idx="47">
                  <c:v>0.28494837035984544</c:v>
                </c:pt>
                <c:pt idx="48">
                  <c:v>0.37904459970351589</c:v>
                </c:pt>
                <c:pt idx="49">
                  <c:v>0.46936728174121622</c:v>
                </c:pt>
                <c:pt idx="50">
                  <c:v>0.45742599993895894</c:v>
                </c:pt>
                <c:pt idx="51">
                  <c:v>0.33867987778429898</c:v>
                </c:pt>
                <c:pt idx="52">
                  <c:v>0.39080145468169025</c:v>
                </c:pt>
                <c:pt idx="53">
                  <c:v>0.45833819245939766</c:v>
                </c:pt>
                <c:pt idx="54">
                  <c:v>0.45397281562003799</c:v>
                </c:pt>
                <c:pt idx="55">
                  <c:v>0.45463951148795534</c:v>
                </c:pt>
                <c:pt idx="56">
                  <c:v>0.45167853781284784</c:v>
                </c:pt>
                <c:pt idx="57">
                  <c:v>0.54285761767723262</c:v>
                </c:pt>
                <c:pt idx="58">
                  <c:v>0.52236331365708821</c:v>
                </c:pt>
                <c:pt idx="59">
                  <c:v>0.58504652174753158</c:v>
                </c:pt>
                <c:pt idx="60">
                  <c:v>0.65032347298327764</c:v>
                </c:pt>
                <c:pt idx="61">
                  <c:v>0.75979631414612747</c:v>
                </c:pt>
                <c:pt idx="62">
                  <c:v>0.92835877934203204</c:v>
                </c:pt>
                <c:pt idx="63">
                  <c:v>1.0589865336990769</c:v>
                </c:pt>
                <c:pt idx="64">
                  <c:v>1.1747822324479955</c:v>
                </c:pt>
                <c:pt idx="65">
                  <c:v>1.3049928453855539</c:v>
                </c:pt>
                <c:pt idx="66">
                  <c:v>1.4669938545959162</c:v>
                </c:pt>
                <c:pt idx="67">
                  <c:v>1.5758839962661657</c:v>
                </c:pt>
                <c:pt idx="68">
                  <c:v>1.7731691640273564</c:v>
                </c:pt>
                <c:pt idx="69">
                  <c:v>1.959923539844393</c:v>
                </c:pt>
                <c:pt idx="70">
                  <c:v>2.1884147812674186</c:v>
                </c:pt>
                <c:pt idx="71">
                  <c:v>2.337395946522804</c:v>
                </c:pt>
                <c:pt idx="72">
                  <c:v>2.532413617929798</c:v>
                </c:pt>
                <c:pt idx="73">
                  <c:v>2.5386674929854038</c:v>
                </c:pt>
                <c:pt idx="74">
                  <c:v>2.7742468923030152</c:v>
                </c:pt>
                <c:pt idx="75">
                  <c:v>2.655359964630307</c:v>
                </c:pt>
                <c:pt idx="76">
                  <c:v>2.3879479679624254</c:v>
                </c:pt>
                <c:pt idx="77">
                  <c:v>2.2164622665933749</c:v>
                </c:pt>
                <c:pt idx="78">
                  <c:v>2.2459413423161649</c:v>
                </c:pt>
                <c:pt idx="79">
                  <c:v>2.3833675279398747</c:v>
                </c:pt>
                <c:pt idx="80">
                  <c:v>2.3382350987168721</c:v>
                </c:pt>
                <c:pt idx="81">
                  <c:v>2.2918853307210441</c:v>
                </c:pt>
                <c:pt idx="82">
                  <c:v>2.541485226464907</c:v>
                </c:pt>
                <c:pt idx="83">
                  <c:v>2.420618094388395</c:v>
                </c:pt>
                <c:pt idx="84">
                  <c:v>2.496972828456876</c:v>
                </c:pt>
                <c:pt idx="85">
                  <c:v>2.5402971038226312</c:v>
                </c:pt>
                <c:pt idx="86">
                  <c:v>2.5782196412737619</c:v>
                </c:pt>
                <c:pt idx="87">
                  <c:v>2.4814817867930472</c:v>
                </c:pt>
                <c:pt idx="88">
                  <c:v>2.4735674616512995</c:v>
                </c:pt>
                <c:pt idx="89">
                  <c:v>2.239319019391985</c:v>
                </c:pt>
                <c:pt idx="90">
                  <c:v>2.2960697298628503</c:v>
                </c:pt>
                <c:pt idx="91">
                  <c:v>2.189489285624262</c:v>
                </c:pt>
                <c:pt idx="92">
                  <c:v>2.1121314644069429</c:v>
                </c:pt>
                <c:pt idx="93">
                  <c:v>1.9829507200711873</c:v>
                </c:pt>
                <c:pt idx="94">
                  <c:v>1.9716473237859162</c:v>
                </c:pt>
                <c:pt idx="95">
                  <c:v>1.7108966048829473</c:v>
                </c:pt>
                <c:pt idx="96">
                  <c:v>1.8817785062206696</c:v>
                </c:pt>
                <c:pt idx="97">
                  <c:v>1.594661852616639</c:v>
                </c:pt>
                <c:pt idx="98">
                  <c:v>1.6318117857265975</c:v>
                </c:pt>
                <c:pt idx="99">
                  <c:v>1.4915224193092058</c:v>
                </c:pt>
                <c:pt idx="100">
                  <c:v>1.2854772817387641</c:v>
                </c:pt>
                <c:pt idx="101">
                  <c:v>1.3259578537311967</c:v>
                </c:pt>
                <c:pt idx="102">
                  <c:v>1.0771662709324801</c:v>
                </c:pt>
                <c:pt idx="103">
                  <c:v>1.131027830715837</c:v>
                </c:pt>
                <c:pt idx="104">
                  <c:v>0.83749012086471453</c:v>
                </c:pt>
                <c:pt idx="105">
                  <c:v>0.93434483986762018</c:v>
                </c:pt>
                <c:pt idx="106">
                  <c:v>0.70992600241929438</c:v>
                </c:pt>
                <c:pt idx="107">
                  <c:v>0.84949470428314555</c:v>
                </c:pt>
                <c:pt idx="108">
                  <c:v>0.32327323827540511</c:v>
                </c:pt>
                <c:pt idx="109">
                  <c:v>0.95506232266276925</c:v>
                </c:pt>
                <c:pt idx="110">
                  <c:v>0.50494563049547025</c:v>
                </c:pt>
                <c:pt idx="111">
                  <c:v>0.54349144539828842</c:v>
                </c:pt>
                <c:pt idx="112">
                  <c:v>0.62242693766515345</c:v>
                </c:pt>
                <c:pt idx="113">
                  <c:v>9.0362245547822795E-2</c:v>
                </c:pt>
                <c:pt idx="114">
                  <c:v>0.81800620802600577</c:v>
                </c:pt>
                <c:pt idx="115">
                  <c:v>0.13069349065079905</c:v>
                </c:pt>
                <c:pt idx="116">
                  <c:v>0</c:v>
                </c:pt>
                <c:pt idx="117">
                  <c:v>0.4908309932041135</c:v>
                </c:pt>
                <c:pt idx="118">
                  <c:v>0.4106814084011603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354944"/>
        <c:axId val="104357248"/>
      </c:scatterChart>
      <c:valAx>
        <c:axId val="104354944"/>
        <c:scaling>
          <c:logBase val="10"/>
          <c:orientation val="minMax"/>
          <c:max val="100"/>
          <c:min val="1.0000000000000041E-3"/>
        </c:scaling>
        <c:delete val="0"/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gradFill rotWithShape="1"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/>
                  <a:t>Pore Aperture Diameter (microns)</a:t>
                </a:r>
              </a:p>
            </c:rich>
          </c:tx>
          <c:layout>
            <c:manualLayout>
              <c:xMode val="edge"/>
              <c:yMode val="edge"/>
              <c:x val="0.36675497039079008"/>
              <c:y val="0.92355761574540307"/>
            </c:manualLayout>
          </c:layout>
          <c:overlay val="0"/>
          <c:spPr>
            <a:noFill/>
            <a:ln w="25400">
              <a:noFill/>
            </a:ln>
          </c:spPr>
        </c:title>
        <c:numFmt formatCode="??0.0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580"/>
            </a:pPr>
            <a:endParaRPr lang="en-US"/>
          </a:p>
        </c:txPr>
        <c:crossAx val="104357248"/>
        <c:crosses val="autoZero"/>
        <c:crossBetween val="midCat"/>
        <c:majorUnit val="10"/>
        <c:minorUnit val="10"/>
      </c:valAx>
      <c:valAx>
        <c:axId val="10435724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00" b="0"/>
                  <a:t>Incremental Intrusion as Percent of Pore Volume</a:t>
                </a:r>
              </a:p>
            </c:rich>
          </c:tx>
          <c:layout>
            <c:manualLayout>
              <c:xMode val="edge"/>
              <c:yMode val="edge"/>
              <c:x val="1.0568979145875295E-2"/>
              <c:y val="0.2125122153495171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580"/>
            </a:pPr>
            <a:endParaRPr lang="en-US"/>
          </a:p>
        </c:txPr>
        <c:crossAx val="104354944"/>
        <c:crossesAt val="1.0000000000000041E-3"/>
        <c:crossBetween val="midCat"/>
      </c:valAx>
      <c:spPr>
        <a:noFill/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chemeClr val="accent2">
        <a:lumMod val="20000"/>
        <a:lumOff val="80000"/>
      </a:schemeClr>
    </a:solidFill>
    <a:ln w="3175">
      <a:solidFill>
        <a:sysClr val="windowText" lastClr="000000"/>
      </a:solidFill>
    </a:ln>
  </c:spPr>
  <c:txPr>
    <a:bodyPr/>
    <a:lstStyle/>
    <a:p>
      <a:pPr>
        <a:defRPr>
          <a:solidFill>
            <a:srgbClr val="000000"/>
          </a:solidFill>
          <a:latin typeface="Arial"/>
        </a:defRPr>
      </a:pPr>
      <a:endParaRPr lang="en-US"/>
    </a:p>
  </c:txPr>
  <c:printSettings>
    <c:headerFooter/>
    <c:pageMargins b="0.75000000000000955" l="0.70000000000000062" r="0.70000000000000062" t="0.7500000000000095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image" Target="../media/image1.jpeg"/><Relationship Id="rId4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2</xdr:row>
      <xdr:rowOff>135890</xdr:rowOff>
    </xdr:to>
    <xdr:pic>
      <xdr:nvPicPr>
        <xdr:cNvPr id="4" name="Picture 5" descr="Weatherford Laboratories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76325" cy="45974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161924</xdr:rowOff>
    </xdr:from>
    <xdr:to>
      <xdr:col>5</xdr:col>
      <xdr:colOff>19812</xdr:colOff>
      <xdr:row>26</xdr:row>
      <xdr:rowOff>2666</xdr:rowOff>
    </xdr:to>
    <xdr:graphicFrame macro="">
      <xdr:nvGraphicFramePr>
        <xdr:cNvPr id="27923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762</xdr:colOff>
      <xdr:row>8</xdr:row>
      <xdr:rowOff>2666</xdr:rowOff>
    </xdr:from>
    <xdr:to>
      <xdr:col>10</xdr:col>
      <xdr:colOff>11049</xdr:colOff>
      <xdr:row>26</xdr:row>
      <xdr:rowOff>5333</xdr:rowOff>
    </xdr:to>
    <xdr:graphicFrame macro="">
      <xdr:nvGraphicFramePr>
        <xdr:cNvPr id="11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8</xdr:row>
      <xdr:rowOff>0</xdr:rowOff>
    </xdr:from>
    <xdr:to>
      <xdr:col>14</xdr:col>
      <xdr:colOff>540444</xdr:colOff>
      <xdr:row>26</xdr:row>
      <xdr:rowOff>2667</xdr:rowOff>
    </xdr:to>
    <xdr:graphicFrame macro="">
      <xdr:nvGraphicFramePr>
        <xdr:cNvPr id="27922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25</xdr:row>
      <xdr:rowOff>147759</xdr:rowOff>
    </xdr:from>
    <xdr:to>
      <xdr:col>5</xdr:col>
      <xdr:colOff>19812</xdr:colOff>
      <xdr:row>43</xdr:row>
      <xdr:rowOff>161924</xdr:rowOff>
    </xdr:to>
    <xdr:graphicFrame macro="">
      <xdr:nvGraphicFramePr>
        <xdr:cNvPr id="27924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540445</xdr:colOff>
      <xdr:row>25</xdr:row>
      <xdr:rowOff>147761</xdr:rowOff>
    </xdr:from>
    <xdr:to>
      <xdr:col>15</xdr:col>
      <xdr:colOff>0</xdr:colOff>
      <xdr:row>44</xdr:row>
      <xdr:rowOff>0</xdr:rowOff>
    </xdr:to>
    <xdr:graphicFrame macro="">
      <xdr:nvGraphicFramePr>
        <xdr:cNvPr id="10" name="Distribut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533400</xdr:colOff>
      <xdr:row>2</xdr:row>
      <xdr:rowOff>97790</xdr:rowOff>
    </xdr:to>
    <xdr:pic>
      <xdr:nvPicPr>
        <xdr:cNvPr id="8" name="Picture 5" descr="Weatherford Laboratories logo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1076325" cy="45974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8</xdr:row>
      <xdr:rowOff>0</xdr:rowOff>
    </xdr:from>
    <xdr:to>
      <xdr:col>14</xdr:col>
      <xdr:colOff>862742</xdr:colOff>
      <xdr:row>30</xdr:row>
      <xdr:rowOff>159258</xdr:rowOff>
    </xdr:to>
    <xdr:graphicFrame macro="">
      <xdr:nvGraphicFramePr>
        <xdr:cNvPr id="2983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8</xdr:col>
      <xdr:colOff>0</xdr:colOff>
      <xdr:row>31</xdr:row>
      <xdr:rowOff>0</xdr:rowOff>
    </xdr:to>
    <xdr:graphicFrame macro="">
      <xdr:nvGraphicFramePr>
        <xdr:cNvPr id="2983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7</xdr:col>
      <xdr:colOff>320802</xdr:colOff>
      <xdr:row>53</xdr:row>
      <xdr:rowOff>159258</xdr:rowOff>
    </xdr:to>
    <xdr:graphicFrame macro="">
      <xdr:nvGraphicFramePr>
        <xdr:cNvPr id="9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3048</xdr:colOff>
      <xdr:row>31</xdr:row>
      <xdr:rowOff>0</xdr:rowOff>
    </xdr:from>
    <xdr:to>
      <xdr:col>14</xdr:col>
      <xdr:colOff>866775</xdr:colOff>
      <xdr:row>53</xdr:row>
      <xdr:rowOff>159258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2</xdr:row>
      <xdr:rowOff>97790</xdr:rowOff>
    </xdr:to>
    <xdr:pic>
      <xdr:nvPicPr>
        <xdr:cNvPr id="8" name="Picture 5" descr="Weatherford Laboratories logo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1076325" cy="45974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485775</xdr:colOff>
      <xdr:row>2</xdr:row>
      <xdr:rowOff>135890</xdr:rowOff>
    </xdr:to>
    <xdr:pic>
      <xdr:nvPicPr>
        <xdr:cNvPr id="4" name="Picture 5" descr="Weatherford Laboratories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76325" cy="45974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1"/>
  <sheetViews>
    <sheetView showGridLines="0" workbookViewId="0">
      <pane xSplit="2" ySplit="17" topLeftCell="C18" activePane="bottomRight" state="frozen"/>
      <selection activeCell="E35" sqref="E35"/>
      <selection pane="topRight" activeCell="E35" sqref="E35"/>
      <selection pane="bottomLeft" activeCell="E35" sqref="E35"/>
      <selection pane="bottomRight" activeCell="A12" sqref="A12"/>
    </sheetView>
  </sheetViews>
  <sheetFormatPr defaultColWidth="8.85546875" defaultRowHeight="12.75" x14ac:dyDescent="0.2"/>
  <cols>
    <col min="1" max="13" width="10.28515625" style="30" customWidth="1"/>
    <col min="14" max="14" width="9.5703125" style="30" customWidth="1"/>
    <col min="15" max="15" width="8.85546875" style="30"/>
    <col min="16" max="17" width="10.7109375" style="30" customWidth="1"/>
    <col min="18" max="19" width="8.85546875" style="30"/>
    <col min="20" max="20" width="9.5703125" style="30" bestFit="1" customWidth="1"/>
    <col min="21" max="21" width="8.85546875" style="30"/>
    <col min="22" max="22" width="7.5703125" style="30" customWidth="1"/>
    <col min="23" max="23" width="11.5703125" style="111" bestFit="1" customWidth="1"/>
    <col min="24" max="24" width="13" style="111" customWidth="1"/>
    <col min="25" max="37" width="8.85546875" style="111"/>
    <col min="38" max="38" width="15.85546875" style="111" customWidth="1"/>
    <col min="39" max="16384" width="8.85546875" style="111"/>
  </cols>
  <sheetData>
    <row r="1" spans="1:40" x14ac:dyDescent="0.2">
      <c r="X1" s="88"/>
      <c r="Y1" s="14"/>
      <c r="Z1" s="14"/>
      <c r="AA1" s="28"/>
      <c r="AB1" s="28"/>
    </row>
    <row r="2" spans="1:40" x14ac:dyDescent="0.2">
      <c r="X2" s="64"/>
      <c r="Y2" s="64"/>
      <c r="Z2" s="25"/>
      <c r="AA2" s="25"/>
      <c r="AB2" s="41"/>
      <c r="AC2" s="41"/>
    </row>
    <row r="3" spans="1:40" x14ac:dyDescent="0.2">
      <c r="X3" s="71"/>
      <c r="Y3" s="83"/>
      <c r="Z3" s="115"/>
      <c r="AA3" s="41"/>
      <c r="AB3" s="65"/>
      <c r="AC3" s="65"/>
    </row>
    <row r="4" spans="1:40" x14ac:dyDescent="0.2">
      <c r="X4" s="71"/>
      <c r="Y4" s="83"/>
      <c r="Z4" s="115"/>
      <c r="AA4" s="41"/>
      <c r="AB4" s="65"/>
      <c r="AC4" s="65"/>
      <c r="AL4" s="37"/>
      <c r="AM4" s="37"/>
      <c r="AN4" s="37"/>
    </row>
    <row r="5" spans="1:40" ht="15.75" x14ac:dyDescent="0.25">
      <c r="A5" s="164" t="s">
        <v>11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8"/>
      <c r="O5" s="18"/>
      <c r="P5" s="18"/>
      <c r="Q5" s="18"/>
      <c r="R5" s="18"/>
      <c r="S5" s="18"/>
      <c r="T5" s="89"/>
      <c r="U5" s="160"/>
      <c r="V5" s="160"/>
      <c r="W5" s="83"/>
      <c r="X5" s="71"/>
      <c r="Y5" s="83"/>
      <c r="Z5" s="41"/>
      <c r="AA5" s="121"/>
      <c r="AB5" s="121"/>
      <c r="AC5" s="121"/>
      <c r="AL5" s="37"/>
      <c r="AM5" s="37"/>
      <c r="AN5" s="37"/>
    </row>
    <row r="6" spans="1:40" x14ac:dyDescent="0.2">
      <c r="A6" s="139"/>
      <c r="B6" s="160"/>
      <c r="C6" s="160"/>
      <c r="D6" s="160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60"/>
      <c r="P6" s="160"/>
      <c r="Q6" s="160"/>
      <c r="R6" s="139"/>
      <c r="S6" s="160"/>
      <c r="T6" s="160"/>
      <c r="U6" s="160"/>
      <c r="V6" s="160"/>
      <c r="W6" s="83"/>
      <c r="X6" s="71"/>
      <c r="Y6" s="83"/>
      <c r="Z6" s="41"/>
      <c r="AA6" s="118"/>
      <c r="AB6" s="115"/>
      <c r="AC6" s="115"/>
      <c r="AL6" s="37"/>
      <c r="AM6" s="37"/>
      <c r="AN6" s="37"/>
    </row>
    <row r="7" spans="1:40" ht="12.4" customHeight="1" x14ac:dyDescent="0.2">
      <c r="A7" s="151" t="str">
        <f>Table!A7</f>
        <v>Shell Exploration &amp; Production Company</v>
      </c>
      <c r="B7" s="139"/>
      <c r="C7" s="139"/>
      <c r="D7" s="139"/>
      <c r="E7" s="160"/>
      <c r="F7" s="160"/>
      <c r="G7" s="160"/>
      <c r="H7" s="160"/>
      <c r="I7" s="30" t="str">
        <f>Table!L7</f>
        <v>Sample Number:</v>
      </c>
      <c r="M7" s="81" t="str">
        <f>Table!P7</f>
        <v>MC 8</v>
      </c>
      <c r="N7" s="160"/>
      <c r="O7" s="151"/>
      <c r="P7" s="78"/>
      <c r="Q7" s="64"/>
      <c r="R7" s="64"/>
      <c r="S7" s="25"/>
      <c r="T7" s="118"/>
      <c r="U7" s="69"/>
      <c r="V7" s="115"/>
      <c r="AE7" s="135"/>
      <c r="AF7" s="62"/>
      <c r="AG7" s="62"/>
    </row>
    <row r="8" spans="1:40" ht="12.4" customHeight="1" x14ac:dyDescent="0.2">
      <c r="A8" s="151" t="str">
        <f>Table!A8</f>
        <v>OSC-Y-2321 Burger J 001</v>
      </c>
      <c r="B8" s="139"/>
      <c r="C8" s="139"/>
      <c r="D8" s="139"/>
      <c r="E8" s="139"/>
      <c r="F8" s="139"/>
      <c r="G8" s="139"/>
      <c r="H8" s="139"/>
      <c r="I8" s="30" t="str">
        <f>Table!L8</f>
        <v>Sample Depth, feet:</v>
      </c>
      <c r="M8" s="138">
        <f>Table!P8</f>
        <v>5971</v>
      </c>
      <c r="N8" s="160"/>
      <c r="O8" s="151"/>
      <c r="P8" s="78"/>
      <c r="Q8" s="64"/>
      <c r="R8" s="64"/>
      <c r="S8" s="25"/>
      <c r="T8" s="118"/>
      <c r="U8" s="69"/>
      <c r="V8" s="115"/>
      <c r="AE8" s="27"/>
      <c r="AF8" s="62"/>
      <c r="AG8" s="62"/>
    </row>
    <row r="9" spans="1:40" ht="12.4" customHeight="1" x14ac:dyDescent="0.2">
      <c r="A9" s="151" t="str">
        <f>Table!A9</f>
        <v>Offshore</v>
      </c>
      <c r="B9" s="139"/>
      <c r="C9" s="139"/>
      <c r="D9" s="139"/>
      <c r="E9" s="139"/>
      <c r="F9" s="139"/>
      <c r="G9" s="139"/>
      <c r="H9" s="139"/>
      <c r="I9" s="144" t="str">
        <f>Table!L9</f>
        <v>Permeability to Air (calc), mD:</v>
      </c>
      <c r="K9" s="139"/>
      <c r="L9" s="139"/>
      <c r="M9" s="66">
        <f>Table!P9</f>
        <v>3.0522460422915614E-2</v>
      </c>
      <c r="N9" s="160"/>
      <c r="O9" s="151" t="s">
        <v>38</v>
      </c>
      <c r="P9" s="78"/>
      <c r="Q9" s="83"/>
      <c r="R9" s="64"/>
      <c r="S9" s="64"/>
      <c r="T9" s="33"/>
      <c r="U9" s="33"/>
      <c r="V9" s="90"/>
      <c r="AE9" s="27"/>
      <c r="AF9" s="62"/>
      <c r="AG9" s="62"/>
    </row>
    <row r="10" spans="1:40" ht="12.4" customHeight="1" x14ac:dyDescent="0.2">
      <c r="A10" s="151" t="str">
        <f>Table!A10</f>
        <v>HH-77445</v>
      </c>
      <c r="B10" s="139"/>
      <c r="C10" s="139"/>
      <c r="D10" s="139"/>
      <c r="E10" s="160"/>
      <c r="F10" s="160"/>
      <c r="G10" s="160"/>
      <c r="H10" s="160"/>
      <c r="I10" s="144" t="str">
        <f>Table!L10</f>
        <v>Porosity, fraction:</v>
      </c>
      <c r="K10" s="139"/>
      <c r="L10" s="139"/>
      <c r="M10" s="66">
        <f>K30</f>
        <v>0.13285849206524736</v>
      </c>
      <c r="N10" s="160"/>
      <c r="O10" s="93" t="s">
        <v>38</v>
      </c>
      <c r="P10" s="17"/>
      <c r="Q10" s="83"/>
      <c r="R10" s="64"/>
      <c r="S10" s="64"/>
      <c r="T10" s="33"/>
      <c r="U10" s="25"/>
      <c r="V10" s="90"/>
      <c r="AE10" s="27"/>
      <c r="AF10" s="62"/>
      <c r="AG10" s="62"/>
    </row>
    <row r="11" spans="1:40" ht="12.4" customHeight="1" x14ac:dyDescent="0.2">
      <c r="A11" s="176" t="s">
        <v>97</v>
      </c>
      <c r="B11" s="139"/>
      <c r="C11" s="139"/>
      <c r="D11" s="139"/>
      <c r="E11" s="160"/>
      <c r="F11" s="160"/>
      <c r="G11" s="160"/>
      <c r="H11" s="139"/>
      <c r="I11" s="30" t="str">
        <f>Table!L11</f>
        <v>Grain Density, grams/cc:</v>
      </c>
      <c r="M11" s="110">
        <f>L30</f>
        <v>2.6702345126763345</v>
      </c>
      <c r="N11" s="160"/>
      <c r="O11" s="93" t="s">
        <v>38</v>
      </c>
      <c r="P11" s="17"/>
      <c r="Q11" s="64"/>
      <c r="R11" s="88"/>
      <c r="S11" s="14"/>
      <c r="T11" s="14"/>
      <c r="U11" s="32"/>
      <c r="V11" s="111"/>
      <c r="AE11" s="27"/>
      <c r="AF11" s="62"/>
      <c r="AG11" s="62"/>
    </row>
    <row r="12" spans="1:40" ht="12.4" customHeight="1" x14ac:dyDescent="0.2">
      <c r="A12" s="151"/>
      <c r="B12" s="139"/>
      <c r="C12" s="139"/>
      <c r="D12" s="139"/>
      <c r="E12" s="139"/>
      <c r="F12" s="139"/>
      <c r="G12" s="139"/>
      <c r="H12" s="139"/>
      <c r="I12" s="139"/>
      <c r="J12" s="144"/>
      <c r="K12" s="139"/>
      <c r="L12" s="139"/>
      <c r="M12" s="66"/>
      <c r="N12" s="160"/>
      <c r="O12" s="113"/>
      <c r="P12" s="41"/>
      <c r="Q12" s="64"/>
      <c r="R12" s="83"/>
      <c r="S12" s="64"/>
      <c r="T12" s="154"/>
      <c r="U12" s="83"/>
      <c r="V12" s="111"/>
      <c r="AE12" s="62"/>
      <c r="AF12" s="62"/>
      <c r="AG12" s="62"/>
    </row>
    <row r="13" spans="1:40" ht="12.4" customHeight="1" x14ac:dyDescent="0.2">
      <c r="A13" s="133"/>
      <c r="B13" s="133" t="s">
        <v>57</v>
      </c>
      <c r="C13" s="133" t="s">
        <v>56</v>
      </c>
      <c r="D13" s="133" t="s">
        <v>57</v>
      </c>
      <c r="E13" s="133" t="s">
        <v>56</v>
      </c>
      <c r="F13" s="133" t="s">
        <v>90</v>
      </c>
      <c r="G13" s="70"/>
      <c r="H13" s="70"/>
      <c r="N13" s="160"/>
      <c r="O13" s="113"/>
      <c r="P13" s="41"/>
      <c r="Q13" s="64"/>
      <c r="R13" s="64"/>
      <c r="S13" s="64"/>
      <c r="T13" s="154"/>
      <c r="U13" s="64"/>
      <c r="V13" s="111"/>
      <c r="AE13" s="62"/>
      <c r="AF13" s="62"/>
      <c r="AG13" s="62"/>
    </row>
    <row r="14" spans="1:40" ht="12.4" customHeight="1" x14ac:dyDescent="0.2">
      <c r="A14" s="141" t="s">
        <v>84</v>
      </c>
      <c r="B14" s="141" t="s">
        <v>62</v>
      </c>
      <c r="C14" s="141" t="s">
        <v>62</v>
      </c>
      <c r="D14" s="141" t="s">
        <v>62</v>
      </c>
      <c r="E14" s="141" t="s">
        <v>62</v>
      </c>
      <c r="F14" s="141" t="s">
        <v>49</v>
      </c>
      <c r="G14" s="70"/>
      <c r="H14" s="70"/>
      <c r="I14" s="53"/>
      <c r="J14" s="53"/>
      <c r="K14" s="53"/>
      <c r="L14" s="53"/>
      <c r="M14" s="53"/>
      <c r="N14" s="160"/>
      <c r="O14" s="113"/>
      <c r="P14" s="41"/>
      <c r="Q14" s="64"/>
      <c r="R14" s="64"/>
      <c r="S14" s="64"/>
      <c r="T14" s="154"/>
      <c r="U14" s="64"/>
      <c r="V14" s="111"/>
      <c r="AE14" s="62"/>
      <c r="AF14" s="62"/>
      <c r="AG14" s="62"/>
    </row>
    <row r="15" spans="1:40" ht="12.4" customHeight="1" x14ac:dyDescent="0.2">
      <c r="A15" s="141" t="s">
        <v>77</v>
      </c>
      <c r="B15" s="141" t="s">
        <v>3</v>
      </c>
      <c r="C15" s="141" t="s">
        <v>3</v>
      </c>
      <c r="D15" s="141" t="s">
        <v>5</v>
      </c>
      <c r="E15" s="141" t="s">
        <v>5</v>
      </c>
      <c r="F15" s="141" t="s">
        <v>5</v>
      </c>
      <c r="G15" s="70"/>
      <c r="H15" s="70"/>
      <c r="I15" s="70"/>
      <c r="J15" s="70"/>
      <c r="K15" s="70"/>
      <c r="L15" s="53"/>
      <c r="M15" s="53"/>
      <c r="N15" s="139"/>
      <c r="O15" s="113"/>
      <c r="P15" s="41"/>
      <c r="Q15" s="64"/>
      <c r="R15" s="64"/>
      <c r="S15" s="64"/>
      <c r="T15" s="154"/>
      <c r="U15" s="64"/>
      <c r="V15" s="111"/>
      <c r="AE15" s="62"/>
      <c r="AF15" s="62"/>
      <c r="AG15" s="62"/>
    </row>
    <row r="16" spans="1:40" ht="12.4" customHeight="1" x14ac:dyDescent="0.2">
      <c r="A16" s="76" t="s">
        <v>48</v>
      </c>
      <c r="B16" s="76" t="s">
        <v>35</v>
      </c>
      <c r="C16" s="76" t="s">
        <v>35</v>
      </c>
      <c r="D16" s="76" t="s">
        <v>25</v>
      </c>
      <c r="E16" s="76" t="s">
        <v>25</v>
      </c>
      <c r="F16" s="76" t="s">
        <v>25</v>
      </c>
      <c r="G16" s="70"/>
      <c r="H16" s="70"/>
      <c r="I16" s="70"/>
      <c r="J16" s="70"/>
      <c r="K16" s="70"/>
      <c r="L16" s="70"/>
      <c r="M16" s="70"/>
      <c r="N16" s="139"/>
      <c r="O16" s="41"/>
      <c r="P16" s="41"/>
      <c r="Q16" s="83"/>
      <c r="R16" s="111"/>
      <c r="S16" s="111"/>
      <c r="T16" s="111"/>
      <c r="U16" s="111"/>
      <c r="V16" s="111"/>
      <c r="AE16" s="62"/>
      <c r="AF16" s="62"/>
      <c r="AG16" s="62"/>
    </row>
    <row r="17" spans="1:35" ht="12.4" customHeight="1" x14ac:dyDescent="0.2">
      <c r="A17" s="160"/>
      <c r="B17" s="160"/>
      <c r="E17" s="160"/>
      <c r="F17" s="160"/>
      <c r="G17" s="160"/>
      <c r="H17" s="160"/>
      <c r="I17" s="160"/>
      <c r="J17" s="160"/>
      <c r="K17" s="160"/>
      <c r="L17" s="160"/>
      <c r="M17" s="160"/>
      <c r="N17" s="139"/>
      <c r="O17" s="41"/>
      <c r="P17" s="41"/>
      <c r="Q17" s="71"/>
      <c r="R17" s="83"/>
      <c r="S17" s="83"/>
      <c r="T17" s="162"/>
      <c r="U17" s="111"/>
      <c r="V17" s="111"/>
      <c r="AE17" s="62"/>
      <c r="AF17" s="62"/>
      <c r="AG17" s="62"/>
    </row>
    <row r="18" spans="1:35" ht="12.4" customHeight="1" x14ac:dyDescent="0.2">
      <c r="A18" s="79">
        <v>1.4875617027282715</v>
      </c>
      <c r="B18" s="45">
        <v>0</v>
      </c>
      <c r="C18" s="75">
        <f t="shared" ref="C18:C136" si="0">IF(B18-I$34&lt;0,0,B18-I$34)</f>
        <v>0</v>
      </c>
      <c r="D18" s="75">
        <f t="shared" ref="D18:E136" si="1">B18/$H$23</f>
        <v>0</v>
      </c>
      <c r="E18" s="75">
        <f t="shared" si="1"/>
        <v>0</v>
      </c>
      <c r="F18" s="75">
        <f t="shared" ref="F18:F136" si="2">E18-E17</f>
        <v>0</v>
      </c>
      <c r="G18" s="75"/>
      <c r="H18" s="129" t="s">
        <v>19</v>
      </c>
      <c r="I18" s="16"/>
      <c r="J18" s="16"/>
      <c r="K18" s="16"/>
      <c r="L18" s="16"/>
      <c r="M18" s="143"/>
      <c r="O18" s="79"/>
      <c r="P18" s="41"/>
      <c r="Q18" s="153"/>
      <c r="R18" s="43"/>
      <c r="S18" s="54"/>
      <c r="T18" s="147"/>
      <c r="U18" s="147"/>
      <c r="V18" s="147"/>
      <c r="W18" s="1"/>
      <c r="X18" s="153"/>
      <c r="AG18" s="62"/>
      <c r="AH18" s="62"/>
      <c r="AI18" s="62"/>
    </row>
    <row r="19" spans="1:35" ht="12.4" customHeight="1" x14ac:dyDescent="0.2">
      <c r="A19" s="79">
        <v>1.578770637512207</v>
      </c>
      <c r="B19" s="45">
        <v>5.3353087375580799E-4</v>
      </c>
      <c r="C19" s="75">
        <f t="shared" si="0"/>
        <v>0</v>
      </c>
      <c r="D19" s="75">
        <f t="shared" si="1"/>
        <v>3.3770461014277119E-4</v>
      </c>
      <c r="E19" s="75">
        <f t="shared" si="1"/>
        <v>0</v>
      </c>
      <c r="F19" s="75">
        <f t="shared" si="2"/>
        <v>0</v>
      </c>
      <c r="G19" s="75"/>
      <c r="H19" s="133" t="s">
        <v>88</v>
      </c>
      <c r="I19" s="133" t="s">
        <v>2</v>
      </c>
      <c r="J19" s="133" t="s">
        <v>83</v>
      </c>
      <c r="K19" s="133"/>
      <c r="L19" s="133" t="s">
        <v>83</v>
      </c>
      <c r="M19" s="133" t="s">
        <v>15</v>
      </c>
      <c r="O19" s="79"/>
      <c r="P19" s="41"/>
      <c r="Q19" s="153"/>
      <c r="R19" s="43"/>
      <c r="S19" s="70"/>
      <c r="T19" s="70"/>
      <c r="U19" s="70"/>
      <c r="V19" s="70"/>
      <c r="W19" s="1"/>
      <c r="X19" s="153"/>
      <c r="AG19" s="62"/>
      <c r="AH19" s="62"/>
      <c r="AI19" s="62"/>
    </row>
    <row r="20" spans="1:35" ht="12.4" customHeight="1" x14ac:dyDescent="0.2">
      <c r="A20" s="79">
        <v>1.78700852394104</v>
      </c>
      <c r="B20" s="45">
        <v>3.2223537974787175E-3</v>
      </c>
      <c r="C20" s="75">
        <f t="shared" si="0"/>
        <v>0</v>
      </c>
      <c r="D20" s="75">
        <f t="shared" si="1"/>
        <v>2.0396265454315377E-3</v>
      </c>
      <c r="E20" s="75">
        <f t="shared" si="1"/>
        <v>0</v>
      </c>
      <c r="F20" s="75">
        <f t="shared" si="2"/>
        <v>0</v>
      </c>
      <c r="G20" s="75"/>
      <c r="H20" s="141" t="s">
        <v>3</v>
      </c>
      <c r="I20" s="141" t="s">
        <v>3</v>
      </c>
      <c r="J20" s="141" t="s">
        <v>3</v>
      </c>
      <c r="K20" s="141" t="s">
        <v>61</v>
      </c>
      <c r="L20" s="141" t="s">
        <v>39</v>
      </c>
      <c r="M20" s="141" t="s">
        <v>9</v>
      </c>
      <c r="O20" s="79"/>
      <c r="P20" s="41"/>
      <c r="Q20" s="153"/>
      <c r="R20" s="43"/>
      <c r="S20" s="70"/>
      <c r="T20" s="70"/>
      <c r="U20" s="70"/>
      <c r="V20" s="70"/>
      <c r="W20" s="1"/>
      <c r="X20" s="153"/>
      <c r="AG20" s="62"/>
      <c r="AH20" s="62"/>
      <c r="AI20" s="62"/>
    </row>
    <row r="21" spans="1:35" ht="12.4" customHeight="1" x14ac:dyDescent="0.2">
      <c r="A21" s="79">
        <v>1.9792587757110596</v>
      </c>
      <c r="B21" s="45">
        <v>3.5228017543850001E-3</v>
      </c>
      <c r="C21" s="75">
        <f t="shared" si="0"/>
        <v>0</v>
      </c>
      <c r="D21" s="75">
        <f t="shared" si="1"/>
        <v>2.2297985957216711E-3</v>
      </c>
      <c r="E21" s="75">
        <f t="shared" si="1"/>
        <v>0</v>
      </c>
      <c r="F21" s="75">
        <f t="shared" si="2"/>
        <v>0</v>
      </c>
      <c r="G21" s="75"/>
      <c r="H21" s="76" t="s">
        <v>35</v>
      </c>
      <c r="I21" s="76" t="s">
        <v>35</v>
      </c>
      <c r="J21" s="76" t="s">
        <v>35</v>
      </c>
      <c r="K21" s="76" t="s">
        <v>25</v>
      </c>
      <c r="L21" s="76" t="s">
        <v>26</v>
      </c>
      <c r="M21" s="76" t="s">
        <v>18</v>
      </c>
      <c r="O21" s="79"/>
      <c r="P21" s="41"/>
      <c r="Q21" s="153"/>
      <c r="R21" s="43"/>
      <c r="S21" s="70"/>
      <c r="T21" s="70"/>
      <c r="U21" s="70"/>
      <c r="V21" s="70"/>
      <c r="W21" s="1"/>
      <c r="X21" s="153"/>
      <c r="AG21" s="10"/>
      <c r="AH21" s="62"/>
      <c r="AI21" s="62"/>
    </row>
    <row r="22" spans="1:35" ht="12.4" customHeight="1" x14ac:dyDescent="0.2">
      <c r="A22" s="79">
        <v>2.1449697017669678</v>
      </c>
      <c r="B22" s="45">
        <v>3.5228017543850001E-3</v>
      </c>
      <c r="C22" s="75">
        <f t="shared" si="0"/>
        <v>0</v>
      </c>
      <c r="D22" s="75">
        <f t="shared" si="1"/>
        <v>2.2297985957216711E-3</v>
      </c>
      <c r="E22" s="75">
        <f t="shared" si="1"/>
        <v>0</v>
      </c>
      <c r="F22" s="75">
        <f t="shared" si="2"/>
        <v>0</v>
      </c>
      <c r="G22" s="75"/>
      <c r="H22" s="145"/>
      <c r="I22" s="79"/>
      <c r="J22" s="79"/>
      <c r="K22" s="79"/>
      <c r="L22" s="79"/>
      <c r="M22" s="79"/>
      <c r="O22" s="79"/>
      <c r="P22" s="41"/>
      <c r="Q22" s="153"/>
      <c r="R22" s="43"/>
      <c r="S22" s="73"/>
      <c r="T22" s="1"/>
      <c r="U22" s="1"/>
      <c r="V22" s="1"/>
      <c r="W22" s="1"/>
      <c r="X22" s="153"/>
      <c r="AG22" s="10"/>
      <c r="AH22" s="62"/>
      <c r="AI22" s="62"/>
    </row>
    <row r="23" spans="1:35" ht="12.4" customHeight="1" x14ac:dyDescent="0.2">
      <c r="A23" s="79">
        <v>2.3301055431365967</v>
      </c>
      <c r="B23" s="45">
        <v>7.5135088901442937E-3</v>
      </c>
      <c r="C23" s="75">
        <f t="shared" si="0"/>
        <v>0</v>
      </c>
      <c r="D23" s="75">
        <f t="shared" si="1"/>
        <v>4.7557633782065699E-3</v>
      </c>
      <c r="E23" s="75">
        <f t="shared" si="1"/>
        <v>0</v>
      </c>
      <c r="F23" s="75">
        <f t="shared" si="2"/>
        <v>0</v>
      </c>
      <c r="G23" s="75"/>
      <c r="H23" s="158">
        <f>I23-J23</f>
        <v>1.5798744160769598</v>
      </c>
      <c r="I23" s="158">
        <v>10.76</v>
      </c>
      <c r="J23" s="158">
        <v>9.18012558392304</v>
      </c>
      <c r="K23" s="114">
        <f>H23/I23</f>
        <v>0.14682847733057247</v>
      </c>
      <c r="L23" s="158">
        <f>M23/J23</f>
        <v>2.6804644201266394</v>
      </c>
      <c r="M23" s="158">
        <v>24.606999999999999</v>
      </c>
      <c r="O23" s="52"/>
      <c r="P23" s="41"/>
      <c r="Q23" s="153"/>
      <c r="R23" s="43"/>
      <c r="S23" s="122"/>
      <c r="T23" s="122"/>
      <c r="U23" s="122"/>
      <c r="V23" s="122"/>
      <c r="W23" s="1"/>
      <c r="X23" s="153"/>
      <c r="AG23" s="10"/>
      <c r="AH23" s="62"/>
      <c r="AI23" s="62"/>
    </row>
    <row r="24" spans="1:35" ht="12.4" customHeight="1" x14ac:dyDescent="0.2">
      <c r="A24" s="79">
        <v>2.5675208568572998</v>
      </c>
      <c r="B24" s="45">
        <v>8.7361931938212366E-3</v>
      </c>
      <c r="C24" s="75">
        <f t="shared" si="0"/>
        <v>0</v>
      </c>
      <c r="D24" s="75">
        <f t="shared" si="1"/>
        <v>5.5296757165764964E-3</v>
      </c>
      <c r="E24" s="75">
        <f t="shared" si="1"/>
        <v>0</v>
      </c>
      <c r="F24" s="75">
        <f t="shared" si="2"/>
        <v>0</v>
      </c>
      <c r="G24" s="75"/>
      <c r="O24" s="79"/>
      <c r="P24" s="41"/>
      <c r="Q24" s="153"/>
      <c r="R24" s="43"/>
      <c r="S24" s="111"/>
      <c r="T24" s="111"/>
      <c r="U24" s="111"/>
      <c r="V24" s="111"/>
      <c r="W24" s="1"/>
      <c r="X24" s="153"/>
      <c r="AG24" s="10"/>
      <c r="AH24" s="62"/>
      <c r="AI24" s="62"/>
    </row>
    <row r="25" spans="1:35" ht="12.4" customHeight="1" x14ac:dyDescent="0.2">
      <c r="A25" s="79">
        <v>2.7994999885559082</v>
      </c>
      <c r="B25" s="45">
        <v>1.0727357953815953E-2</v>
      </c>
      <c r="C25" s="75">
        <f t="shared" si="0"/>
        <v>0</v>
      </c>
      <c r="D25" s="75">
        <f t="shared" si="1"/>
        <v>6.7900067528490161E-3</v>
      </c>
      <c r="E25" s="75">
        <f t="shared" si="1"/>
        <v>0</v>
      </c>
      <c r="F25" s="75">
        <f t="shared" si="2"/>
        <v>0</v>
      </c>
      <c r="G25" s="75"/>
      <c r="H25" s="129" t="s">
        <v>76</v>
      </c>
      <c r="I25" s="16"/>
      <c r="J25" s="16"/>
      <c r="K25" s="16"/>
      <c r="L25" s="16"/>
      <c r="M25" s="143"/>
      <c r="O25" s="79"/>
      <c r="P25" s="41"/>
      <c r="Q25" s="153"/>
      <c r="R25" s="43"/>
      <c r="S25" s="54"/>
      <c r="T25" s="147"/>
      <c r="U25" s="147"/>
      <c r="V25" s="147"/>
      <c r="W25" s="1"/>
      <c r="X25" s="153"/>
      <c r="AG25" s="50"/>
      <c r="AH25" s="62"/>
      <c r="AI25" s="62"/>
    </row>
    <row r="26" spans="1:35" ht="12.4" customHeight="1" x14ac:dyDescent="0.2">
      <c r="A26" s="79">
        <v>3.0819201469421387</v>
      </c>
      <c r="B26" s="45">
        <v>1.1898632142459974E-2</v>
      </c>
      <c r="C26" s="75">
        <f t="shared" si="0"/>
        <v>0</v>
      </c>
      <c r="D26" s="75">
        <f t="shared" si="1"/>
        <v>7.531378457286418E-3</v>
      </c>
      <c r="E26" s="75">
        <f t="shared" si="1"/>
        <v>0</v>
      </c>
      <c r="F26" s="75">
        <f t="shared" si="2"/>
        <v>0</v>
      </c>
      <c r="G26" s="75"/>
      <c r="H26" s="133" t="s">
        <v>88</v>
      </c>
      <c r="I26" s="133" t="s">
        <v>2</v>
      </c>
      <c r="J26" s="133" t="s">
        <v>83</v>
      </c>
      <c r="K26" s="133"/>
      <c r="L26" s="133" t="s">
        <v>83</v>
      </c>
      <c r="M26" s="133" t="s">
        <v>15</v>
      </c>
      <c r="O26" s="79"/>
      <c r="P26" s="41"/>
      <c r="Q26" s="153"/>
      <c r="R26" s="43"/>
      <c r="S26" s="70"/>
      <c r="T26" s="70"/>
      <c r="U26" s="70"/>
      <c r="V26" s="70"/>
      <c r="W26" s="1"/>
      <c r="X26" s="153"/>
      <c r="AG26" s="50"/>
      <c r="AH26" s="62"/>
      <c r="AI26" s="62"/>
    </row>
    <row r="27" spans="1:35" ht="12.4" customHeight="1" x14ac:dyDescent="0.2">
      <c r="A27" s="79">
        <v>3.3731334209442139</v>
      </c>
      <c r="B27" s="45">
        <v>1.301325250751688E-2</v>
      </c>
      <c r="C27" s="75">
        <f t="shared" si="0"/>
        <v>0</v>
      </c>
      <c r="D27" s="75">
        <f t="shared" si="1"/>
        <v>8.2368904610978719E-3</v>
      </c>
      <c r="E27" s="75">
        <f t="shared" si="1"/>
        <v>0</v>
      </c>
      <c r="F27" s="75">
        <f t="shared" si="2"/>
        <v>0</v>
      </c>
      <c r="G27" s="75"/>
      <c r="H27" s="141" t="s">
        <v>3</v>
      </c>
      <c r="I27" s="141" t="s">
        <v>3</v>
      </c>
      <c r="J27" s="141" t="s">
        <v>3</v>
      </c>
      <c r="K27" s="141" t="s">
        <v>61</v>
      </c>
      <c r="L27" s="141" t="s">
        <v>39</v>
      </c>
      <c r="M27" s="141" t="s">
        <v>9</v>
      </c>
      <c r="O27" s="79"/>
      <c r="P27" s="41"/>
      <c r="Q27" s="153"/>
      <c r="R27" s="43"/>
      <c r="S27" s="70"/>
      <c r="T27" s="70"/>
      <c r="U27" s="70"/>
      <c r="V27" s="70"/>
      <c r="W27" s="1"/>
      <c r="X27" s="153"/>
      <c r="AG27" s="50"/>
      <c r="AH27" s="62"/>
      <c r="AI27" s="62"/>
    </row>
    <row r="28" spans="1:35" ht="12.4" customHeight="1" x14ac:dyDescent="0.2">
      <c r="A28" s="79">
        <v>3.67337965965271</v>
      </c>
      <c r="B28" s="45">
        <v>1.4124726790672866E-2</v>
      </c>
      <c r="C28" s="75">
        <f t="shared" si="0"/>
        <v>0</v>
      </c>
      <c r="D28" s="75">
        <f t="shared" si="1"/>
        <v>8.9404111155533868E-3</v>
      </c>
      <c r="E28" s="75">
        <f t="shared" si="1"/>
        <v>0</v>
      </c>
      <c r="F28" s="75">
        <f t="shared" si="2"/>
        <v>0</v>
      </c>
      <c r="G28" s="75"/>
      <c r="H28" s="76" t="s">
        <v>35</v>
      </c>
      <c r="I28" s="76" t="s">
        <v>35</v>
      </c>
      <c r="J28" s="76" t="s">
        <v>35</v>
      </c>
      <c r="K28" s="76" t="s">
        <v>25</v>
      </c>
      <c r="L28" s="76" t="s">
        <v>26</v>
      </c>
      <c r="M28" s="76" t="s">
        <v>18</v>
      </c>
      <c r="O28" s="79"/>
      <c r="P28" s="41"/>
      <c r="Q28" s="153"/>
      <c r="R28" s="43"/>
      <c r="S28" s="70"/>
      <c r="T28" s="70"/>
      <c r="U28" s="70"/>
      <c r="V28" s="70"/>
      <c r="W28" s="1"/>
      <c r="X28" s="153"/>
      <c r="AG28" s="50"/>
      <c r="AH28" s="62"/>
      <c r="AI28" s="62"/>
    </row>
    <row r="29" spans="1:35" ht="12.4" customHeight="1" x14ac:dyDescent="0.2">
      <c r="A29" s="79">
        <v>4.0172719955444336</v>
      </c>
      <c r="B29" s="45">
        <v>1.465796654621954E-2</v>
      </c>
      <c r="C29" s="75">
        <f t="shared" si="0"/>
        <v>0</v>
      </c>
      <c r="D29" s="75">
        <f t="shared" si="1"/>
        <v>9.277931459018899E-3</v>
      </c>
      <c r="E29" s="75">
        <f t="shared" si="1"/>
        <v>0</v>
      </c>
      <c r="F29" s="75">
        <f t="shared" si="2"/>
        <v>0</v>
      </c>
      <c r="G29" s="75"/>
      <c r="H29" s="145"/>
      <c r="I29" s="79"/>
      <c r="J29" s="79"/>
      <c r="K29" s="79"/>
      <c r="L29" s="79"/>
      <c r="M29" s="79"/>
      <c r="O29" s="79"/>
      <c r="P29" s="41"/>
      <c r="Q29" s="153"/>
      <c r="R29" s="43"/>
      <c r="S29" s="73"/>
      <c r="T29" s="1"/>
      <c r="U29" s="1"/>
      <c r="V29" s="1"/>
      <c r="W29" s="1"/>
      <c r="X29" s="153"/>
      <c r="AG29" s="4"/>
      <c r="AH29" s="62"/>
      <c r="AI29" s="62"/>
    </row>
    <row r="30" spans="1:35" ht="12.4" customHeight="1" x14ac:dyDescent="0.2">
      <c r="A30" s="79">
        <v>4.3940186500549316</v>
      </c>
      <c r="B30" s="45">
        <v>1.5475969325198093E-2</v>
      </c>
      <c r="C30" s="75">
        <f t="shared" si="0"/>
        <v>0</v>
      </c>
      <c r="D30" s="75">
        <f t="shared" si="1"/>
        <v>9.7956958905803422E-3</v>
      </c>
      <c r="E30" s="75">
        <f t="shared" si="1"/>
        <v>0</v>
      </c>
      <c r="F30" s="75">
        <f t="shared" si="2"/>
        <v>0</v>
      </c>
      <c r="G30" s="75"/>
      <c r="H30" s="158">
        <f>C136</f>
        <v>1.4119151816094528</v>
      </c>
      <c r="I30" s="158">
        <f>(Table!AJ5-(Table!AJ4-Table!AJ2-'Raw Data'!M30)/Table!AJ3)-'Raw Data'!I34</f>
        <v>10.627210648424757</v>
      </c>
      <c r="J30" s="158">
        <f>I30-H30</f>
        <v>9.215295466815304</v>
      </c>
      <c r="K30" s="114">
        <f>H30/I30</f>
        <v>0.13285849206524736</v>
      </c>
      <c r="L30" s="158">
        <f>M30/J30</f>
        <v>2.6702345126763345</v>
      </c>
      <c r="M30" s="158">
        <f>M23</f>
        <v>24.606999999999999</v>
      </c>
      <c r="N30" s="29"/>
      <c r="O30" s="75"/>
      <c r="P30" s="41"/>
      <c r="Q30" s="111"/>
      <c r="R30" s="43"/>
      <c r="S30" s="122"/>
      <c r="T30" s="122"/>
      <c r="U30" s="122"/>
      <c r="V30" s="122"/>
      <c r="W30" s="109"/>
      <c r="X30" s="156"/>
    </row>
    <row r="31" spans="1:35" ht="12.4" customHeight="1" x14ac:dyDescent="0.2">
      <c r="A31" s="79">
        <v>4.8040194511413574</v>
      </c>
      <c r="B31" s="45">
        <v>1.6351148723071675E-2</v>
      </c>
      <c r="C31" s="75">
        <f t="shared" si="0"/>
        <v>0</v>
      </c>
      <c r="D31" s="75">
        <f t="shared" si="1"/>
        <v>1.0349650932175845E-2</v>
      </c>
      <c r="E31" s="75">
        <f t="shared" si="1"/>
        <v>0</v>
      </c>
      <c r="F31" s="75">
        <f t="shared" si="2"/>
        <v>0</v>
      </c>
      <c r="G31" s="75"/>
      <c r="H31" s="145"/>
      <c r="I31" s="79"/>
      <c r="J31" s="79"/>
      <c r="K31" s="79"/>
      <c r="L31" s="79"/>
      <c r="M31" s="74"/>
      <c r="O31" s="116"/>
      <c r="P31" s="41"/>
      <c r="Q31" s="122"/>
      <c r="R31" s="111"/>
      <c r="S31" s="111"/>
      <c r="T31" s="111"/>
      <c r="U31" s="111"/>
      <c r="V31" s="111"/>
    </row>
    <row r="32" spans="1:35" ht="12.4" customHeight="1" x14ac:dyDescent="0.2">
      <c r="A32" s="79">
        <v>5.2533493041992187</v>
      </c>
      <c r="B32" s="45">
        <v>1.676287222895189E-2</v>
      </c>
      <c r="C32" s="75">
        <f t="shared" si="0"/>
        <v>0</v>
      </c>
      <c r="D32" s="75">
        <f t="shared" si="1"/>
        <v>1.0610256143381543E-2</v>
      </c>
      <c r="E32" s="75">
        <f t="shared" si="1"/>
        <v>0</v>
      </c>
      <c r="F32" s="75">
        <f t="shared" si="2"/>
        <v>0</v>
      </c>
      <c r="G32" s="75"/>
      <c r="I32" s="165" t="s">
        <v>36</v>
      </c>
      <c r="J32" s="166"/>
      <c r="K32" s="165" t="s">
        <v>64</v>
      </c>
      <c r="L32" s="166"/>
      <c r="M32" s="73"/>
      <c r="N32" s="74"/>
      <c r="O32" s="116"/>
      <c r="P32" s="41"/>
      <c r="Q32" s="122"/>
      <c r="R32" s="111"/>
      <c r="S32" s="111"/>
      <c r="T32" s="111"/>
      <c r="U32" s="111"/>
      <c r="V32" s="111"/>
    </row>
    <row r="33" spans="1:22" ht="12.4" customHeight="1" x14ac:dyDescent="0.2">
      <c r="A33" s="79">
        <v>5.7564778327941895</v>
      </c>
      <c r="B33" s="45">
        <v>1.7232590206112945E-2</v>
      </c>
      <c r="C33" s="75">
        <f t="shared" si="0"/>
        <v>0</v>
      </c>
      <c r="D33" s="75">
        <f t="shared" si="1"/>
        <v>1.0907569633859747E-2</v>
      </c>
      <c r="E33" s="75">
        <f t="shared" si="1"/>
        <v>0</v>
      </c>
      <c r="F33" s="75">
        <f t="shared" si="2"/>
        <v>0</v>
      </c>
      <c r="G33" s="75"/>
      <c r="I33" s="167" t="s">
        <v>35</v>
      </c>
      <c r="J33" s="168"/>
      <c r="K33" s="167" t="s">
        <v>48</v>
      </c>
      <c r="L33" s="168"/>
      <c r="M33" s="111"/>
      <c r="N33" s="74"/>
      <c r="O33" s="116"/>
      <c r="P33" s="41"/>
      <c r="Q33" s="122"/>
      <c r="R33" s="111"/>
      <c r="S33" s="111"/>
      <c r="T33" s="111"/>
      <c r="U33" s="111"/>
      <c r="V33" s="111"/>
    </row>
    <row r="34" spans="1:22" ht="12.4" customHeight="1" x14ac:dyDescent="0.2">
      <c r="A34" s="79">
        <v>6.2886233329772949</v>
      </c>
      <c r="B34" s="45">
        <v>1.7584275325905764E-2</v>
      </c>
      <c r="C34" s="75">
        <f t="shared" si="0"/>
        <v>0</v>
      </c>
      <c r="D34" s="75">
        <f t="shared" si="1"/>
        <v>1.1130172845997393E-2</v>
      </c>
      <c r="E34" s="75">
        <f t="shared" si="1"/>
        <v>0</v>
      </c>
      <c r="F34" s="75">
        <f t="shared" si="2"/>
        <v>0</v>
      </c>
      <c r="G34" s="75"/>
      <c r="I34" s="46">
        <v>2.7943156404333421E-2</v>
      </c>
      <c r="J34" s="152"/>
      <c r="K34" s="127">
        <f ca="1">LOOKUP(I34,B$18:B$136,OFFSET(A$18:A$136,1,0))</f>
        <v>48.893833160400391</v>
      </c>
      <c r="L34" s="152"/>
      <c r="M34" s="12"/>
      <c r="N34" s="74"/>
      <c r="O34" s="116"/>
      <c r="P34" s="41"/>
      <c r="Q34" s="122"/>
      <c r="R34" s="111"/>
      <c r="S34" s="111"/>
      <c r="T34" s="111"/>
      <c r="U34" s="111"/>
      <c r="V34" s="111"/>
    </row>
    <row r="35" spans="1:22" ht="12.4" customHeight="1" x14ac:dyDescent="0.2">
      <c r="A35" s="79">
        <v>6.8796830177307129</v>
      </c>
      <c r="B35" s="45">
        <v>1.8168999676912791E-2</v>
      </c>
      <c r="C35" s="75">
        <f t="shared" si="0"/>
        <v>0</v>
      </c>
      <c r="D35" s="75">
        <f t="shared" si="1"/>
        <v>1.1500280966653575E-2</v>
      </c>
      <c r="E35" s="75">
        <f t="shared" si="1"/>
        <v>0</v>
      </c>
      <c r="F35" s="75">
        <f t="shared" si="2"/>
        <v>0</v>
      </c>
      <c r="G35" s="75"/>
      <c r="H35" s="145"/>
      <c r="I35" s="79"/>
      <c r="J35" s="79"/>
      <c r="K35" s="1"/>
      <c r="L35" s="1"/>
      <c r="M35" s="1"/>
      <c r="N35" s="74"/>
      <c r="O35" s="116"/>
      <c r="P35" s="41"/>
      <c r="Q35" s="122"/>
      <c r="R35" s="111"/>
      <c r="S35" s="111"/>
      <c r="T35" s="111"/>
      <c r="U35" s="111"/>
      <c r="V35" s="111"/>
    </row>
    <row r="36" spans="1:22" ht="12.4" customHeight="1" x14ac:dyDescent="0.2">
      <c r="A36" s="79">
        <v>7.5385303497314453</v>
      </c>
      <c r="B36" s="45">
        <v>1.8812569294852435E-2</v>
      </c>
      <c r="C36" s="75">
        <f t="shared" si="0"/>
        <v>0</v>
      </c>
      <c r="D36" s="75">
        <f t="shared" si="1"/>
        <v>1.1907635887646418E-2</v>
      </c>
      <c r="E36" s="75">
        <f t="shared" si="1"/>
        <v>0</v>
      </c>
      <c r="F36" s="75">
        <f t="shared" si="2"/>
        <v>0</v>
      </c>
      <c r="G36" s="75"/>
      <c r="H36" s="145"/>
      <c r="I36" s="79"/>
      <c r="J36" s="79"/>
      <c r="K36" s="79"/>
      <c r="L36" s="79"/>
      <c r="M36" s="79"/>
      <c r="N36" s="74"/>
      <c r="O36" s="116"/>
      <c r="P36" s="41"/>
      <c r="Q36" s="122"/>
      <c r="R36" s="111"/>
      <c r="S36" s="111"/>
      <c r="T36" s="111"/>
      <c r="U36" s="111"/>
      <c r="V36" s="111"/>
    </row>
    <row r="37" spans="1:22" ht="12.4" customHeight="1" x14ac:dyDescent="0.2">
      <c r="A37" s="79">
        <v>8.2331094741821289</v>
      </c>
      <c r="B37" s="45">
        <v>1.8872752344846956E-2</v>
      </c>
      <c r="C37" s="75">
        <f t="shared" si="0"/>
        <v>0</v>
      </c>
      <c r="D37" s="75">
        <f t="shared" si="1"/>
        <v>1.1945729453427402E-2</v>
      </c>
      <c r="E37" s="75">
        <f t="shared" si="1"/>
        <v>0</v>
      </c>
      <c r="F37" s="75">
        <f t="shared" si="2"/>
        <v>0</v>
      </c>
      <c r="G37" s="75"/>
      <c r="H37" s="145"/>
      <c r="I37" s="79"/>
      <c r="J37" s="79"/>
      <c r="K37" s="79"/>
      <c r="L37" s="79"/>
      <c r="M37" s="79"/>
      <c r="N37" s="74"/>
      <c r="O37" s="116"/>
      <c r="P37" s="41"/>
      <c r="Q37" s="122"/>
      <c r="R37" s="111"/>
      <c r="S37" s="111"/>
      <c r="T37" s="111"/>
      <c r="U37" s="111"/>
      <c r="V37" s="111"/>
    </row>
    <row r="38" spans="1:22" ht="12.4" customHeight="1" x14ac:dyDescent="0.2">
      <c r="A38" s="79">
        <v>9.0138616561889648</v>
      </c>
      <c r="B38" s="45">
        <v>1.9457737377349984E-2</v>
      </c>
      <c r="C38" s="75">
        <f t="shared" si="0"/>
        <v>0</v>
      </c>
      <c r="D38" s="75">
        <f t="shared" si="1"/>
        <v>1.2316002575487081E-2</v>
      </c>
      <c r="E38" s="75">
        <f t="shared" si="1"/>
        <v>0</v>
      </c>
      <c r="F38" s="75">
        <f t="shared" si="2"/>
        <v>0</v>
      </c>
      <c r="G38" s="75"/>
      <c r="N38" s="74"/>
      <c r="O38" s="116"/>
      <c r="P38" s="41"/>
      <c r="Q38" s="122"/>
      <c r="R38" s="111"/>
      <c r="S38" s="111"/>
      <c r="T38" s="111"/>
      <c r="U38" s="111"/>
      <c r="V38" s="111"/>
    </row>
    <row r="39" spans="1:22" ht="12.4" customHeight="1" x14ac:dyDescent="0.2">
      <c r="A39" s="79">
        <v>9.8675165176391602</v>
      </c>
      <c r="B39" s="45">
        <v>1.9751522558712167E-2</v>
      </c>
      <c r="C39" s="75">
        <f t="shared" si="0"/>
        <v>0</v>
      </c>
      <c r="D39" s="75">
        <f t="shared" si="1"/>
        <v>1.2501957344026021E-2</v>
      </c>
      <c r="E39" s="75">
        <f t="shared" si="1"/>
        <v>0</v>
      </c>
      <c r="F39" s="75">
        <f t="shared" si="2"/>
        <v>0</v>
      </c>
      <c r="G39" s="75"/>
      <c r="N39" s="74"/>
      <c r="O39" s="116"/>
      <c r="P39" s="41"/>
      <c r="Q39" s="122"/>
      <c r="R39" s="111"/>
      <c r="S39" s="111"/>
      <c r="T39" s="111"/>
      <c r="U39" s="111"/>
      <c r="V39" s="111"/>
    </row>
    <row r="40" spans="1:22" ht="12.4" customHeight="1" x14ac:dyDescent="0.2">
      <c r="A40" s="79">
        <v>10.777927398681641</v>
      </c>
      <c r="B40" s="45">
        <v>2.0104184517957036E-2</v>
      </c>
      <c r="C40" s="75">
        <f t="shared" si="0"/>
        <v>0</v>
      </c>
      <c r="D40" s="75">
        <f t="shared" si="1"/>
        <v>1.272517885812622E-2</v>
      </c>
      <c r="E40" s="75">
        <f t="shared" si="1"/>
        <v>0</v>
      </c>
      <c r="F40" s="75">
        <f t="shared" si="2"/>
        <v>0</v>
      </c>
      <c r="G40" s="75"/>
      <c r="N40" s="74"/>
      <c r="O40" s="116"/>
      <c r="P40" s="41"/>
      <c r="Q40" s="122"/>
      <c r="R40" s="111"/>
      <c r="S40" s="111"/>
      <c r="T40" s="111"/>
      <c r="U40" s="111"/>
      <c r="V40" s="111"/>
    </row>
    <row r="41" spans="1:22" ht="12.4" customHeight="1" x14ac:dyDescent="0.2">
      <c r="A41" s="79">
        <v>11.872514724731445</v>
      </c>
      <c r="B41" s="45">
        <v>2.0396581785200395E-2</v>
      </c>
      <c r="C41" s="75">
        <f t="shared" si="0"/>
        <v>0</v>
      </c>
      <c r="D41" s="75">
        <f t="shared" si="1"/>
        <v>1.2910255130181705E-2</v>
      </c>
      <c r="E41" s="75">
        <f t="shared" si="1"/>
        <v>0</v>
      </c>
      <c r="F41" s="75">
        <f t="shared" si="2"/>
        <v>0</v>
      </c>
      <c r="G41" s="75"/>
      <c r="N41" s="74"/>
      <c r="O41" s="116"/>
      <c r="P41" s="41"/>
      <c r="Q41" s="122"/>
      <c r="R41" s="111"/>
      <c r="S41" s="111"/>
      <c r="T41" s="111"/>
      <c r="U41" s="111"/>
      <c r="V41" s="111"/>
    </row>
    <row r="42" spans="1:22" ht="12.4" customHeight="1" x14ac:dyDescent="0.2">
      <c r="A42" s="79">
        <v>12.863264083862305</v>
      </c>
      <c r="B42" s="45">
        <v>2.063276638215757E-2</v>
      </c>
      <c r="C42" s="75">
        <f t="shared" si="0"/>
        <v>0</v>
      </c>
      <c r="D42" s="75">
        <f t="shared" si="1"/>
        <v>1.3059750934755624E-2</v>
      </c>
      <c r="E42" s="75">
        <f t="shared" si="1"/>
        <v>0</v>
      </c>
      <c r="F42" s="75">
        <f t="shared" si="2"/>
        <v>0</v>
      </c>
      <c r="G42" s="75"/>
      <c r="H42" s="145"/>
      <c r="I42" s="79"/>
      <c r="J42" s="79"/>
      <c r="K42" s="79"/>
      <c r="L42" s="79"/>
      <c r="M42" s="79"/>
      <c r="N42" s="74"/>
      <c r="O42" s="116"/>
      <c r="P42" s="41"/>
      <c r="Q42" s="122"/>
      <c r="R42" s="111"/>
      <c r="S42" s="111"/>
      <c r="T42" s="111"/>
      <c r="U42" s="111"/>
      <c r="V42" s="111"/>
    </row>
    <row r="43" spans="1:22" ht="12.4" customHeight="1" x14ac:dyDescent="0.2">
      <c r="A43" s="79">
        <v>14.165449142456055</v>
      </c>
      <c r="B43" s="45">
        <v>2.1218195432593345E-2</v>
      </c>
      <c r="C43" s="75">
        <f t="shared" si="0"/>
        <v>0</v>
      </c>
      <c r="D43" s="75">
        <f t="shared" si="1"/>
        <v>1.3430305103161917E-2</v>
      </c>
      <c r="E43" s="75">
        <f t="shared" si="1"/>
        <v>0</v>
      </c>
      <c r="F43" s="75">
        <f t="shared" si="2"/>
        <v>0</v>
      </c>
      <c r="G43" s="75"/>
      <c r="H43" s="145"/>
      <c r="I43" s="79"/>
      <c r="J43" s="79"/>
      <c r="K43" s="79"/>
      <c r="L43" s="79"/>
      <c r="M43" s="8"/>
      <c r="N43" s="74"/>
      <c r="O43" s="116"/>
      <c r="P43" s="41"/>
      <c r="Q43" s="122"/>
      <c r="R43" s="111"/>
      <c r="S43" s="111"/>
      <c r="T43" s="111"/>
      <c r="U43" s="111"/>
      <c r="V43" s="111"/>
    </row>
    <row r="44" spans="1:22" ht="12.4" customHeight="1" x14ac:dyDescent="0.2">
      <c r="A44" s="79">
        <v>15.458123207092285</v>
      </c>
      <c r="B44" s="45">
        <v>2.1453052272700005E-2</v>
      </c>
      <c r="C44" s="75">
        <f t="shared" si="0"/>
        <v>0</v>
      </c>
      <c r="D44" s="75">
        <f t="shared" si="1"/>
        <v>1.3578960488499341E-2</v>
      </c>
      <c r="E44" s="75">
        <f t="shared" si="1"/>
        <v>0</v>
      </c>
      <c r="F44" s="75">
        <f t="shared" si="2"/>
        <v>0</v>
      </c>
      <c r="G44" s="75"/>
      <c r="H44" s="145"/>
      <c r="I44" s="79"/>
      <c r="J44" s="79"/>
      <c r="K44" s="79"/>
      <c r="L44" s="79"/>
      <c r="M44" s="8"/>
      <c r="N44" s="74"/>
      <c r="O44" s="116"/>
      <c r="P44" s="41"/>
      <c r="Q44" s="122"/>
      <c r="R44" s="111"/>
      <c r="S44" s="111"/>
      <c r="T44" s="111"/>
      <c r="U44" s="111"/>
      <c r="V44" s="111"/>
    </row>
    <row r="45" spans="1:22" ht="12.4" customHeight="1" x14ac:dyDescent="0.2">
      <c r="A45" s="79">
        <v>16.863029479980469</v>
      </c>
      <c r="B45" s="45">
        <v>2.1746790187637088E-2</v>
      </c>
      <c r="C45" s="75">
        <f t="shared" si="0"/>
        <v>0</v>
      </c>
      <c r="D45" s="75">
        <f t="shared" si="1"/>
        <v>1.3764885339201382E-2</v>
      </c>
      <c r="E45" s="75">
        <f t="shared" si="1"/>
        <v>0</v>
      </c>
      <c r="F45" s="75">
        <f t="shared" si="2"/>
        <v>0</v>
      </c>
      <c r="G45" s="75"/>
      <c r="H45" s="145"/>
      <c r="I45" s="79"/>
      <c r="J45" s="79"/>
      <c r="K45" s="79"/>
      <c r="L45" s="79"/>
      <c r="M45" s="8"/>
      <c r="N45" s="74"/>
      <c r="O45" s="116"/>
      <c r="P45" s="41"/>
      <c r="Q45" s="122"/>
      <c r="R45" s="111"/>
      <c r="S45" s="111"/>
      <c r="T45" s="111"/>
      <c r="U45" s="111"/>
      <c r="V45" s="111"/>
    </row>
    <row r="46" spans="1:22" ht="12.4" customHeight="1" x14ac:dyDescent="0.2">
      <c r="A46" s="79">
        <v>18.45722770690918</v>
      </c>
      <c r="B46" s="45">
        <v>2.2156736189470394E-2</v>
      </c>
      <c r="C46" s="75">
        <f t="shared" si="0"/>
        <v>0</v>
      </c>
      <c r="D46" s="75">
        <f t="shared" si="1"/>
        <v>1.4024365458419501E-2</v>
      </c>
      <c r="E46" s="75">
        <f t="shared" si="1"/>
        <v>0</v>
      </c>
      <c r="F46" s="75">
        <f t="shared" si="2"/>
        <v>0</v>
      </c>
      <c r="G46" s="75"/>
      <c r="H46" s="145"/>
      <c r="I46" s="79"/>
      <c r="J46" s="79"/>
      <c r="K46" s="79"/>
      <c r="L46" s="79"/>
      <c r="M46" s="8"/>
      <c r="N46" s="74"/>
      <c r="O46" s="116"/>
      <c r="P46" s="41"/>
      <c r="Q46" s="122"/>
      <c r="R46" s="111"/>
      <c r="S46" s="111"/>
      <c r="T46" s="111"/>
      <c r="U46" s="111"/>
      <c r="V46" s="111"/>
    </row>
    <row r="47" spans="1:22" ht="12.4" customHeight="1" x14ac:dyDescent="0.2">
      <c r="A47" s="79">
        <v>20.289402008056641</v>
      </c>
      <c r="B47" s="45">
        <v>2.2626530079374787E-2</v>
      </c>
      <c r="C47" s="75">
        <f t="shared" si="0"/>
        <v>0</v>
      </c>
      <c r="D47" s="75">
        <f t="shared" si="1"/>
        <v>1.4321726998756962E-2</v>
      </c>
      <c r="E47" s="75">
        <f t="shared" si="1"/>
        <v>0</v>
      </c>
      <c r="F47" s="75">
        <f t="shared" si="2"/>
        <v>0</v>
      </c>
      <c r="G47" s="75"/>
      <c r="H47" s="145"/>
      <c r="I47" s="79"/>
      <c r="J47" s="79"/>
      <c r="K47" s="79"/>
      <c r="L47" s="79"/>
      <c r="M47" s="8"/>
      <c r="N47" s="74"/>
      <c r="O47" s="116"/>
      <c r="P47" s="41"/>
      <c r="Q47" s="122"/>
      <c r="R47" s="111"/>
      <c r="S47" s="111"/>
      <c r="T47" s="111"/>
      <c r="U47" s="111"/>
      <c r="V47" s="111"/>
    </row>
    <row r="48" spans="1:22" ht="12.4" customHeight="1" x14ac:dyDescent="0.2">
      <c r="A48" s="79">
        <v>22.192638397216797</v>
      </c>
      <c r="B48" s="45">
        <v>2.2861601766868262E-2</v>
      </c>
      <c r="C48" s="75">
        <f t="shared" si="0"/>
        <v>0</v>
      </c>
      <c r="D48" s="75">
        <f t="shared" si="1"/>
        <v>1.4470518374262106E-2</v>
      </c>
      <c r="E48" s="75">
        <f t="shared" si="1"/>
        <v>0</v>
      </c>
      <c r="F48" s="75">
        <f t="shared" si="2"/>
        <v>0</v>
      </c>
      <c r="G48" s="75"/>
      <c r="H48" s="145"/>
      <c r="I48" s="79"/>
      <c r="J48" s="79"/>
      <c r="K48" s="79"/>
      <c r="L48" s="79"/>
      <c r="M48" s="8"/>
      <c r="N48" s="74"/>
      <c r="O48" s="116"/>
      <c r="P48" s="41"/>
      <c r="Q48" s="122"/>
      <c r="R48" s="111"/>
      <c r="S48" s="111"/>
      <c r="T48" s="111"/>
      <c r="U48" s="111"/>
      <c r="V48" s="111"/>
    </row>
    <row r="49" spans="1:22" ht="12.4" customHeight="1" x14ac:dyDescent="0.2">
      <c r="A49" s="79">
        <v>24.259510040283203</v>
      </c>
      <c r="B49" s="45">
        <v>2.32740972910251E-2</v>
      </c>
      <c r="C49" s="75">
        <f t="shared" si="0"/>
        <v>0</v>
      </c>
      <c r="D49" s="75">
        <f t="shared" si="1"/>
        <v>1.4731612243470469E-2</v>
      </c>
      <c r="E49" s="75">
        <f t="shared" si="1"/>
        <v>0</v>
      </c>
      <c r="F49" s="75">
        <f t="shared" si="2"/>
        <v>0</v>
      </c>
      <c r="G49" s="75"/>
      <c r="H49" s="145"/>
      <c r="I49" s="79"/>
      <c r="J49" s="79"/>
      <c r="K49" s="79"/>
      <c r="L49" s="8"/>
      <c r="M49" s="8"/>
      <c r="N49" s="74"/>
      <c r="O49" s="116"/>
      <c r="P49" s="41"/>
      <c r="Q49" s="122"/>
      <c r="R49" s="111"/>
      <c r="S49" s="111"/>
      <c r="T49" s="111"/>
      <c r="U49" s="111"/>
      <c r="V49" s="111"/>
    </row>
    <row r="50" spans="1:22" ht="12.4" customHeight="1" x14ac:dyDescent="0.2">
      <c r="A50" s="79">
        <v>26.577785491943359</v>
      </c>
      <c r="B50" s="45">
        <v>2.3799889003828865E-2</v>
      </c>
      <c r="C50" s="75">
        <f t="shared" si="0"/>
        <v>0</v>
      </c>
      <c r="D50" s="75">
        <f t="shared" si="1"/>
        <v>1.5064418261121782E-2</v>
      </c>
      <c r="E50" s="75">
        <f t="shared" si="1"/>
        <v>0</v>
      </c>
      <c r="F50" s="75">
        <f t="shared" si="2"/>
        <v>0</v>
      </c>
      <c r="G50" s="75"/>
      <c r="H50" s="145"/>
      <c r="I50" s="79"/>
      <c r="J50" s="79"/>
      <c r="K50" s="79"/>
      <c r="L50" s="8"/>
      <c r="M50" s="8"/>
      <c r="N50" s="74"/>
      <c r="O50" s="116"/>
      <c r="P50" s="41"/>
      <c r="Q50" s="122"/>
      <c r="R50" s="111"/>
      <c r="S50" s="111"/>
      <c r="T50" s="111"/>
      <c r="U50" s="111"/>
      <c r="V50" s="111"/>
    </row>
    <row r="51" spans="1:22" ht="12.4" customHeight="1" x14ac:dyDescent="0.2">
      <c r="A51" s="79">
        <v>28.987348556518555</v>
      </c>
      <c r="B51" s="45">
        <v>2.4328340527281396E-2</v>
      </c>
      <c r="C51" s="75">
        <f t="shared" si="0"/>
        <v>0</v>
      </c>
      <c r="D51" s="75">
        <f t="shared" si="1"/>
        <v>1.5398907837049435E-2</v>
      </c>
      <c r="E51" s="75">
        <f t="shared" si="1"/>
        <v>0</v>
      </c>
      <c r="F51" s="75">
        <f t="shared" si="2"/>
        <v>0</v>
      </c>
      <c r="G51" s="75"/>
      <c r="H51" s="145"/>
      <c r="I51" s="79"/>
      <c r="J51" s="79"/>
      <c r="K51" s="79"/>
      <c r="L51" s="8"/>
      <c r="M51" s="8"/>
      <c r="N51" s="74"/>
      <c r="O51" s="116"/>
      <c r="P51" s="41"/>
      <c r="Q51" s="122"/>
      <c r="R51" s="111"/>
      <c r="S51" s="111"/>
      <c r="T51" s="111"/>
      <c r="U51" s="111"/>
      <c r="V51" s="111"/>
    </row>
    <row r="52" spans="1:22" ht="12.4" customHeight="1" x14ac:dyDescent="0.2">
      <c r="A52" s="79">
        <v>31.239780426025391</v>
      </c>
      <c r="B52" s="45">
        <v>2.4799400584452087E-2</v>
      </c>
      <c r="C52" s="75">
        <f t="shared" si="0"/>
        <v>0</v>
      </c>
      <c r="D52" s="75">
        <f t="shared" si="1"/>
        <v>1.5697070812775313E-2</v>
      </c>
      <c r="E52" s="75">
        <f t="shared" si="1"/>
        <v>0</v>
      </c>
      <c r="F52" s="75">
        <f t="shared" si="2"/>
        <v>0</v>
      </c>
      <c r="G52" s="75"/>
      <c r="H52" s="145"/>
      <c r="I52" s="79"/>
      <c r="J52" s="79"/>
      <c r="K52" s="79"/>
      <c r="L52" s="8"/>
      <c r="M52" s="8"/>
      <c r="N52" s="74"/>
      <c r="O52" s="116"/>
      <c r="P52" s="41"/>
      <c r="Q52" s="122"/>
      <c r="R52" s="111"/>
      <c r="S52" s="111"/>
      <c r="T52" s="111"/>
      <c r="U52" s="111"/>
      <c r="V52" s="111"/>
    </row>
    <row r="53" spans="1:22" ht="12.4" customHeight="1" x14ac:dyDescent="0.2">
      <c r="A53" s="79">
        <v>33.817226409912109</v>
      </c>
      <c r="B53" s="45">
        <v>2.5383255519700467E-2</v>
      </c>
      <c r="C53" s="75">
        <f t="shared" si="0"/>
        <v>0</v>
      </c>
      <c r="D53" s="75">
        <f t="shared" si="1"/>
        <v>1.6066628626552799E-2</v>
      </c>
      <c r="E53" s="75">
        <f t="shared" si="1"/>
        <v>0</v>
      </c>
      <c r="F53" s="75">
        <f t="shared" si="2"/>
        <v>0</v>
      </c>
      <c r="G53" s="75"/>
      <c r="H53" s="145"/>
      <c r="I53" s="79"/>
      <c r="J53" s="79"/>
      <c r="K53" s="79"/>
      <c r="L53" s="8"/>
      <c r="M53" s="8"/>
      <c r="N53" s="74"/>
      <c r="O53" s="116"/>
      <c r="P53" s="41"/>
      <c r="Q53" s="122"/>
      <c r="R53" s="111"/>
      <c r="S53" s="111"/>
      <c r="T53" s="111"/>
      <c r="U53" s="111"/>
      <c r="V53" s="111"/>
    </row>
    <row r="54" spans="1:22" ht="12.4" customHeight="1" x14ac:dyDescent="0.2">
      <c r="A54" s="79">
        <v>36.967498779296875</v>
      </c>
      <c r="B54" s="45">
        <v>2.5933599991869415E-2</v>
      </c>
      <c r="C54" s="75">
        <f t="shared" si="0"/>
        <v>0</v>
      </c>
      <c r="D54" s="75">
        <f t="shared" si="1"/>
        <v>1.6414975600570852E-2</v>
      </c>
      <c r="E54" s="75">
        <f t="shared" si="1"/>
        <v>0</v>
      </c>
      <c r="F54" s="75">
        <f t="shared" si="2"/>
        <v>0</v>
      </c>
      <c r="G54" s="75"/>
      <c r="H54" s="145"/>
      <c r="I54" s="79"/>
      <c r="J54" s="79"/>
      <c r="K54" s="79"/>
      <c r="L54" s="8"/>
      <c r="M54" s="8"/>
      <c r="N54" s="74"/>
      <c r="O54" s="116"/>
      <c r="P54" s="41"/>
      <c r="Q54" s="122"/>
      <c r="R54" s="111"/>
      <c r="S54" s="111"/>
      <c r="T54" s="111"/>
      <c r="U54" s="111"/>
      <c r="V54" s="111"/>
    </row>
    <row r="55" spans="1:22" ht="12.4" customHeight="1" x14ac:dyDescent="0.2">
      <c r="A55" s="79">
        <v>40.262863159179688</v>
      </c>
      <c r="B55" s="45">
        <v>2.7394619514845543E-2</v>
      </c>
      <c r="C55" s="75">
        <f t="shared" si="0"/>
        <v>0</v>
      </c>
      <c r="D55" s="75">
        <f t="shared" si="1"/>
        <v>1.7339745005093544E-2</v>
      </c>
      <c r="E55" s="75">
        <f t="shared" si="1"/>
        <v>0</v>
      </c>
      <c r="F55" s="75">
        <f t="shared" si="2"/>
        <v>0</v>
      </c>
      <c r="G55" s="75"/>
      <c r="H55" s="145"/>
      <c r="I55" s="79"/>
      <c r="J55" s="79"/>
      <c r="K55" s="79"/>
      <c r="L55" s="8"/>
      <c r="M55" s="8"/>
      <c r="N55" s="74"/>
      <c r="O55" s="116"/>
      <c r="P55" s="41"/>
      <c r="Q55" s="122"/>
      <c r="R55" s="111"/>
      <c r="S55" s="111"/>
      <c r="T55" s="111"/>
      <c r="U55" s="111"/>
      <c r="V55" s="111"/>
    </row>
    <row r="56" spans="1:22" ht="12.4" customHeight="1" x14ac:dyDescent="0.2">
      <c r="A56" s="79">
        <v>44.694664001464844</v>
      </c>
      <c r="B56" s="45">
        <v>2.7943156404333421E-2</v>
      </c>
      <c r="C56" s="75">
        <f t="shared" si="0"/>
        <v>0</v>
      </c>
      <c r="D56" s="75">
        <f t="shared" si="1"/>
        <v>1.7686947848500535E-2</v>
      </c>
      <c r="E56" s="75">
        <f t="shared" si="1"/>
        <v>0</v>
      </c>
      <c r="F56" s="75">
        <f t="shared" si="2"/>
        <v>0</v>
      </c>
      <c r="G56" s="75"/>
      <c r="H56" s="145"/>
      <c r="I56" s="79"/>
      <c r="J56" s="79"/>
      <c r="K56" s="79"/>
      <c r="L56" s="8"/>
      <c r="M56" s="8"/>
      <c r="N56" s="74"/>
      <c r="O56" s="116"/>
      <c r="P56" s="41"/>
      <c r="Q56" s="122"/>
      <c r="R56" s="111"/>
      <c r="S56" s="111"/>
      <c r="T56" s="111"/>
      <c r="U56" s="111"/>
      <c r="V56" s="111"/>
    </row>
    <row r="57" spans="1:22" ht="12.4" customHeight="1" x14ac:dyDescent="0.2">
      <c r="A57" s="79">
        <v>48.893833160400391</v>
      </c>
      <c r="B57" s="45">
        <v>2.8851296255976194E-2</v>
      </c>
      <c r="C57" s="75">
        <f t="shared" si="0"/>
        <v>9.0813985164277244E-4</v>
      </c>
      <c r="D57" s="75">
        <f t="shared" si="1"/>
        <v>1.8261765595026111E-2</v>
      </c>
      <c r="E57" s="75">
        <f t="shared" si="1"/>
        <v>5.748177465255787E-4</v>
      </c>
      <c r="F57" s="75">
        <f t="shared" si="2"/>
        <v>5.748177465255787E-4</v>
      </c>
      <c r="G57" s="75"/>
      <c r="H57" s="145"/>
      <c r="I57" s="8"/>
      <c r="J57" s="79"/>
      <c r="K57" s="79"/>
      <c r="L57" s="8"/>
      <c r="M57" s="8"/>
      <c r="N57" s="74"/>
      <c r="O57" s="116"/>
      <c r="P57" s="41"/>
      <c r="Q57" s="122"/>
      <c r="R57" s="111"/>
      <c r="S57" s="111"/>
      <c r="T57" s="111"/>
      <c r="U57" s="111"/>
      <c r="V57" s="111"/>
    </row>
    <row r="58" spans="1:22" ht="12.4" customHeight="1" x14ac:dyDescent="0.2">
      <c r="A58" s="79">
        <v>53.189075469970703</v>
      </c>
      <c r="B58" s="45">
        <v>3.017878383109928E-2</v>
      </c>
      <c r="C58" s="75">
        <f t="shared" si="0"/>
        <v>2.2356274267658592E-3</v>
      </c>
      <c r="D58" s="75">
        <f t="shared" si="1"/>
        <v>1.9102014390509122E-2</v>
      </c>
      <c r="E58" s="75">
        <f t="shared" si="1"/>
        <v>1.4150665420085871E-3</v>
      </c>
      <c r="F58" s="75">
        <f t="shared" si="2"/>
        <v>8.4024879548300839E-4</v>
      </c>
      <c r="G58" s="75"/>
      <c r="H58" s="145"/>
      <c r="I58" s="8"/>
      <c r="J58" s="79"/>
      <c r="K58" s="79"/>
      <c r="L58" s="8"/>
      <c r="M58" s="8"/>
      <c r="N58" s="74"/>
      <c r="O58" s="116"/>
      <c r="P58" s="41"/>
      <c r="Q58" s="122"/>
      <c r="R58" s="111"/>
      <c r="S58" s="111"/>
      <c r="T58" s="111"/>
      <c r="U58" s="111"/>
      <c r="V58" s="111"/>
    </row>
    <row r="59" spans="1:22" ht="12.4" customHeight="1" x14ac:dyDescent="0.2">
      <c r="A59" s="79">
        <v>58.711719512939453</v>
      </c>
      <c r="B59" s="45">
        <v>3.1420206407696244E-2</v>
      </c>
      <c r="C59" s="75">
        <f t="shared" si="0"/>
        <v>3.4770500033628228E-3</v>
      </c>
      <c r="D59" s="75">
        <f t="shared" si="1"/>
        <v>1.9887787338006797E-2</v>
      </c>
      <c r="E59" s="75">
        <f t="shared" si="1"/>
        <v>2.2008394895062637E-3</v>
      </c>
      <c r="F59" s="75">
        <f t="shared" si="2"/>
        <v>7.8577294749767657E-4</v>
      </c>
      <c r="G59" s="75"/>
      <c r="H59" s="145"/>
      <c r="I59" s="8"/>
      <c r="J59" s="79"/>
      <c r="K59" s="79"/>
      <c r="L59" s="8"/>
      <c r="M59" s="8"/>
      <c r="N59" s="74"/>
      <c r="O59" s="116"/>
      <c r="P59" s="41"/>
      <c r="Q59" s="122"/>
      <c r="R59" s="111"/>
      <c r="S59" s="111"/>
      <c r="T59" s="111"/>
      <c r="U59" s="111"/>
      <c r="V59" s="111"/>
    </row>
    <row r="60" spans="1:22" ht="12.4" customHeight="1" x14ac:dyDescent="0.2">
      <c r="A60" s="79">
        <v>64.258491516113281</v>
      </c>
      <c r="B60" s="45">
        <v>3.3082726997818099E-2</v>
      </c>
      <c r="C60" s="75">
        <f t="shared" si="0"/>
        <v>5.1395705934846776E-3</v>
      </c>
      <c r="D60" s="75">
        <f t="shared" si="1"/>
        <v>2.0940099201028236E-2</v>
      </c>
      <c r="E60" s="75">
        <f t="shared" si="1"/>
        <v>3.2531513525277038E-3</v>
      </c>
      <c r="F60" s="75">
        <f t="shared" si="2"/>
        <v>1.0523118630214401E-3</v>
      </c>
      <c r="G60" s="75"/>
      <c r="H60" s="145"/>
      <c r="I60" s="8"/>
      <c r="J60" s="79"/>
      <c r="K60" s="79"/>
      <c r="L60" s="8"/>
      <c r="M60" s="8"/>
      <c r="N60" s="74"/>
      <c r="O60" s="116"/>
      <c r="P60" s="41"/>
      <c r="Q60" s="122"/>
      <c r="R60" s="111"/>
      <c r="S60" s="111"/>
      <c r="T60" s="111"/>
      <c r="U60" s="111"/>
      <c r="V60" s="111"/>
    </row>
    <row r="61" spans="1:22" ht="12.4" customHeight="1" x14ac:dyDescent="0.2">
      <c r="A61" s="79">
        <v>70.012466430664063</v>
      </c>
      <c r="B61" s="45">
        <v>3.4715358019486303E-2</v>
      </c>
      <c r="C61" s="75">
        <f t="shared" si="0"/>
        <v>6.772201615152882E-3</v>
      </c>
      <c r="D61" s="75">
        <f t="shared" si="1"/>
        <v>2.1973492111916841E-2</v>
      </c>
      <c r="E61" s="75">
        <f t="shared" si="1"/>
        <v>4.2865442634163085E-3</v>
      </c>
      <c r="F61" s="75">
        <f t="shared" si="2"/>
        <v>1.0333929108886047E-3</v>
      </c>
      <c r="G61" s="75"/>
      <c r="H61" s="145"/>
      <c r="I61" s="8"/>
      <c r="J61" s="79"/>
      <c r="K61" s="79"/>
      <c r="L61" s="8"/>
      <c r="M61" s="8"/>
      <c r="N61" s="74"/>
      <c r="O61" s="116"/>
      <c r="P61" s="41"/>
      <c r="Q61" s="122"/>
      <c r="R61" s="111"/>
      <c r="S61" s="111"/>
      <c r="T61" s="111"/>
      <c r="U61" s="111"/>
      <c r="V61" s="111"/>
    </row>
    <row r="62" spans="1:22" ht="12.4" customHeight="1" x14ac:dyDescent="0.2">
      <c r="A62" s="79">
        <v>76.806266784667969</v>
      </c>
      <c r="B62" s="45">
        <v>3.6989282709109832E-2</v>
      </c>
      <c r="C62" s="75">
        <f t="shared" si="0"/>
        <v>9.0461263047764105E-3</v>
      </c>
      <c r="D62" s="75">
        <f t="shared" si="1"/>
        <v>2.3412799354621608E-2</v>
      </c>
      <c r="E62" s="75">
        <f t="shared" si="1"/>
        <v>5.7258515061210727E-3</v>
      </c>
      <c r="F62" s="75">
        <f t="shared" si="2"/>
        <v>1.4393072427047642E-3</v>
      </c>
      <c r="G62" s="75"/>
      <c r="H62" s="145"/>
      <c r="I62" s="8"/>
      <c r="J62" s="79"/>
      <c r="K62" s="79"/>
      <c r="L62" s="8"/>
      <c r="M62" s="8"/>
      <c r="N62" s="74"/>
      <c r="O62" s="116"/>
      <c r="P62" s="41"/>
      <c r="Q62" s="122"/>
      <c r="R62" s="111"/>
      <c r="S62" s="111"/>
      <c r="T62" s="111"/>
      <c r="U62" s="111"/>
      <c r="V62" s="111"/>
    </row>
    <row r="63" spans="1:22" ht="12.4" customHeight="1" x14ac:dyDescent="0.2">
      <c r="A63" s="79">
        <v>83.978050231933594</v>
      </c>
      <c r="B63" s="45">
        <v>3.934638484838069E-2</v>
      </c>
      <c r="C63" s="75">
        <f t="shared" si="0"/>
        <v>1.1403228444047269E-2</v>
      </c>
      <c r="D63" s="75">
        <f t="shared" si="1"/>
        <v>2.4904754737457579E-2</v>
      </c>
      <c r="E63" s="75">
        <f t="shared" si="1"/>
        <v>7.2178068889570453E-3</v>
      </c>
      <c r="F63" s="75">
        <f t="shared" si="2"/>
        <v>1.4919553828359727E-3</v>
      </c>
      <c r="G63" s="75"/>
      <c r="H63" s="145"/>
      <c r="I63" s="8"/>
      <c r="J63" s="79"/>
      <c r="K63" s="79"/>
      <c r="L63" s="8"/>
      <c r="M63" s="8"/>
      <c r="N63" s="74"/>
      <c r="O63" s="116"/>
      <c r="P63" s="41"/>
      <c r="Q63" s="122"/>
      <c r="R63" s="111"/>
      <c r="S63" s="111"/>
      <c r="T63" s="111"/>
      <c r="U63" s="111"/>
      <c r="V63" s="111"/>
    </row>
    <row r="64" spans="1:22" x14ac:dyDescent="0.2">
      <c r="A64" s="79">
        <v>92.704200744628906</v>
      </c>
      <c r="B64" s="45">
        <v>4.1945221808768106E-2</v>
      </c>
      <c r="C64" s="75">
        <f t="shared" si="0"/>
        <v>1.4002065404434685E-2</v>
      </c>
      <c r="D64" s="75">
        <f t="shared" si="1"/>
        <v>2.6549719004200171E-2</v>
      </c>
      <c r="E64" s="75">
        <f t="shared" si="1"/>
        <v>8.8627711556996357E-3</v>
      </c>
      <c r="F64" s="75">
        <f t="shared" si="2"/>
        <v>1.6449642667425903E-3</v>
      </c>
      <c r="G64" s="75"/>
      <c r="H64" s="145"/>
      <c r="I64" s="8"/>
      <c r="J64" s="79"/>
      <c r="K64" s="79"/>
      <c r="L64" s="8"/>
      <c r="M64" s="8"/>
      <c r="N64" s="74"/>
      <c r="O64" s="116"/>
      <c r="P64" s="41"/>
      <c r="Q64" s="122"/>
      <c r="R64" s="111"/>
      <c r="S64" s="111"/>
      <c r="T64" s="111"/>
      <c r="U64" s="111"/>
      <c r="V64" s="111"/>
    </row>
    <row r="65" spans="1:22" x14ac:dyDescent="0.2">
      <c r="A65" s="79">
        <v>101.15297698974609</v>
      </c>
      <c r="B65" s="45">
        <v>4.5968451109627495E-2</v>
      </c>
      <c r="C65" s="75">
        <f t="shared" si="0"/>
        <v>1.8025294705294074E-2</v>
      </c>
      <c r="D65" s="75">
        <f t="shared" si="1"/>
        <v>2.9096269071673005E-2</v>
      </c>
      <c r="E65" s="75">
        <f t="shared" si="1"/>
        <v>1.1409321223172472E-2</v>
      </c>
      <c r="F65" s="75">
        <f t="shared" si="2"/>
        <v>2.5465500674728362E-3</v>
      </c>
      <c r="G65" s="75"/>
      <c r="H65" s="145"/>
      <c r="I65" s="8"/>
      <c r="J65" s="79"/>
      <c r="K65" s="79"/>
      <c r="L65" s="8"/>
      <c r="M65" s="8"/>
      <c r="N65" s="74"/>
      <c r="O65" s="116"/>
      <c r="P65" s="41"/>
      <c r="Q65" s="122"/>
      <c r="R65" s="111"/>
      <c r="S65" s="111"/>
      <c r="T65" s="111"/>
      <c r="U65" s="111"/>
      <c r="V65" s="111"/>
    </row>
    <row r="66" spans="1:22" x14ac:dyDescent="0.2">
      <c r="A66" s="79">
        <v>110.56392669677734</v>
      </c>
      <c r="B66" s="45">
        <v>5.132023935791221E-2</v>
      </c>
      <c r="C66" s="75">
        <f t="shared" si="0"/>
        <v>2.3377082953578789E-2</v>
      </c>
      <c r="D66" s="75">
        <f t="shared" si="1"/>
        <v>3.2483746072265195E-2</v>
      </c>
      <c r="E66" s="75">
        <f t="shared" si="1"/>
        <v>1.4796798223764661E-2</v>
      </c>
      <c r="F66" s="75">
        <f t="shared" si="2"/>
        <v>3.3874770005921893E-3</v>
      </c>
      <c r="G66" s="75"/>
      <c r="H66" s="145"/>
      <c r="I66" s="8"/>
      <c r="J66" s="79"/>
      <c r="K66" s="79"/>
      <c r="L66" s="8"/>
      <c r="M66" s="8"/>
      <c r="N66" s="74"/>
      <c r="O66" s="116"/>
      <c r="P66" s="41"/>
      <c r="Q66" s="122"/>
      <c r="R66" s="111"/>
      <c r="S66" s="111"/>
      <c r="T66" s="111"/>
      <c r="U66" s="111"/>
      <c r="V66" s="111"/>
    </row>
    <row r="67" spans="1:22" x14ac:dyDescent="0.2">
      <c r="A67" s="79">
        <v>121.10307312011719</v>
      </c>
      <c r="B67" s="45">
        <v>5.7947307266324057E-2</v>
      </c>
      <c r="C67" s="75">
        <f t="shared" si="0"/>
        <v>3.0004150861990635E-2</v>
      </c>
      <c r="D67" s="75">
        <f t="shared" si="1"/>
        <v>3.6678426257585078E-2</v>
      </c>
      <c r="E67" s="75">
        <f t="shared" si="1"/>
        <v>1.8991478409084547E-2</v>
      </c>
      <c r="F67" s="75">
        <f t="shared" si="2"/>
        <v>4.1946801853198854E-3</v>
      </c>
      <c r="G67" s="75"/>
      <c r="H67" s="145"/>
      <c r="I67" s="8"/>
      <c r="J67" s="79"/>
      <c r="K67" s="8"/>
      <c r="L67" s="8"/>
      <c r="M67" s="8"/>
      <c r="N67" s="74"/>
      <c r="O67" s="116"/>
      <c r="P67" s="41"/>
      <c r="Q67" s="122"/>
      <c r="R67" s="111"/>
      <c r="S67" s="111"/>
      <c r="T67" s="111"/>
      <c r="U67" s="111"/>
      <c r="V67" s="111"/>
    </row>
    <row r="68" spans="1:22" x14ac:dyDescent="0.2">
      <c r="A68" s="79">
        <v>132.95259094238281</v>
      </c>
      <c r="B68" s="45">
        <v>6.4405774404091065E-2</v>
      </c>
      <c r="C68" s="75">
        <f t="shared" si="0"/>
        <v>3.6462617999757641E-2</v>
      </c>
      <c r="D68" s="75">
        <f t="shared" si="1"/>
        <v>4.0766388612089338E-2</v>
      </c>
      <c r="E68" s="75">
        <f t="shared" si="1"/>
        <v>2.3079440763588803E-2</v>
      </c>
      <c r="F68" s="75">
        <f t="shared" si="2"/>
        <v>4.0879623545042564E-3</v>
      </c>
      <c r="G68" s="75"/>
      <c r="H68" s="145"/>
      <c r="I68" s="8"/>
      <c r="J68" s="79"/>
      <c r="K68" s="8"/>
      <c r="L68" s="8"/>
      <c r="M68" s="8"/>
      <c r="N68" s="74"/>
      <c r="O68" s="116"/>
      <c r="P68" s="41"/>
      <c r="Q68" s="111"/>
      <c r="R68" s="111"/>
      <c r="S68" s="111"/>
      <c r="T68" s="111"/>
      <c r="U68" s="111"/>
      <c r="V68" s="111"/>
    </row>
    <row r="69" spans="1:22" x14ac:dyDescent="0.2">
      <c r="A69" s="79">
        <v>144.81080627441406</v>
      </c>
      <c r="B69" s="45">
        <v>6.9187647015583928E-2</v>
      </c>
      <c r="C69" s="75">
        <f t="shared" si="0"/>
        <v>4.1244490611250503E-2</v>
      </c>
      <c r="D69" s="75">
        <f t="shared" si="1"/>
        <v>4.3793130840985538E-2</v>
      </c>
      <c r="E69" s="75">
        <f t="shared" si="1"/>
        <v>2.6106182992485003E-2</v>
      </c>
      <c r="F69" s="75">
        <f t="shared" si="2"/>
        <v>3.0267422288961995E-3</v>
      </c>
      <c r="G69" s="75"/>
      <c r="H69" s="145"/>
      <c r="I69" s="8"/>
      <c r="J69" s="68"/>
      <c r="K69" s="8"/>
      <c r="L69" s="8"/>
      <c r="M69" s="68"/>
      <c r="N69" s="74"/>
      <c r="O69" s="116"/>
      <c r="P69" s="41"/>
      <c r="Q69" s="111"/>
      <c r="R69" s="111"/>
      <c r="S69" s="111"/>
      <c r="T69" s="111"/>
      <c r="U69" s="111"/>
      <c r="V69" s="111"/>
    </row>
    <row r="70" spans="1:22" x14ac:dyDescent="0.2">
      <c r="A70" s="79">
        <v>158.7789306640625</v>
      </c>
      <c r="B70" s="45">
        <v>7.47054320841853E-2</v>
      </c>
      <c r="C70" s="75">
        <f t="shared" si="0"/>
        <v>4.6762275679851875E-2</v>
      </c>
      <c r="D70" s="75">
        <f t="shared" si="1"/>
        <v>4.7285677471560629E-2</v>
      </c>
      <c r="E70" s="75">
        <f t="shared" si="1"/>
        <v>2.9598729623060094E-2</v>
      </c>
      <c r="F70" s="75">
        <f t="shared" si="2"/>
        <v>3.4925466305750913E-3</v>
      </c>
      <c r="G70" s="75"/>
      <c r="H70" s="145"/>
      <c r="I70" s="8"/>
      <c r="J70" s="68"/>
      <c r="K70" s="8"/>
      <c r="L70" s="8"/>
      <c r="M70" s="68"/>
      <c r="N70" s="74"/>
      <c r="O70" s="116"/>
      <c r="P70" s="41"/>
      <c r="Q70" s="111"/>
      <c r="R70" s="111"/>
      <c r="S70" s="111"/>
      <c r="T70" s="111"/>
      <c r="U70" s="111"/>
      <c r="V70" s="111"/>
    </row>
    <row r="71" spans="1:22" x14ac:dyDescent="0.2">
      <c r="A71" s="79">
        <v>174.09222412109375</v>
      </c>
      <c r="B71" s="45">
        <v>8.1176778606633887E-2</v>
      </c>
      <c r="C71" s="75">
        <f t="shared" si="0"/>
        <v>5.3233622202300462E-2</v>
      </c>
      <c r="D71" s="75">
        <f t="shared" si="1"/>
        <v>5.1381791983318978E-2</v>
      </c>
      <c r="E71" s="75">
        <f t="shared" si="1"/>
        <v>3.3694844134818443E-2</v>
      </c>
      <c r="F71" s="75">
        <f t="shared" si="2"/>
        <v>4.0961145117583489E-3</v>
      </c>
      <c r="G71" s="75"/>
      <c r="H71" s="145"/>
      <c r="I71" s="8"/>
      <c r="J71" s="68"/>
      <c r="K71" s="8"/>
      <c r="L71" s="8"/>
      <c r="M71" s="68"/>
      <c r="N71" s="74"/>
      <c r="O71" s="116"/>
      <c r="P71" s="41"/>
      <c r="Q71" s="111"/>
      <c r="R71" s="111"/>
      <c r="S71" s="111"/>
      <c r="T71" s="111"/>
      <c r="U71" s="111"/>
      <c r="V71" s="111"/>
    </row>
    <row r="72" spans="1:22" x14ac:dyDescent="0.2">
      <c r="A72" s="79">
        <v>189.58242797851563</v>
      </c>
      <c r="B72" s="45">
        <v>8.7586489710753085E-2</v>
      </c>
      <c r="C72" s="75">
        <f t="shared" si="0"/>
        <v>5.964333330641966E-2</v>
      </c>
      <c r="D72" s="75">
        <f t="shared" si="1"/>
        <v>5.5438893635762578E-2</v>
      </c>
      <c r="E72" s="75">
        <f t="shared" si="1"/>
        <v>3.7751945787262042E-2</v>
      </c>
      <c r="F72" s="75">
        <f t="shared" si="2"/>
        <v>4.0571016524435996E-3</v>
      </c>
      <c r="G72" s="75"/>
      <c r="H72" s="145"/>
      <c r="I72" s="8"/>
      <c r="J72" s="68"/>
      <c r="K72" s="8"/>
      <c r="L72" s="8"/>
      <c r="M72" s="68"/>
      <c r="N72" s="74"/>
      <c r="O72" s="116"/>
      <c r="P72" s="41"/>
      <c r="Q72" s="111"/>
      <c r="R72" s="111"/>
      <c r="S72" s="111"/>
      <c r="T72" s="111"/>
      <c r="U72" s="111"/>
      <c r="V72" s="111"/>
    </row>
    <row r="73" spans="1:22" x14ac:dyDescent="0.2">
      <c r="A73" s="79">
        <v>207.97232055664062</v>
      </c>
      <c r="B73" s="45">
        <v>9.4005613995046589E-2</v>
      </c>
      <c r="C73" s="75">
        <f t="shared" si="0"/>
        <v>6.6062457590713164E-2</v>
      </c>
      <c r="D73" s="75">
        <f t="shared" si="1"/>
        <v>5.9501953470754432E-2</v>
      </c>
      <c r="E73" s="75">
        <f t="shared" si="1"/>
        <v>4.1815005622253897E-2</v>
      </c>
      <c r="F73" s="75">
        <f t="shared" si="2"/>
        <v>4.0630598349918542E-3</v>
      </c>
      <c r="G73" s="75"/>
      <c r="H73" s="145"/>
      <c r="I73" s="8"/>
      <c r="J73" s="68"/>
      <c r="K73" s="8"/>
      <c r="L73" s="8"/>
      <c r="M73" s="68"/>
      <c r="N73" s="74"/>
      <c r="O73" s="116"/>
      <c r="P73" s="41"/>
      <c r="Q73" s="111"/>
      <c r="R73" s="111"/>
      <c r="S73" s="111"/>
      <c r="T73" s="111"/>
      <c r="U73" s="111"/>
      <c r="V73" s="111"/>
    </row>
    <row r="74" spans="1:22" x14ac:dyDescent="0.2">
      <c r="A74" s="79">
        <v>228.11825561523437</v>
      </c>
      <c r="B74" s="45">
        <v>0.10038293184249777</v>
      </c>
      <c r="C74" s="75">
        <f t="shared" si="0"/>
        <v>7.243977543816435E-2</v>
      </c>
      <c r="D74" s="75">
        <f t="shared" si="1"/>
        <v>6.3538551432310714E-2</v>
      </c>
      <c r="E74" s="75">
        <f t="shared" si="1"/>
        <v>4.5851603583810185E-2</v>
      </c>
      <c r="F74" s="75">
        <f t="shared" si="2"/>
        <v>4.0365979615562889E-3</v>
      </c>
      <c r="G74" s="75"/>
      <c r="H74" s="145"/>
      <c r="I74" s="8"/>
      <c r="J74" s="68"/>
      <c r="K74" s="8"/>
      <c r="L74" s="68"/>
      <c r="M74" s="68"/>
      <c r="N74" s="74"/>
      <c r="O74" s="116"/>
      <c r="P74" s="41"/>
      <c r="Q74" s="111"/>
      <c r="R74" s="111"/>
      <c r="S74" s="111"/>
      <c r="T74" s="111"/>
      <c r="U74" s="111"/>
      <c r="V74" s="111"/>
    </row>
    <row r="75" spans="1:22" x14ac:dyDescent="0.2">
      <c r="A75" s="79">
        <v>249.79278564453125</v>
      </c>
      <c r="B75" s="45">
        <v>0.10804762096100604</v>
      </c>
      <c r="C75" s="75">
        <f t="shared" si="0"/>
        <v>8.0104464556672611E-2</v>
      </c>
      <c r="D75" s="75">
        <f t="shared" si="1"/>
        <v>6.8390006105233839E-2</v>
      </c>
      <c r="E75" s="75">
        <f t="shared" si="1"/>
        <v>5.070305825673331E-2</v>
      </c>
      <c r="F75" s="75">
        <f t="shared" si="2"/>
        <v>4.851454672923125E-3</v>
      </c>
      <c r="G75" s="75"/>
      <c r="H75" s="145"/>
      <c r="I75" s="8"/>
      <c r="J75" s="68"/>
      <c r="K75" s="8"/>
      <c r="L75" s="68"/>
      <c r="M75" s="68"/>
      <c r="N75" s="74"/>
      <c r="O75" s="116"/>
      <c r="P75" s="41"/>
      <c r="Q75" s="111"/>
      <c r="R75" s="111"/>
      <c r="S75" s="111"/>
      <c r="T75" s="111"/>
      <c r="U75" s="111"/>
      <c r="V75" s="111"/>
    </row>
    <row r="76" spans="1:22" x14ac:dyDescent="0.2">
      <c r="A76" s="79">
        <v>272.95736694335937</v>
      </c>
      <c r="B76" s="45">
        <v>0.11542294788968865</v>
      </c>
      <c r="C76" s="75">
        <f t="shared" si="0"/>
        <v>8.7479791485355229E-2</v>
      </c>
      <c r="D76" s="75">
        <f t="shared" si="1"/>
        <v>7.3058305593870762E-2</v>
      </c>
      <c r="E76" s="75">
        <f t="shared" si="1"/>
        <v>5.5371357745370227E-2</v>
      </c>
      <c r="F76" s="75">
        <f t="shared" si="2"/>
        <v>4.6682994886369164E-3</v>
      </c>
      <c r="G76" s="75"/>
      <c r="H76" s="145"/>
      <c r="I76" s="8"/>
      <c r="J76" s="68"/>
      <c r="K76" s="8"/>
      <c r="L76" s="68"/>
      <c r="M76" s="68"/>
      <c r="N76" s="74"/>
      <c r="O76" s="116"/>
      <c r="P76" s="41"/>
      <c r="Q76" s="111"/>
      <c r="R76" s="111"/>
      <c r="S76" s="111"/>
      <c r="T76" s="111"/>
      <c r="U76" s="111"/>
      <c r="V76" s="111"/>
    </row>
    <row r="77" spans="1:22" x14ac:dyDescent="0.2">
      <c r="A77" s="79">
        <v>298.9415283203125</v>
      </c>
      <c r="B77" s="45">
        <v>0.12368330854972009</v>
      </c>
      <c r="C77" s="75">
        <f t="shared" si="0"/>
        <v>9.574015214538667E-2</v>
      </c>
      <c r="D77" s="75">
        <f t="shared" si="1"/>
        <v>7.8286797539795824E-2</v>
      </c>
      <c r="E77" s="75">
        <f t="shared" si="1"/>
        <v>6.0599849691295282E-2</v>
      </c>
      <c r="F77" s="75">
        <f t="shared" si="2"/>
        <v>5.2284919459250553E-3</v>
      </c>
      <c r="G77" s="75"/>
      <c r="H77" s="145"/>
      <c r="I77" s="8"/>
      <c r="J77" s="68"/>
      <c r="K77" s="8"/>
      <c r="L77" s="68"/>
      <c r="M77" s="68"/>
      <c r="N77" s="74"/>
      <c r="O77" s="116"/>
      <c r="P77" s="41"/>
      <c r="Q77" s="111"/>
      <c r="R77" s="111"/>
      <c r="S77" s="111"/>
      <c r="T77" s="111"/>
      <c r="U77" s="111"/>
      <c r="V77" s="111"/>
    </row>
    <row r="78" spans="1:22" x14ac:dyDescent="0.2">
      <c r="A78" s="79">
        <v>327.3248291015625</v>
      </c>
      <c r="B78" s="45">
        <v>0.13286532439434084</v>
      </c>
      <c r="C78" s="75">
        <f t="shared" si="0"/>
        <v>0.10492216799000742</v>
      </c>
      <c r="D78" s="75">
        <f t="shared" si="1"/>
        <v>8.4098661920396986E-2</v>
      </c>
      <c r="E78" s="75">
        <f t="shared" si="1"/>
        <v>6.6411714071896458E-2</v>
      </c>
      <c r="F78" s="75">
        <f t="shared" si="2"/>
        <v>5.8118643806011755E-3</v>
      </c>
      <c r="G78" s="75"/>
      <c r="H78" s="145"/>
      <c r="I78" s="8"/>
      <c r="J78" s="68"/>
      <c r="K78" s="8"/>
      <c r="L78" s="68"/>
      <c r="M78" s="68"/>
      <c r="N78" s="74"/>
      <c r="O78" s="116"/>
      <c r="P78" s="41"/>
      <c r="Q78" s="111"/>
      <c r="R78" s="111"/>
      <c r="S78" s="111"/>
      <c r="T78" s="111"/>
      <c r="U78" s="111"/>
      <c r="V78" s="111"/>
    </row>
    <row r="79" spans="1:22" x14ac:dyDescent="0.2">
      <c r="A79" s="79">
        <v>357.56301879882813</v>
      </c>
      <c r="B79" s="45">
        <v>0.14359300390307908</v>
      </c>
      <c r="C79" s="75">
        <f t="shared" si="0"/>
        <v>0.11564984749874566</v>
      </c>
      <c r="D79" s="75">
        <f t="shared" si="1"/>
        <v>9.0888872205197035E-2</v>
      </c>
      <c r="E79" s="75">
        <f t="shared" si="1"/>
        <v>7.3201924356696493E-2</v>
      </c>
      <c r="F79" s="75">
        <f t="shared" si="2"/>
        <v>6.7902102848000356E-3</v>
      </c>
      <c r="G79" s="75"/>
      <c r="H79" s="145"/>
      <c r="I79" s="8"/>
      <c r="J79" s="68"/>
      <c r="K79" s="8"/>
      <c r="L79" s="68"/>
      <c r="M79" s="68"/>
      <c r="N79" s="74"/>
      <c r="O79" s="116"/>
      <c r="P79" s="41"/>
      <c r="Q79" s="111"/>
      <c r="R79" s="111"/>
      <c r="S79" s="111"/>
      <c r="T79" s="111"/>
      <c r="U79" s="111"/>
      <c r="V79" s="111"/>
    </row>
    <row r="80" spans="1:22" x14ac:dyDescent="0.2">
      <c r="A80" s="79">
        <v>391.5322265625</v>
      </c>
      <c r="B80" s="45">
        <v>0.15670064244841342</v>
      </c>
      <c r="C80" s="75">
        <f t="shared" si="0"/>
        <v>0.12875748604407999</v>
      </c>
      <c r="D80" s="75">
        <f t="shared" si="1"/>
        <v>9.9185505413475927E-2</v>
      </c>
      <c r="E80" s="75">
        <f t="shared" si="1"/>
        <v>8.1498557564975399E-2</v>
      </c>
      <c r="F80" s="75">
        <f t="shared" si="2"/>
        <v>8.2966332082789057E-3</v>
      </c>
      <c r="G80" s="75"/>
      <c r="H80" s="145"/>
      <c r="I80" s="8"/>
      <c r="J80" s="68"/>
      <c r="K80" s="8"/>
      <c r="L80" s="68"/>
      <c r="M80" s="68"/>
      <c r="N80" s="74"/>
      <c r="O80" s="116"/>
      <c r="P80" s="41"/>
      <c r="Q80" s="111"/>
      <c r="R80" s="111"/>
      <c r="S80" s="111"/>
      <c r="T80" s="111"/>
      <c r="U80" s="111"/>
      <c r="V80" s="111"/>
    </row>
    <row r="81" spans="1:22" x14ac:dyDescent="0.2">
      <c r="A81" s="79">
        <v>428.71188354492187</v>
      </c>
      <c r="B81" s="45">
        <v>0.17165263408891041</v>
      </c>
      <c r="C81" s="75">
        <f t="shared" si="0"/>
        <v>0.14370947768457698</v>
      </c>
      <c r="D81" s="75">
        <f t="shared" si="1"/>
        <v>0.10864954349672104</v>
      </c>
      <c r="E81" s="75">
        <f t="shared" si="1"/>
        <v>9.0962595648220512E-2</v>
      </c>
      <c r="F81" s="75">
        <f t="shared" si="2"/>
        <v>9.4640380832451132E-3</v>
      </c>
      <c r="G81" s="75"/>
      <c r="H81" s="145"/>
      <c r="I81" s="8"/>
      <c r="J81" s="68"/>
      <c r="K81" s="8"/>
      <c r="L81" s="68"/>
      <c r="M81" s="68"/>
      <c r="N81" s="74"/>
      <c r="O81" s="116"/>
      <c r="P81" s="41"/>
      <c r="Q81" s="111"/>
      <c r="R81" s="111"/>
      <c r="S81" s="111"/>
      <c r="T81" s="111"/>
      <c r="U81" s="111"/>
      <c r="V81" s="111"/>
    </row>
    <row r="82" spans="1:22" x14ac:dyDescent="0.2">
      <c r="A82" s="79">
        <v>468.73846435546875</v>
      </c>
      <c r="B82" s="45">
        <v>0.18823956277969409</v>
      </c>
      <c r="C82" s="75">
        <f t="shared" si="0"/>
        <v>0.16029640637536066</v>
      </c>
      <c r="D82" s="75">
        <f t="shared" si="1"/>
        <v>0.11914843411865494</v>
      </c>
      <c r="E82" s="75">
        <f t="shared" si="1"/>
        <v>0.1014614862701544</v>
      </c>
      <c r="F82" s="75">
        <f t="shared" si="2"/>
        <v>1.049889062193389E-2</v>
      </c>
      <c r="G82" s="75"/>
      <c r="H82" s="145"/>
      <c r="I82" s="8"/>
      <c r="J82" s="68"/>
      <c r="K82" s="8"/>
      <c r="L82" s="68"/>
      <c r="M82" s="68"/>
      <c r="N82" s="74"/>
      <c r="O82" s="116"/>
      <c r="P82" s="41"/>
      <c r="Q82" s="111"/>
      <c r="R82" s="111"/>
      <c r="S82" s="111"/>
      <c r="T82" s="111"/>
      <c r="U82" s="111"/>
      <c r="V82" s="111"/>
    </row>
    <row r="83" spans="1:22" x14ac:dyDescent="0.2">
      <c r="A83" s="79">
        <v>512.8153076171875</v>
      </c>
      <c r="B83" s="45">
        <v>0.20666495488260989</v>
      </c>
      <c r="C83" s="75">
        <f t="shared" si="0"/>
        <v>0.17872179847827646</v>
      </c>
      <c r="D83" s="75">
        <f t="shared" si="1"/>
        <v>0.13081100167175738</v>
      </c>
      <c r="E83" s="75">
        <f t="shared" si="1"/>
        <v>0.11312405382325684</v>
      </c>
      <c r="F83" s="75">
        <f t="shared" si="2"/>
        <v>1.1662567553102438E-2</v>
      </c>
      <c r="G83" s="75"/>
      <c r="H83" s="145"/>
      <c r="I83" s="68"/>
      <c r="J83" s="68"/>
      <c r="K83" s="8"/>
      <c r="L83" s="68"/>
      <c r="M83" s="68"/>
      <c r="N83" s="74"/>
      <c r="O83" s="116"/>
      <c r="P83" s="41"/>
      <c r="Q83" s="111"/>
      <c r="R83" s="111"/>
      <c r="S83" s="111"/>
      <c r="T83" s="111"/>
      <c r="U83" s="111"/>
      <c r="V83" s="111"/>
    </row>
    <row r="84" spans="1:22" x14ac:dyDescent="0.2">
      <c r="A84" s="79">
        <v>561.565185546875</v>
      </c>
      <c r="B84" s="45">
        <v>0.22737766382892732</v>
      </c>
      <c r="C84" s="75">
        <f t="shared" si="0"/>
        <v>0.1994345074245939</v>
      </c>
      <c r="D84" s="75">
        <f t="shared" si="1"/>
        <v>0.14392135318801894</v>
      </c>
      <c r="E84" s="75">
        <f t="shared" si="1"/>
        <v>0.12623440533951841</v>
      </c>
      <c r="F84" s="75">
        <f t="shared" si="2"/>
        <v>1.3110351516261567E-2</v>
      </c>
      <c r="G84" s="75"/>
      <c r="H84" s="145"/>
      <c r="I84" s="68"/>
      <c r="J84" s="68"/>
      <c r="K84" s="8"/>
      <c r="L84" s="68"/>
      <c r="M84" s="68"/>
      <c r="N84" s="74"/>
      <c r="O84" s="116"/>
      <c r="P84" s="41"/>
      <c r="Q84" s="111"/>
      <c r="R84" s="111"/>
      <c r="S84" s="111"/>
      <c r="T84" s="111"/>
      <c r="U84" s="111"/>
      <c r="V84" s="111"/>
    </row>
    <row r="85" spans="1:22" x14ac:dyDescent="0.2">
      <c r="A85" s="79">
        <v>613.69580078125</v>
      </c>
      <c r="B85" s="45">
        <v>0.24962780921676311</v>
      </c>
      <c r="C85" s="75">
        <f t="shared" si="0"/>
        <v>0.22168465281242969</v>
      </c>
      <c r="D85" s="75">
        <f t="shared" si="1"/>
        <v>0.15800484309165691</v>
      </c>
      <c r="E85" s="75">
        <f t="shared" si="1"/>
        <v>0.14031789524315638</v>
      </c>
      <c r="F85" s="75">
        <f t="shared" si="2"/>
        <v>1.4083489903637975E-2</v>
      </c>
      <c r="G85" s="75"/>
      <c r="H85" s="145"/>
      <c r="I85" s="68"/>
      <c r="J85" s="68"/>
      <c r="K85" s="8"/>
      <c r="L85" s="68"/>
      <c r="M85" s="68"/>
      <c r="N85" s="74"/>
      <c r="O85" s="116"/>
      <c r="P85" s="41"/>
      <c r="Q85" s="111"/>
      <c r="R85" s="111"/>
      <c r="S85" s="111"/>
      <c r="T85" s="111"/>
      <c r="U85" s="111"/>
      <c r="V85" s="111"/>
    </row>
    <row r="86" spans="1:22" x14ac:dyDescent="0.2">
      <c r="A86" s="79">
        <v>671.80218505859375</v>
      </c>
      <c r="B86" s="45">
        <v>0.27466345383928276</v>
      </c>
      <c r="C86" s="75">
        <f t="shared" si="0"/>
        <v>0.24672029743494933</v>
      </c>
      <c r="D86" s="75">
        <f t="shared" si="1"/>
        <v>0.17385144733295257</v>
      </c>
      <c r="E86" s="75">
        <f t="shared" si="1"/>
        <v>0.15616449948445202</v>
      </c>
      <c r="F86" s="75">
        <f t="shared" si="2"/>
        <v>1.5846604241295636E-2</v>
      </c>
      <c r="G86" s="75"/>
      <c r="H86" s="145"/>
      <c r="I86" s="68"/>
      <c r="J86" s="68"/>
      <c r="K86" s="8"/>
      <c r="L86" s="68"/>
      <c r="M86" s="68"/>
      <c r="N86" s="74"/>
      <c r="O86" s="116"/>
      <c r="P86" s="41"/>
      <c r="Q86" s="111"/>
      <c r="R86" s="111"/>
      <c r="S86" s="111"/>
      <c r="T86" s="111"/>
      <c r="U86" s="111"/>
      <c r="V86" s="111"/>
    </row>
    <row r="87" spans="1:22" x14ac:dyDescent="0.2">
      <c r="A87" s="79">
        <v>734.7557373046875</v>
      </c>
      <c r="B87" s="45">
        <v>0.30233591184628311</v>
      </c>
      <c r="C87" s="75">
        <f t="shared" si="0"/>
        <v>0.27439275544194969</v>
      </c>
      <c r="D87" s="75">
        <f t="shared" si="1"/>
        <v>0.19136705346303648</v>
      </c>
      <c r="E87" s="75">
        <f t="shared" si="1"/>
        <v>0.17368010561453595</v>
      </c>
      <c r="F87" s="75">
        <f t="shared" si="2"/>
        <v>1.7515606130083933E-2</v>
      </c>
      <c r="G87" s="75"/>
      <c r="H87" s="145"/>
      <c r="I87" s="68"/>
      <c r="J87" s="68"/>
      <c r="K87" s="8"/>
      <c r="L87" s="68"/>
      <c r="M87" s="68"/>
      <c r="N87" s="74"/>
      <c r="O87" s="116"/>
      <c r="P87" s="41"/>
      <c r="Q87" s="111"/>
      <c r="R87" s="111"/>
      <c r="S87" s="111"/>
      <c r="T87" s="111"/>
      <c r="U87" s="111"/>
      <c r="V87" s="111"/>
    </row>
    <row r="88" spans="1:22" x14ac:dyDescent="0.2">
      <c r="A88" s="79">
        <v>804.91033935546875</v>
      </c>
      <c r="B88" s="45">
        <v>0.33323447237958315</v>
      </c>
      <c r="C88" s="75">
        <f t="shared" si="0"/>
        <v>0.30529131597524972</v>
      </c>
      <c r="D88" s="75">
        <f t="shared" si="1"/>
        <v>0.21092465894032836</v>
      </c>
      <c r="E88" s="75">
        <f t="shared" si="1"/>
        <v>0.1932377110918278</v>
      </c>
      <c r="F88" s="75">
        <f t="shared" si="2"/>
        <v>1.9557605477291851E-2</v>
      </c>
      <c r="G88" s="75"/>
      <c r="H88" s="145"/>
      <c r="I88" s="68"/>
      <c r="J88" s="68"/>
      <c r="K88" s="8"/>
      <c r="L88" s="68"/>
      <c r="M88" s="68"/>
      <c r="N88" s="74"/>
      <c r="O88" s="116"/>
      <c r="P88" s="41"/>
      <c r="Q88" s="111"/>
      <c r="R88" s="111"/>
      <c r="S88" s="111"/>
      <c r="T88" s="111"/>
      <c r="U88" s="111"/>
      <c r="V88" s="111"/>
    </row>
    <row r="89" spans="1:22" x14ac:dyDescent="0.2">
      <c r="A89" s="79">
        <v>879.7520751953125</v>
      </c>
      <c r="B89" s="45">
        <v>0.36623652060286255</v>
      </c>
      <c r="C89" s="75">
        <f t="shared" si="0"/>
        <v>0.33829336419852912</v>
      </c>
      <c r="D89" s="75">
        <f t="shared" si="1"/>
        <v>0.23181369156687592</v>
      </c>
      <c r="E89" s="75">
        <f t="shared" si="1"/>
        <v>0.2141267437183754</v>
      </c>
      <c r="F89" s="75">
        <f t="shared" si="2"/>
        <v>2.0889032626547593E-2</v>
      </c>
      <c r="G89" s="75"/>
      <c r="H89" s="145"/>
      <c r="I89" s="68"/>
      <c r="J89" s="68"/>
      <c r="K89" s="8"/>
      <c r="L89" s="68"/>
      <c r="M89" s="68"/>
      <c r="N89" s="74"/>
      <c r="O89" s="116"/>
      <c r="P89" s="41"/>
      <c r="Q89" s="111"/>
      <c r="R89" s="111"/>
      <c r="S89" s="111"/>
      <c r="T89" s="111"/>
      <c r="U89" s="111"/>
      <c r="V89" s="111"/>
    </row>
    <row r="90" spans="1:22" x14ac:dyDescent="0.2">
      <c r="A90" s="79">
        <v>962.3004150390625</v>
      </c>
      <c r="B90" s="45">
        <v>0.40199205293555862</v>
      </c>
      <c r="C90" s="75">
        <f t="shared" si="0"/>
        <v>0.37404889653122519</v>
      </c>
      <c r="D90" s="75">
        <f t="shared" si="1"/>
        <v>0.25444557418288904</v>
      </c>
      <c r="E90" s="75">
        <f t="shared" si="1"/>
        <v>0.23675862633438854</v>
      </c>
      <c r="F90" s="75">
        <f t="shared" si="2"/>
        <v>2.2631882616013149E-2</v>
      </c>
      <c r="G90" s="75"/>
      <c r="H90" s="145"/>
      <c r="I90" s="68"/>
      <c r="J90" s="68"/>
      <c r="K90" s="8"/>
      <c r="L90" s="68"/>
      <c r="M90" s="68"/>
      <c r="N90" s="74"/>
      <c r="O90" s="116"/>
      <c r="P90" s="41"/>
      <c r="Q90" s="111"/>
      <c r="R90" s="111"/>
      <c r="S90" s="111"/>
      <c r="T90" s="111"/>
      <c r="U90" s="111"/>
      <c r="V90" s="111"/>
    </row>
    <row r="91" spans="1:22" x14ac:dyDescent="0.2">
      <c r="A91" s="79">
        <v>1048.3892822265625</v>
      </c>
      <c r="B91" s="45">
        <v>0.4378358846796036</v>
      </c>
      <c r="C91" s="75">
        <f t="shared" si="0"/>
        <v>0.40989272827527018</v>
      </c>
      <c r="D91" s="75">
        <f t="shared" si="1"/>
        <v>0.27713334694463176</v>
      </c>
      <c r="E91" s="75">
        <f t="shared" si="1"/>
        <v>0.25944639909613121</v>
      </c>
      <c r="F91" s="75">
        <f t="shared" si="2"/>
        <v>2.2687772761742664E-2</v>
      </c>
      <c r="G91" s="75"/>
      <c r="H91" s="145"/>
      <c r="I91" s="68"/>
      <c r="J91" s="68"/>
      <c r="K91" s="8"/>
      <c r="L91" s="68"/>
      <c r="M91" s="68"/>
      <c r="N91" s="74"/>
      <c r="O91" s="116"/>
      <c r="P91" s="41"/>
      <c r="Q91" s="111"/>
      <c r="R91" s="111"/>
      <c r="S91" s="111"/>
      <c r="T91" s="111"/>
      <c r="U91" s="111"/>
      <c r="V91" s="111"/>
    </row>
    <row r="92" spans="1:22" x14ac:dyDescent="0.2">
      <c r="A92" s="79">
        <v>1148.697509765625</v>
      </c>
      <c r="B92" s="45">
        <v>0.47700589772735835</v>
      </c>
      <c r="C92" s="75">
        <f t="shared" si="0"/>
        <v>0.44906274132302493</v>
      </c>
      <c r="D92" s="75">
        <f t="shared" si="1"/>
        <v>0.30192646508690735</v>
      </c>
      <c r="E92" s="75">
        <f t="shared" si="1"/>
        <v>0.28423951723840685</v>
      </c>
      <c r="F92" s="75">
        <f t="shared" si="2"/>
        <v>2.4793118142275639E-2</v>
      </c>
      <c r="G92" s="75"/>
      <c r="H92" s="145"/>
      <c r="I92" s="68"/>
      <c r="J92" s="68"/>
      <c r="K92" s="68"/>
      <c r="L92" s="68"/>
      <c r="M92" s="68"/>
      <c r="N92" s="74"/>
      <c r="O92" s="116"/>
      <c r="P92" s="41"/>
      <c r="Q92" s="111"/>
      <c r="R92" s="111"/>
      <c r="S92" s="111"/>
      <c r="T92" s="111"/>
      <c r="U92" s="111"/>
      <c r="V92" s="111"/>
    </row>
    <row r="93" spans="1:22" x14ac:dyDescent="0.2">
      <c r="A93" s="79">
        <v>1258.5577392578125</v>
      </c>
      <c r="B93" s="45">
        <v>0.51449732819435301</v>
      </c>
      <c r="C93" s="75">
        <f t="shared" si="0"/>
        <v>0.48655417179001959</v>
      </c>
      <c r="D93" s="75">
        <f t="shared" si="1"/>
        <v>0.325657104741223</v>
      </c>
      <c r="E93" s="75">
        <f t="shared" si="1"/>
        <v>0.30797015689272245</v>
      </c>
      <c r="F93" s="75">
        <f t="shared" si="2"/>
        <v>2.37306396543156E-2</v>
      </c>
      <c r="G93" s="75"/>
      <c r="H93" s="145"/>
      <c r="I93" s="68"/>
      <c r="J93" s="68"/>
      <c r="K93" s="68"/>
      <c r="L93" s="68"/>
      <c r="M93" s="68"/>
      <c r="N93" s="74"/>
      <c r="O93" s="116"/>
      <c r="P93" s="41"/>
      <c r="Q93" s="111"/>
      <c r="R93" s="111"/>
      <c r="S93" s="111"/>
      <c r="T93" s="111"/>
      <c r="U93" s="111"/>
      <c r="V93" s="111"/>
    </row>
    <row r="94" spans="1:22" x14ac:dyDescent="0.2">
      <c r="A94" s="79">
        <v>1379.0098876953125</v>
      </c>
      <c r="B94" s="45">
        <v>0.54821312808294898</v>
      </c>
      <c r="C94" s="75">
        <f t="shared" si="0"/>
        <v>0.52026997167861555</v>
      </c>
      <c r="D94" s="75">
        <f t="shared" si="1"/>
        <v>0.34699791483694997</v>
      </c>
      <c r="E94" s="75">
        <f t="shared" si="1"/>
        <v>0.32931096698844947</v>
      </c>
      <c r="F94" s="75">
        <f t="shared" si="2"/>
        <v>2.1340810095727025E-2</v>
      </c>
      <c r="G94" s="75"/>
      <c r="H94" s="145"/>
      <c r="I94" s="68"/>
      <c r="J94" s="68"/>
      <c r="K94" s="68"/>
      <c r="L94" s="68"/>
      <c r="M94" s="68"/>
      <c r="N94" s="74"/>
      <c r="O94" s="116"/>
      <c r="P94" s="41"/>
      <c r="Q94" s="111"/>
      <c r="R94" s="111"/>
      <c r="S94" s="111"/>
      <c r="T94" s="111"/>
      <c r="U94" s="111"/>
      <c r="V94" s="111"/>
    </row>
    <row r="95" spans="1:22" x14ac:dyDescent="0.2">
      <c r="A95" s="79">
        <v>1508.828369140625</v>
      </c>
      <c r="B95" s="45">
        <v>0.57950769531962576</v>
      </c>
      <c r="C95" s="75">
        <f t="shared" si="0"/>
        <v>0.55156453891529234</v>
      </c>
      <c r="D95" s="75">
        <f t="shared" si="1"/>
        <v>0.36680617739137844</v>
      </c>
      <c r="E95" s="75">
        <f t="shared" si="1"/>
        <v>0.34911922954287794</v>
      </c>
      <c r="F95" s="75">
        <f t="shared" si="2"/>
        <v>1.9808262554428469E-2</v>
      </c>
      <c r="G95" s="75"/>
      <c r="H95" s="145"/>
      <c r="I95" s="68"/>
      <c r="J95" s="68"/>
      <c r="K95" s="68"/>
      <c r="L95" s="68"/>
      <c r="M95" s="68"/>
      <c r="N95" s="74"/>
      <c r="O95" s="116"/>
      <c r="P95" s="41"/>
      <c r="Q95" s="111"/>
      <c r="R95" s="111"/>
      <c r="S95" s="111"/>
      <c r="T95" s="111"/>
      <c r="U95" s="111"/>
      <c r="V95" s="111"/>
    </row>
    <row r="96" spans="1:22" x14ac:dyDescent="0.2">
      <c r="A96" s="79">
        <v>1648.2332763671875</v>
      </c>
      <c r="B96" s="45">
        <v>0.61121848210183083</v>
      </c>
      <c r="C96" s="75">
        <f t="shared" si="0"/>
        <v>0.5832753256974974</v>
      </c>
      <c r="D96" s="75">
        <f t="shared" si="1"/>
        <v>0.38687789097792236</v>
      </c>
      <c r="E96" s="75">
        <f t="shared" si="1"/>
        <v>0.36919094312942186</v>
      </c>
      <c r="F96" s="75">
        <f t="shared" si="2"/>
        <v>2.0071713586543916E-2</v>
      </c>
      <c r="G96" s="75"/>
      <c r="H96" s="145"/>
      <c r="I96" s="68"/>
      <c r="J96" s="68"/>
      <c r="K96" s="68"/>
      <c r="L96" s="68"/>
      <c r="M96" s="68"/>
      <c r="N96" s="74"/>
      <c r="O96" s="116"/>
      <c r="P96" s="41"/>
      <c r="Q96" s="111"/>
      <c r="R96" s="111"/>
      <c r="S96" s="111"/>
      <c r="T96" s="111"/>
      <c r="U96" s="111"/>
      <c r="V96" s="111"/>
    </row>
    <row r="97" spans="1:22" x14ac:dyDescent="0.2">
      <c r="A97" s="79">
        <v>1808.6734619140625</v>
      </c>
      <c r="B97" s="45">
        <v>0.64486961006236376</v>
      </c>
      <c r="C97" s="75">
        <f t="shared" si="0"/>
        <v>0.61692645365803034</v>
      </c>
      <c r="D97" s="75">
        <f t="shared" si="1"/>
        <v>0.40817776621996421</v>
      </c>
      <c r="E97" s="75">
        <f t="shared" si="1"/>
        <v>0.39049081837146365</v>
      </c>
      <c r="F97" s="75">
        <f t="shared" si="2"/>
        <v>2.1299875242041799E-2</v>
      </c>
      <c r="G97" s="75"/>
      <c r="H97" s="145"/>
      <c r="I97" s="68"/>
      <c r="J97" s="68"/>
      <c r="K97" s="68"/>
      <c r="L97" s="68"/>
      <c r="M97" s="68"/>
      <c r="N97" s="74"/>
      <c r="O97" s="116"/>
      <c r="P97" s="41"/>
      <c r="Q97" s="111"/>
      <c r="R97" s="111"/>
      <c r="S97" s="111"/>
      <c r="T97" s="111"/>
      <c r="U97" s="111"/>
      <c r="V97" s="111"/>
    </row>
    <row r="98" spans="1:22" x14ac:dyDescent="0.2">
      <c r="A98" s="79">
        <v>1978.3828125</v>
      </c>
      <c r="B98" s="45">
        <v>0.6778835064028681</v>
      </c>
      <c r="C98" s="75">
        <f t="shared" si="0"/>
        <v>0.64994034999853467</v>
      </c>
      <c r="D98" s="75">
        <f t="shared" si="1"/>
        <v>0.42907429825096088</v>
      </c>
      <c r="E98" s="75">
        <f t="shared" si="1"/>
        <v>0.41138735040246033</v>
      </c>
      <c r="F98" s="75">
        <f t="shared" si="2"/>
        <v>2.0896532030996673E-2</v>
      </c>
      <c r="G98" s="75"/>
      <c r="H98" s="145"/>
      <c r="I98" s="68"/>
      <c r="J98" s="68"/>
      <c r="K98" s="68"/>
      <c r="L98" s="68"/>
      <c r="M98" s="68"/>
      <c r="N98" s="74"/>
      <c r="O98" s="116"/>
      <c r="P98" s="41"/>
      <c r="Q98" s="111"/>
      <c r="R98" s="111"/>
      <c r="S98" s="111"/>
      <c r="T98" s="111"/>
      <c r="U98" s="111"/>
      <c r="V98" s="111"/>
    </row>
    <row r="99" spans="1:22" x14ac:dyDescent="0.2">
      <c r="A99" s="79">
        <v>2159.028564453125</v>
      </c>
      <c r="B99" s="45">
        <v>0.71024298333239855</v>
      </c>
      <c r="C99" s="75">
        <f t="shared" si="0"/>
        <v>0.68229982692806512</v>
      </c>
      <c r="D99" s="75">
        <f t="shared" si="1"/>
        <v>0.44955660785749491</v>
      </c>
      <c r="E99" s="75">
        <f t="shared" si="1"/>
        <v>0.43186966000899435</v>
      </c>
      <c r="F99" s="75">
        <f t="shared" si="2"/>
        <v>2.0482309606534022E-2</v>
      </c>
      <c r="G99" s="75"/>
      <c r="H99" s="145"/>
      <c r="I99" s="68"/>
      <c r="J99" s="68"/>
      <c r="K99" s="68"/>
      <c r="L99" s="68"/>
      <c r="M99" s="68"/>
      <c r="N99" s="74"/>
      <c r="O99" s="116"/>
      <c r="P99" s="41"/>
      <c r="Q99" s="111"/>
      <c r="R99" s="111"/>
      <c r="S99" s="111"/>
      <c r="T99" s="111"/>
      <c r="U99" s="111"/>
      <c r="V99" s="111"/>
    </row>
    <row r="100" spans="1:22" x14ac:dyDescent="0.2">
      <c r="A100" s="79">
        <v>2368.3857421875</v>
      </c>
      <c r="B100" s="45">
        <v>0.74612659908321799</v>
      </c>
      <c r="C100" s="75">
        <f t="shared" si="0"/>
        <v>0.71818344267888456</v>
      </c>
      <c r="D100" s="75">
        <f t="shared" si="1"/>
        <v>0.47226956237189438</v>
      </c>
      <c r="E100" s="75">
        <f t="shared" si="1"/>
        <v>0.45458261452339388</v>
      </c>
      <c r="F100" s="75">
        <f t="shared" si="2"/>
        <v>2.271295451439953E-2</v>
      </c>
      <c r="G100" s="75"/>
      <c r="H100" s="145"/>
      <c r="I100" s="68"/>
      <c r="J100" s="68"/>
      <c r="K100" s="68"/>
      <c r="L100" s="68"/>
      <c r="M100" s="68"/>
      <c r="N100" s="74"/>
      <c r="O100" s="116"/>
      <c r="P100" s="41"/>
      <c r="Q100" s="111"/>
      <c r="R100" s="111"/>
      <c r="S100" s="111"/>
      <c r="T100" s="111"/>
      <c r="U100" s="111"/>
      <c r="V100" s="111"/>
    </row>
    <row r="101" spans="1:22" x14ac:dyDescent="0.2">
      <c r="A101" s="79">
        <v>2587.763427734375</v>
      </c>
      <c r="B101" s="45">
        <v>0.78030367344667317</v>
      </c>
      <c r="C101" s="75">
        <f t="shared" si="0"/>
        <v>0.75236051704233975</v>
      </c>
      <c r="D101" s="75">
        <f t="shared" si="1"/>
        <v>0.49390234154450829</v>
      </c>
      <c r="E101" s="75">
        <f t="shared" si="1"/>
        <v>0.47621539369600774</v>
      </c>
      <c r="F101" s="75">
        <f t="shared" si="2"/>
        <v>2.1632779172613859E-2</v>
      </c>
      <c r="G101" s="75"/>
      <c r="H101" s="145"/>
      <c r="I101" s="68"/>
      <c r="J101" s="68"/>
      <c r="K101" s="68"/>
      <c r="L101" s="68"/>
      <c r="M101" s="68"/>
      <c r="N101" s="74"/>
      <c r="O101" s="116"/>
      <c r="P101" s="41"/>
      <c r="Q101" s="111"/>
      <c r="R101" s="111"/>
      <c r="S101" s="111"/>
      <c r="T101" s="111"/>
      <c r="U101" s="111"/>
      <c r="V101" s="111"/>
    </row>
    <row r="102" spans="1:22" x14ac:dyDescent="0.2">
      <c r="A102" s="79">
        <v>2827.939208984375</v>
      </c>
      <c r="B102" s="45">
        <v>0.81555881189231871</v>
      </c>
      <c r="C102" s="75">
        <f t="shared" si="0"/>
        <v>0.78761565548798529</v>
      </c>
      <c r="D102" s="75">
        <f t="shared" si="1"/>
        <v>0.51621749399389649</v>
      </c>
      <c r="E102" s="75">
        <f t="shared" si="1"/>
        <v>0.49853054614539594</v>
      </c>
      <c r="F102" s="75">
        <f t="shared" si="2"/>
        <v>2.2315152449388198E-2</v>
      </c>
      <c r="G102" s="75"/>
      <c r="H102" s="145"/>
      <c r="I102" s="68"/>
      <c r="J102" s="68"/>
      <c r="K102" s="68"/>
      <c r="L102" s="68"/>
      <c r="M102" s="68"/>
      <c r="N102" s="74"/>
      <c r="O102" s="116"/>
      <c r="P102" s="41"/>
      <c r="Q102" s="111"/>
      <c r="R102" s="111"/>
      <c r="S102" s="111"/>
      <c r="T102" s="111"/>
      <c r="U102" s="111"/>
      <c r="V102" s="111"/>
    </row>
    <row r="103" spans="1:22" x14ac:dyDescent="0.2">
      <c r="A103" s="79">
        <v>3097.396240234375</v>
      </c>
      <c r="B103" s="45">
        <v>0.85142565235917567</v>
      </c>
      <c r="C103" s="75">
        <f t="shared" si="0"/>
        <v>0.82348249595484224</v>
      </c>
      <c r="D103" s="75">
        <f t="shared" si="1"/>
        <v>0.53891983039600067</v>
      </c>
      <c r="E103" s="75">
        <f t="shared" si="1"/>
        <v>0.52123288254750011</v>
      </c>
      <c r="F103" s="75">
        <f t="shared" si="2"/>
        <v>2.2702336402104173E-2</v>
      </c>
      <c r="G103" s="75"/>
      <c r="H103" s="145"/>
      <c r="I103" s="68"/>
      <c r="J103" s="68"/>
      <c r="K103" s="68"/>
      <c r="L103" s="68"/>
      <c r="M103" s="68"/>
      <c r="N103" s="74"/>
      <c r="O103" s="116"/>
      <c r="P103" s="41"/>
      <c r="Q103" s="111"/>
      <c r="R103" s="111"/>
      <c r="S103" s="111"/>
      <c r="T103" s="111"/>
      <c r="U103" s="111"/>
      <c r="V103" s="111"/>
    </row>
    <row r="104" spans="1:22" x14ac:dyDescent="0.2">
      <c r="A104" s="79">
        <v>3388.814453125</v>
      </c>
      <c r="B104" s="45">
        <v>0.8878279268895567</v>
      </c>
      <c r="C104" s="75">
        <f t="shared" si="0"/>
        <v>0.85988477048522327</v>
      </c>
      <c r="D104" s="75">
        <f t="shared" si="1"/>
        <v>0.5619610760544832</v>
      </c>
      <c r="E104" s="75">
        <f t="shared" si="1"/>
        <v>0.54427412820598275</v>
      </c>
      <c r="F104" s="75">
        <f t="shared" si="2"/>
        <v>2.3041245658482645E-2</v>
      </c>
      <c r="G104" s="75"/>
      <c r="H104" s="145"/>
      <c r="I104" s="68"/>
      <c r="J104" s="68"/>
      <c r="K104" s="68"/>
      <c r="L104" s="68"/>
      <c r="M104" s="68"/>
      <c r="N104" s="74"/>
      <c r="O104" s="116"/>
      <c r="P104" s="41"/>
      <c r="Q104" s="111"/>
      <c r="R104" s="111"/>
      <c r="S104" s="111"/>
      <c r="T104" s="111"/>
      <c r="U104" s="111"/>
      <c r="V104" s="111"/>
    </row>
    <row r="105" spans="1:22" x14ac:dyDescent="0.2">
      <c r="A105" s="79">
        <v>3707.537353515625</v>
      </c>
      <c r="B105" s="45">
        <v>0.92286434496616132</v>
      </c>
      <c r="C105" s="75">
        <f t="shared" si="0"/>
        <v>0.8949211885618279</v>
      </c>
      <c r="D105" s="75">
        <f t="shared" si="1"/>
        <v>0.58413778688673079</v>
      </c>
      <c r="E105" s="75">
        <f t="shared" si="1"/>
        <v>0.56645083903823024</v>
      </c>
      <c r="F105" s="75">
        <f t="shared" si="2"/>
        <v>2.2176710832247482E-2</v>
      </c>
      <c r="G105" s="75"/>
      <c r="H105" s="145"/>
      <c r="I105" s="68"/>
      <c r="J105" s="68"/>
      <c r="K105" s="68"/>
      <c r="L105" s="68"/>
      <c r="M105" s="68"/>
      <c r="N105" s="74"/>
      <c r="O105" s="116"/>
      <c r="P105" s="41"/>
      <c r="Q105" s="111"/>
      <c r="R105" s="111"/>
      <c r="S105" s="111"/>
      <c r="T105" s="111"/>
      <c r="U105" s="111"/>
      <c r="V105" s="111"/>
    </row>
    <row r="106" spans="1:22" x14ac:dyDescent="0.2">
      <c r="A106" s="79">
        <v>4057.7587890625</v>
      </c>
      <c r="B106" s="45">
        <v>0.95778901948456763</v>
      </c>
      <c r="C106" s="75">
        <f t="shared" si="0"/>
        <v>0.9298458630802342</v>
      </c>
      <c r="D106" s="75">
        <f t="shared" si="1"/>
        <v>0.60624376832614724</v>
      </c>
      <c r="E106" s="75">
        <f t="shared" si="1"/>
        <v>0.58855682047764679</v>
      </c>
      <c r="F106" s="75">
        <f t="shared" si="2"/>
        <v>2.2105981439416555E-2</v>
      </c>
      <c r="G106" s="75"/>
      <c r="H106" s="145"/>
      <c r="I106" s="68"/>
      <c r="J106" s="68"/>
      <c r="K106" s="68"/>
      <c r="L106" s="68"/>
      <c r="M106" s="68"/>
      <c r="N106" s="74"/>
      <c r="O106" s="116"/>
      <c r="P106" s="41"/>
      <c r="Q106" s="111"/>
      <c r="R106" s="111"/>
      <c r="S106" s="111"/>
      <c r="T106" s="111"/>
      <c r="U106" s="111"/>
      <c r="V106" s="111"/>
    </row>
    <row r="107" spans="1:22" x14ac:dyDescent="0.2">
      <c r="A107" s="79">
        <v>4431.99609375</v>
      </c>
      <c r="B107" s="45">
        <v>0.98940630468403101</v>
      </c>
      <c r="C107" s="75">
        <f t="shared" si="0"/>
        <v>0.96146314827969759</v>
      </c>
      <c r="D107" s="75">
        <f t="shared" si="1"/>
        <v>0.62625629899170066</v>
      </c>
      <c r="E107" s="75">
        <f t="shared" si="1"/>
        <v>0.6085693511432001</v>
      </c>
      <c r="F107" s="75">
        <f t="shared" si="2"/>
        <v>2.0012530665553308E-2</v>
      </c>
      <c r="G107" s="75"/>
      <c r="H107" s="145"/>
      <c r="I107" s="68"/>
      <c r="J107" s="68"/>
      <c r="K107" s="68"/>
      <c r="L107" s="68"/>
      <c r="M107" s="68"/>
      <c r="N107" s="74"/>
      <c r="O107" s="116"/>
      <c r="P107" s="41"/>
      <c r="Q107" s="111"/>
      <c r="R107" s="111"/>
      <c r="S107" s="111"/>
      <c r="T107" s="111"/>
      <c r="U107" s="111"/>
      <c r="V107" s="111"/>
    </row>
    <row r="108" spans="1:22" x14ac:dyDescent="0.2">
      <c r="A108" s="79">
        <v>4843.06396484375</v>
      </c>
      <c r="B108" s="45">
        <v>1.0218248617803036</v>
      </c>
      <c r="C108" s="75">
        <f t="shared" si="0"/>
        <v>0.9938817053759702</v>
      </c>
      <c r="D108" s="75">
        <f t="shared" si="1"/>
        <v>0.64677600408115465</v>
      </c>
      <c r="E108" s="75">
        <f t="shared" si="1"/>
        <v>0.62908905623265421</v>
      </c>
      <c r="F108" s="75">
        <f t="shared" si="2"/>
        <v>2.051970508945411E-2</v>
      </c>
      <c r="G108" s="75"/>
      <c r="H108" s="145"/>
      <c r="I108" s="68"/>
      <c r="J108" s="68"/>
      <c r="K108" s="68"/>
      <c r="L108" s="68"/>
      <c r="M108" s="68"/>
      <c r="N108" s="74"/>
      <c r="O108" s="116"/>
      <c r="P108" s="41"/>
      <c r="Q108" s="111"/>
      <c r="R108" s="111"/>
      <c r="S108" s="111"/>
      <c r="T108" s="111"/>
      <c r="U108" s="111"/>
      <c r="V108" s="111"/>
    </row>
    <row r="109" spans="1:22" x14ac:dyDescent="0.2">
      <c r="A109" s="79">
        <v>5306.32373046875</v>
      </c>
      <c r="B109" s="45">
        <v>1.0527385934037448</v>
      </c>
      <c r="C109" s="75">
        <f t="shared" si="0"/>
        <v>1.0247954369994114</v>
      </c>
      <c r="D109" s="75">
        <f t="shared" si="1"/>
        <v>0.66634321227748972</v>
      </c>
      <c r="E109" s="75">
        <f t="shared" si="1"/>
        <v>0.64865626442898927</v>
      </c>
      <c r="F109" s="75">
        <f t="shared" si="2"/>
        <v>1.9567208196335062E-2</v>
      </c>
      <c r="G109" s="75"/>
      <c r="H109" s="145"/>
      <c r="I109" s="68"/>
      <c r="J109" s="68"/>
      <c r="K109" s="68"/>
      <c r="L109" s="68"/>
      <c r="M109" s="68"/>
      <c r="N109" s="74"/>
      <c r="O109" s="116"/>
      <c r="P109" s="41"/>
      <c r="Q109" s="111"/>
      <c r="R109" s="111"/>
      <c r="S109" s="111"/>
      <c r="T109" s="111"/>
      <c r="U109" s="111"/>
      <c r="V109" s="111"/>
    </row>
    <row r="110" spans="1:22" x14ac:dyDescent="0.2">
      <c r="A110" s="79">
        <v>5805.294921875</v>
      </c>
      <c r="B110" s="45">
        <v>1.0825600982052566</v>
      </c>
      <c r="C110" s="75">
        <f t="shared" si="0"/>
        <v>1.0546169418009232</v>
      </c>
      <c r="D110" s="75">
        <f t="shared" si="1"/>
        <v>0.68521908272519449</v>
      </c>
      <c r="E110" s="75">
        <f t="shared" si="1"/>
        <v>0.66753213487669394</v>
      </c>
      <c r="F110" s="75">
        <f t="shared" si="2"/>
        <v>1.8875870447704668E-2</v>
      </c>
      <c r="G110" s="75"/>
      <c r="H110" s="145"/>
      <c r="I110" s="68"/>
      <c r="J110" s="68"/>
      <c r="K110" s="68"/>
      <c r="L110" s="68"/>
      <c r="M110" s="68"/>
      <c r="N110" s="74"/>
      <c r="O110" s="116"/>
      <c r="P110" s="41"/>
      <c r="Q110" s="111"/>
      <c r="R110" s="111"/>
      <c r="S110" s="111"/>
      <c r="T110" s="111"/>
      <c r="U110" s="111"/>
      <c r="V110" s="111"/>
    </row>
    <row r="111" spans="1:22" x14ac:dyDescent="0.2">
      <c r="A111" s="79">
        <v>6355.92578125</v>
      </c>
      <c r="B111" s="45">
        <v>1.1105576804657757</v>
      </c>
      <c r="C111" s="75">
        <f t="shared" si="0"/>
        <v>1.0826145240614424</v>
      </c>
      <c r="D111" s="75">
        <f t="shared" si="1"/>
        <v>0.70294048005628162</v>
      </c>
      <c r="E111" s="75">
        <f t="shared" si="1"/>
        <v>0.68525353220778118</v>
      </c>
      <c r="F111" s="75">
        <f t="shared" si="2"/>
        <v>1.7721397331087241E-2</v>
      </c>
      <c r="G111" s="75"/>
      <c r="H111" s="145"/>
      <c r="I111" s="68"/>
      <c r="J111" s="68"/>
      <c r="K111" s="68"/>
      <c r="L111" s="68"/>
      <c r="M111" s="68"/>
      <c r="N111" s="74"/>
      <c r="O111" s="116"/>
      <c r="P111" s="41"/>
      <c r="Q111" s="111"/>
      <c r="R111" s="111"/>
      <c r="S111" s="111"/>
      <c r="T111" s="111"/>
      <c r="U111" s="111"/>
      <c r="V111" s="111"/>
    </row>
    <row r="112" spans="1:22" x14ac:dyDescent="0.2">
      <c r="A112" s="79">
        <v>6945.337890625</v>
      </c>
      <c r="B112" s="45">
        <v>1.1383956683581054</v>
      </c>
      <c r="C112" s="75">
        <f t="shared" si="0"/>
        <v>1.110452511953772</v>
      </c>
      <c r="D112" s="75">
        <f t="shared" si="1"/>
        <v>0.72056086026438393</v>
      </c>
      <c r="E112" s="75">
        <f t="shared" si="1"/>
        <v>0.70287391241588348</v>
      </c>
      <c r="F112" s="75">
        <f t="shared" si="2"/>
        <v>1.7620380208102304E-2</v>
      </c>
      <c r="G112" s="75"/>
      <c r="H112" s="145"/>
      <c r="I112" s="68"/>
      <c r="J112" s="68"/>
      <c r="K112" s="68"/>
      <c r="L112" s="68"/>
      <c r="M112" s="68"/>
      <c r="N112" s="74"/>
      <c r="O112" s="116"/>
      <c r="P112" s="41"/>
      <c r="Q112" s="111"/>
      <c r="R112" s="111"/>
      <c r="S112" s="111"/>
      <c r="T112" s="111"/>
      <c r="U112" s="111"/>
      <c r="V112" s="111"/>
    </row>
    <row r="113" spans="1:22" x14ac:dyDescent="0.2">
      <c r="A113" s="79">
        <v>7603.8349609375</v>
      </c>
      <c r="B113" s="45">
        <v>1.1625520772640885</v>
      </c>
      <c r="C113" s="75">
        <f t="shared" si="0"/>
        <v>1.1346089208597552</v>
      </c>
      <c r="D113" s="75">
        <f t="shared" si="1"/>
        <v>0.73585094196971768</v>
      </c>
      <c r="E113" s="75">
        <f t="shared" si="1"/>
        <v>0.71816399412121723</v>
      </c>
      <c r="F113" s="75">
        <f t="shared" si="2"/>
        <v>1.5290081705333747E-2</v>
      </c>
      <c r="G113" s="75"/>
      <c r="H113" s="145"/>
      <c r="I113" s="68"/>
      <c r="J113" s="68"/>
      <c r="K113" s="68"/>
      <c r="L113" s="68"/>
      <c r="M113" s="68"/>
      <c r="N113" s="74"/>
      <c r="O113" s="116"/>
      <c r="P113" s="41"/>
      <c r="Q113" s="111"/>
      <c r="R113" s="111"/>
      <c r="S113" s="111"/>
      <c r="T113" s="111"/>
      <c r="U113" s="111"/>
      <c r="V113" s="111"/>
    </row>
    <row r="114" spans="1:22" x14ac:dyDescent="0.2">
      <c r="A114" s="79">
        <v>8315.7490234375</v>
      </c>
      <c r="B114" s="45">
        <v>1.1891211936776818</v>
      </c>
      <c r="C114" s="75">
        <f t="shared" si="0"/>
        <v>1.1611780372733485</v>
      </c>
      <c r="D114" s="75">
        <f t="shared" si="1"/>
        <v>0.75266817512649475</v>
      </c>
      <c r="E114" s="75">
        <f t="shared" si="1"/>
        <v>0.73498122727799431</v>
      </c>
      <c r="F114" s="75">
        <f t="shared" si="2"/>
        <v>1.6817233156777078E-2</v>
      </c>
      <c r="G114" s="75"/>
      <c r="H114" s="145"/>
      <c r="I114" s="68"/>
      <c r="J114" s="68"/>
      <c r="K114" s="68"/>
      <c r="L114" s="68"/>
      <c r="M114" s="68"/>
      <c r="N114" s="74"/>
      <c r="O114" s="116"/>
      <c r="P114" s="41"/>
      <c r="Q114" s="111"/>
      <c r="R114" s="111"/>
      <c r="S114" s="111"/>
      <c r="T114" s="111"/>
      <c r="U114" s="111"/>
      <c r="V114" s="111"/>
    </row>
    <row r="115" spans="1:22" x14ac:dyDescent="0.2">
      <c r="A115" s="79">
        <v>9096.1240234375</v>
      </c>
      <c r="B115" s="45">
        <v>1.2116364664701105</v>
      </c>
      <c r="C115" s="75">
        <f t="shared" si="0"/>
        <v>1.1836933100657772</v>
      </c>
      <c r="D115" s="75">
        <f t="shared" si="1"/>
        <v>0.76691948052350034</v>
      </c>
      <c r="E115" s="75">
        <f t="shared" si="1"/>
        <v>0.7492325326749999</v>
      </c>
      <c r="F115" s="75">
        <f t="shared" si="2"/>
        <v>1.4251305397005587E-2</v>
      </c>
      <c r="G115" s="75"/>
      <c r="H115" s="145"/>
      <c r="I115" s="68"/>
      <c r="J115" s="68"/>
      <c r="K115" s="68"/>
      <c r="L115" s="68"/>
      <c r="M115" s="68"/>
      <c r="N115" s="74"/>
      <c r="O115" s="116"/>
      <c r="P115" s="41"/>
      <c r="Q115" s="111"/>
      <c r="R115" s="111"/>
      <c r="S115" s="111"/>
      <c r="T115" s="111"/>
      <c r="U115" s="111"/>
      <c r="V115" s="111"/>
    </row>
    <row r="116" spans="1:22" x14ac:dyDescent="0.2">
      <c r="A116" s="79">
        <v>9955.2470703125</v>
      </c>
      <c r="B116" s="45">
        <v>1.2346762648080767</v>
      </c>
      <c r="C116" s="75">
        <f t="shared" si="0"/>
        <v>1.2067331084037434</v>
      </c>
      <c r="D116" s="75">
        <f t="shared" si="1"/>
        <v>0.78150279050276894</v>
      </c>
      <c r="E116" s="75">
        <f t="shared" si="1"/>
        <v>0.7638158426542685</v>
      </c>
      <c r="F116" s="75">
        <f t="shared" si="2"/>
        <v>1.4583309979268599E-2</v>
      </c>
      <c r="G116" s="75"/>
      <c r="H116" s="145"/>
      <c r="I116" s="68"/>
      <c r="J116" s="68"/>
      <c r="K116" s="68"/>
      <c r="L116" s="68"/>
      <c r="M116" s="68"/>
      <c r="N116" s="74"/>
      <c r="O116" s="116"/>
      <c r="P116" s="41"/>
      <c r="Q116" s="111"/>
      <c r="R116" s="111"/>
      <c r="S116" s="111"/>
      <c r="T116" s="111"/>
      <c r="U116" s="111"/>
      <c r="V116" s="111"/>
    </row>
    <row r="117" spans="1:22" x14ac:dyDescent="0.2">
      <c r="A117" s="79">
        <v>10895.119140625</v>
      </c>
      <c r="B117" s="45">
        <v>1.2557352962834121</v>
      </c>
      <c r="C117" s="75">
        <f t="shared" si="0"/>
        <v>1.2277921398790788</v>
      </c>
      <c r="D117" s="75">
        <f t="shared" si="1"/>
        <v>0.79483235091658189</v>
      </c>
      <c r="E117" s="75">
        <f t="shared" si="1"/>
        <v>0.77714540306808144</v>
      </c>
      <c r="F117" s="75">
        <f t="shared" si="2"/>
        <v>1.3329560413812946E-2</v>
      </c>
      <c r="G117" s="75"/>
      <c r="H117" s="145"/>
      <c r="I117" s="68"/>
      <c r="J117" s="68"/>
      <c r="K117" s="68"/>
      <c r="L117" s="68"/>
      <c r="M117" s="68"/>
      <c r="N117" s="74"/>
      <c r="O117" s="116"/>
      <c r="P117" s="41"/>
      <c r="Q117" s="111"/>
      <c r="R117" s="111"/>
      <c r="S117" s="111"/>
      <c r="T117" s="111"/>
      <c r="U117" s="111"/>
      <c r="V117" s="111"/>
    </row>
    <row r="118" spans="1:22" x14ac:dyDescent="0.2">
      <c r="A118" s="79">
        <v>11895.705078125</v>
      </c>
      <c r="B118" s="45">
        <v>1.2738851451804221</v>
      </c>
      <c r="C118" s="75">
        <f t="shared" si="0"/>
        <v>1.2459419887760887</v>
      </c>
      <c r="D118" s="75">
        <f t="shared" si="1"/>
        <v>0.80632051017298567</v>
      </c>
      <c r="E118" s="75">
        <f t="shared" si="1"/>
        <v>0.78863356232448523</v>
      </c>
      <c r="F118" s="75">
        <f t="shared" si="2"/>
        <v>1.1488159256403785E-2</v>
      </c>
      <c r="G118" s="75"/>
      <c r="H118" s="145"/>
      <c r="I118" s="68"/>
      <c r="J118" s="68"/>
      <c r="K118" s="68"/>
      <c r="L118" s="68"/>
      <c r="M118" s="68"/>
      <c r="N118" s="74"/>
      <c r="O118" s="116"/>
      <c r="P118" s="41"/>
      <c r="Q118" s="111"/>
      <c r="R118" s="111"/>
      <c r="S118" s="111"/>
      <c r="T118" s="111"/>
      <c r="U118" s="111"/>
      <c r="V118" s="111"/>
    </row>
    <row r="119" spans="1:22" x14ac:dyDescent="0.2">
      <c r="A119" s="79">
        <v>12995.5126953125</v>
      </c>
      <c r="B119" s="45">
        <v>1.2926065454189957</v>
      </c>
      <c r="C119" s="75">
        <f t="shared" si="0"/>
        <v>1.2646633890146624</v>
      </c>
      <c r="D119" s="75">
        <f t="shared" si="1"/>
        <v>0.81817043953956237</v>
      </c>
      <c r="E119" s="75">
        <f t="shared" si="1"/>
        <v>0.80048349169106192</v>
      </c>
      <c r="F119" s="75">
        <f t="shared" si="2"/>
        <v>1.1849929366576695E-2</v>
      </c>
      <c r="G119" s="75"/>
      <c r="H119" s="145"/>
      <c r="I119" s="68"/>
      <c r="J119" s="68"/>
      <c r="K119" s="68"/>
      <c r="L119" s="68"/>
      <c r="M119" s="68"/>
      <c r="N119" s="74"/>
      <c r="O119" s="116"/>
      <c r="P119" s="41"/>
      <c r="Q119" s="111"/>
      <c r="R119" s="111"/>
      <c r="S119" s="111"/>
      <c r="T119" s="111"/>
      <c r="U119" s="111"/>
      <c r="V119" s="111"/>
    </row>
    <row r="120" spans="1:22" x14ac:dyDescent="0.2">
      <c r="A120" s="79">
        <v>14294.7763671875</v>
      </c>
      <c r="B120" s="45">
        <v>1.3078152195294679</v>
      </c>
      <c r="C120" s="75">
        <f t="shared" si="0"/>
        <v>1.2798720631251346</v>
      </c>
      <c r="D120" s="75">
        <f t="shared" si="1"/>
        <v>0.82779694779598278</v>
      </c>
      <c r="E120" s="75">
        <f t="shared" si="1"/>
        <v>0.81010999994748234</v>
      </c>
      <c r="F120" s="75">
        <f t="shared" si="2"/>
        <v>9.6265082564204185E-3</v>
      </c>
      <c r="G120" s="75"/>
      <c r="H120" s="145"/>
      <c r="I120" s="68"/>
      <c r="J120" s="68"/>
      <c r="K120" s="68"/>
      <c r="L120" s="68"/>
      <c r="M120" s="68"/>
      <c r="N120" s="74"/>
      <c r="O120" s="116"/>
      <c r="P120" s="41"/>
      <c r="Q120" s="111"/>
      <c r="R120" s="111"/>
      <c r="S120" s="111"/>
      <c r="T120" s="111"/>
      <c r="U120" s="111"/>
      <c r="V120" s="111"/>
    </row>
    <row r="121" spans="1:22" x14ac:dyDescent="0.2">
      <c r="A121" s="79">
        <v>15594.064453125</v>
      </c>
      <c r="B121" s="45">
        <v>1.3237843731795729</v>
      </c>
      <c r="C121" s="75">
        <f t="shared" si="0"/>
        <v>1.2958412167752396</v>
      </c>
      <c r="D121" s="75">
        <f t="shared" si="1"/>
        <v>0.83790481047646004</v>
      </c>
      <c r="E121" s="75">
        <f t="shared" si="1"/>
        <v>0.82021786262795948</v>
      </c>
      <c r="F121" s="75">
        <f t="shared" si="2"/>
        <v>1.0107862680477142E-2</v>
      </c>
      <c r="G121" s="75"/>
      <c r="H121" s="145"/>
      <c r="I121" s="68"/>
      <c r="J121" s="68"/>
      <c r="K121" s="68"/>
      <c r="L121" s="68"/>
      <c r="M121" s="68"/>
      <c r="N121" s="74"/>
      <c r="O121" s="116"/>
      <c r="P121" s="41"/>
      <c r="Q121" s="111"/>
      <c r="R121" s="111"/>
      <c r="S121" s="111"/>
      <c r="T121" s="111"/>
      <c r="U121" s="111"/>
      <c r="V121" s="111"/>
    </row>
    <row r="122" spans="1:22" x14ac:dyDescent="0.2">
      <c r="A122" s="79">
        <v>17093.576171875</v>
      </c>
      <c r="B122" s="45">
        <v>1.3356090233405411</v>
      </c>
      <c r="C122" s="75">
        <f t="shared" si="0"/>
        <v>1.3076658669362078</v>
      </c>
      <c r="D122" s="75">
        <f t="shared" si="1"/>
        <v>0.8453893611727934</v>
      </c>
      <c r="E122" s="75">
        <f t="shared" si="1"/>
        <v>0.82770241332429295</v>
      </c>
      <c r="F122" s="75">
        <f t="shared" si="2"/>
        <v>7.4845506963334696E-3</v>
      </c>
      <c r="G122" s="75"/>
      <c r="H122" s="145"/>
      <c r="I122" s="68"/>
      <c r="J122" s="68"/>
      <c r="K122" s="68"/>
      <c r="L122" s="68"/>
      <c r="M122" s="68"/>
      <c r="N122" s="74"/>
      <c r="O122" s="116"/>
      <c r="P122" s="41"/>
      <c r="Q122" s="111"/>
      <c r="R122" s="111"/>
      <c r="S122" s="111"/>
      <c r="T122" s="111"/>
      <c r="U122" s="111"/>
      <c r="V122" s="111"/>
    </row>
    <row r="123" spans="1:22" x14ac:dyDescent="0.2">
      <c r="A123" s="79">
        <v>18694.490234375</v>
      </c>
      <c r="B123" s="45">
        <v>1.3488011799832165</v>
      </c>
      <c r="C123" s="75">
        <f t="shared" si="0"/>
        <v>1.3208580235788832</v>
      </c>
      <c r="D123" s="75">
        <f t="shared" si="1"/>
        <v>0.85373949109985015</v>
      </c>
      <c r="E123" s="75">
        <f t="shared" si="1"/>
        <v>0.83605254325134959</v>
      </c>
      <c r="F123" s="75">
        <f t="shared" si="2"/>
        <v>8.3501299270566376E-3</v>
      </c>
      <c r="G123" s="75"/>
      <c r="H123" s="145"/>
      <c r="I123" s="68"/>
      <c r="J123" s="68"/>
      <c r="K123" s="68"/>
      <c r="L123" s="68"/>
      <c r="M123" s="68"/>
      <c r="N123" s="74"/>
      <c r="O123" s="116"/>
      <c r="P123" s="41"/>
      <c r="Q123" s="111"/>
      <c r="R123" s="111"/>
      <c r="S123" s="111"/>
      <c r="T123" s="111"/>
      <c r="U123" s="111"/>
      <c r="V123" s="111"/>
    </row>
    <row r="124" spans="1:22" x14ac:dyDescent="0.2">
      <c r="A124" s="79">
        <v>20394.45703125</v>
      </c>
      <c r="B124" s="45">
        <v>1.3588247329895675</v>
      </c>
      <c r="C124" s="75">
        <f t="shared" si="0"/>
        <v>1.3308815765852342</v>
      </c>
      <c r="D124" s="75">
        <f t="shared" si="1"/>
        <v>0.86008401627498454</v>
      </c>
      <c r="E124" s="75">
        <f t="shared" si="1"/>
        <v>0.8423970684264841</v>
      </c>
      <c r="F124" s="75">
        <f t="shared" si="2"/>
        <v>6.3445251751345078E-3</v>
      </c>
      <c r="G124" s="75"/>
      <c r="H124" s="145"/>
      <c r="I124" s="68"/>
      <c r="J124" s="68"/>
      <c r="K124" s="68"/>
      <c r="L124" s="68"/>
      <c r="M124" s="68"/>
      <c r="N124" s="74"/>
      <c r="O124" s="116"/>
      <c r="P124" s="41"/>
      <c r="Q124" s="111"/>
      <c r="R124" s="111"/>
      <c r="S124" s="111"/>
      <c r="T124" s="111"/>
      <c r="U124" s="111"/>
      <c r="V124" s="111"/>
    </row>
    <row r="125" spans="1:22" x14ac:dyDescent="0.2">
      <c r="A125" s="79">
        <v>22295.658203125</v>
      </c>
      <c r="B125" s="45">
        <v>1.3708188776863097</v>
      </c>
      <c r="C125" s="75">
        <f t="shared" si="0"/>
        <v>1.3428757212819764</v>
      </c>
      <c r="D125" s="75">
        <f t="shared" si="1"/>
        <v>0.86767585052123131</v>
      </c>
      <c r="E125" s="75">
        <f t="shared" si="1"/>
        <v>0.84998890267273086</v>
      </c>
      <c r="F125" s="75">
        <f t="shared" si="2"/>
        <v>7.5918342462467647E-3</v>
      </c>
      <c r="G125" s="75"/>
      <c r="H125" s="145"/>
      <c r="I125" s="68"/>
      <c r="J125" s="68"/>
      <c r="K125" s="68"/>
      <c r="L125" s="68"/>
      <c r="M125" s="68"/>
      <c r="N125" s="74"/>
      <c r="O125" s="116"/>
      <c r="P125" s="41"/>
      <c r="Q125" s="111"/>
      <c r="R125" s="111"/>
      <c r="S125" s="111"/>
      <c r="T125" s="111"/>
      <c r="U125" s="111"/>
      <c r="V125" s="111"/>
    </row>
    <row r="126" spans="1:22" x14ac:dyDescent="0.2">
      <c r="A126" s="79">
        <v>24396.892578125</v>
      </c>
      <c r="B126" s="45">
        <v>1.3753832216156006</v>
      </c>
      <c r="C126" s="75">
        <f t="shared" si="0"/>
        <v>1.3474400652112672</v>
      </c>
      <c r="D126" s="75">
        <f t="shared" si="1"/>
        <v>0.87056490542511711</v>
      </c>
      <c r="E126" s="75">
        <f t="shared" si="1"/>
        <v>0.85287795757661666</v>
      </c>
      <c r="F126" s="75">
        <f t="shared" si="2"/>
        <v>2.8890549038858016E-3</v>
      </c>
      <c r="G126" s="75"/>
      <c r="H126" s="145"/>
      <c r="I126" s="68"/>
      <c r="J126" s="68"/>
      <c r="K126" s="68"/>
      <c r="L126" s="68"/>
      <c r="M126" s="68"/>
      <c r="N126" s="74"/>
      <c r="O126" s="116"/>
      <c r="P126" s="41"/>
      <c r="Q126" s="111"/>
      <c r="R126" s="111"/>
      <c r="S126" s="111"/>
      <c r="T126" s="111"/>
      <c r="U126" s="111"/>
      <c r="V126" s="111"/>
    </row>
    <row r="127" spans="1:22" x14ac:dyDescent="0.2">
      <c r="A127" s="79">
        <v>26696.6328125</v>
      </c>
      <c r="B127" s="45">
        <v>1.3888678915431083</v>
      </c>
      <c r="C127" s="75">
        <f t="shared" si="0"/>
        <v>1.360924735138775</v>
      </c>
      <c r="D127" s="75">
        <f t="shared" si="1"/>
        <v>0.87910018505891985</v>
      </c>
      <c r="E127" s="75">
        <f t="shared" si="1"/>
        <v>0.8614132372104194</v>
      </c>
      <c r="F127" s="75">
        <f t="shared" si="2"/>
        <v>8.5352796338027392E-3</v>
      </c>
      <c r="G127" s="75"/>
      <c r="H127" s="145"/>
      <c r="I127" s="68"/>
      <c r="J127" s="68"/>
      <c r="K127" s="68"/>
      <c r="L127" s="68"/>
      <c r="M127" s="68"/>
      <c r="N127" s="74"/>
      <c r="O127" s="116"/>
      <c r="P127" s="41"/>
      <c r="Q127" s="111"/>
      <c r="R127" s="111"/>
      <c r="S127" s="111"/>
      <c r="T127" s="111"/>
      <c r="U127" s="111"/>
      <c r="V127" s="111"/>
    </row>
    <row r="128" spans="1:22" x14ac:dyDescent="0.2">
      <c r="A128" s="79">
        <v>29296.95703125</v>
      </c>
      <c r="B128" s="45">
        <v>1.3959972955589472</v>
      </c>
      <c r="C128" s="75">
        <f t="shared" si="0"/>
        <v>1.3680541391546139</v>
      </c>
      <c r="D128" s="75">
        <f t="shared" si="1"/>
        <v>0.88361282476198066</v>
      </c>
      <c r="E128" s="75">
        <f t="shared" si="1"/>
        <v>0.86592587691348022</v>
      </c>
      <c r="F128" s="75">
        <f t="shared" si="2"/>
        <v>4.5126397030608167E-3</v>
      </c>
      <c r="G128" s="75"/>
      <c r="H128" s="145"/>
      <c r="I128" s="68"/>
      <c r="J128" s="68"/>
      <c r="K128" s="68"/>
      <c r="L128" s="68"/>
      <c r="M128" s="68"/>
      <c r="N128" s="74"/>
      <c r="O128" s="116"/>
      <c r="P128" s="41"/>
      <c r="Q128" s="111"/>
      <c r="R128" s="111"/>
      <c r="S128" s="111"/>
      <c r="T128" s="111"/>
      <c r="U128" s="111"/>
      <c r="V128" s="111"/>
    </row>
    <row r="129" spans="1:23" x14ac:dyDescent="0.2">
      <c r="A129" s="79">
        <v>31997.15625</v>
      </c>
      <c r="B129" s="45">
        <v>1.4036709337872744</v>
      </c>
      <c r="C129" s="75">
        <f t="shared" si="0"/>
        <v>1.3757277773829411</v>
      </c>
      <c r="D129" s="75">
        <f t="shared" si="1"/>
        <v>0.88846994387868983</v>
      </c>
      <c r="E129" s="75">
        <f t="shared" si="1"/>
        <v>0.87078299603018938</v>
      </c>
      <c r="F129" s="75">
        <f t="shared" si="2"/>
        <v>4.8571191167091632E-3</v>
      </c>
      <c r="G129" s="75"/>
      <c r="H129" s="145"/>
      <c r="I129" s="68"/>
      <c r="J129" s="68"/>
      <c r="K129" s="68"/>
      <c r="L129" s="68"/>
      <c r="M129" s="68"/>
      <c r="N129" s="74"/>
      <c r="O129" s="116"/>
      <c r="P129" s="41"/>
      <c r="Q129" s="111"/>
      <c r="R129" s="111"/>
      <c r="S129" s="111"/>
      <c r="T129" s="111"/>
      <c r="U129" s="111"/>
      <c r="V129" s="111"/>
    </row>
    <row r="130" spans="1:23" x14ac:dyDescent="0.2">
      <c r="A130" s="79">
        <v>34997.28515625</v>
      </c>
      <c r="B130" s="45">
        <v>1.4124590742145955</v>
      </c>
      <c r="C130" s="75">
        <f t="shared" si="0"/>
        <v>1.3845159178102622</v>
      </c>
      <c r="D130" s="75">
        <f t="shared" si="1"/>
        <v>0.89403250020461811</v>
      </c>
      <c r="E130" s="75">
        <f t="shared" si="1"/>
        <v>0.87634555235611766</v>
      </c>
      <c r="F130" s="75">
        <f t="shared" si="2"/>
        <v>5.5625563259282806E-3</v>
      </c>
      <c r="G130" s="75"/>
      <c r="H130" s="145"/>
      <c r="I130" s="68"/>
      <c r="J130" s="68"/>
      <c r="K130" s="68"/>
      <c r="L130" s="68"/>
      <c r="M130" s="68"/>
      <c r="N130" s="74"/>
      <c r="O130" s="116"/>
      <c r="P130" s="41"/>
      <c r="Q130" s="111"/>
      <c r="R130" s="111"/>
      <c r="S130" s="111"/>
      <c r="T130" s="111"/>
      <c r="U130" s="111"/>
      <c r="V130" s="111"/>
    </row>
    <row r="131" spans="1:23" x14ac:dyDescent="0.2">
      <c r="A131" s="79">
        <v>38297.47265625</v>
      </c>
      <c r="B131" s="45">
        <v>1.4137349124779284</v>
      </c>
      <c r="C131" s="75">
        <f t="shared" si="0"/>
        <v>1.3857917560735951</v>
      </c>
      <c r="D131" s="75">
        <f t="shared" si="1"/>
        <v>0.89484005696378188</v>
      </c>
      <c r="E131" s="75">
        <f t="shared" si="1"/>
        <v>0.87715310911528144</v>
      </c>
      <c r="F131" s="75">
        <f t="shared" si="2"/>
        <v>8.0755675916377445E-4</v>
      </c>
      <c r="G131" s="75"/>
      <c r="H131" s="145"/>
      <c r="I131" s="68"/>
      <c r="J131" s="68"/>
      <c r="K131" s="68"/>
      <c r="L131" s="68"/>
      <c r="M131" s="68"/>
      <c r="N131" s="74"/>
      <c r="O131" s="116"/>
      <c r="P131" s="41"/>
      <c r="Q131" s="111"/>
      <c r="R131" s="111"/>
      <c r="S131" s="111"/>
      <c r="T131" s="111"/>
      <c r="U131" s="111"/>
      <c r="V131" s="111"/>
    </row>
    <row r="132" spans="1:23" x14ac:dyDescent="0.2">
      <c r="A132" s="79">
        <v>41897.87890625</v>
      </c>
      <c r="B132" s="45">
        <v>1.4252844663155555</v>
      </c>
      <c r="C132" s="75">
        <f t="shared" si="0"/>
        <v>1.3973413099112222</v>
      </c>
      <c r="D132" s="75">
        <f t="shared" si="1"/>
        <v>0.90215048222296568</v>
      </c>
      <c r="E132" s="75">
        <f t="shared" si="1"/>
        <v>0.88446353437446512</v>
      </c>
      <c r="F132" s="75">
        <f t="shared" si="2"/>
        <v>7.3104252591836838E-3</v>
      </c>
      <c r="G132" s="75"/>
      <c r="H132" s="145"/>
      <c r="I132" s="68"/>
      <c r="J132" s="68"/>
      <c r="K132" s="68"/>
      <c r="L132" s="68"/>
      <c r="M132" s="68"/>
      <c r="N132" s="74"/>
      <c r="O132" s="116"/>
      <c r="P132" s="41"/>
      <c r="Q132" s="111"/>
      <c r="R132" s="111"/>
      <c r="S132" s="111"/>
      <c r="T132" s="111"/>
      <c r="U132" s="111"/>
      <c r="V132" s="111"/>
    </row>
    <row r="133" spans="1:23" x14ac:dyDescent="0.2">
      <c r="A133" s="79">
        <v>45795.41796875</v>
      </c>
      <c r="B133" s="45">
        <v>1.4271297475514293</v>
      </c>
      <c r="C133" s="75">
        <f t="shared" si="0"/>
        <v>1.399186591147096</v>
      </c>
      <c r="D133" s="75">
        <f t="shared" si="1"/>
        <v>0.90331847457545644</v>
      </c>
      <c r="E133" s="75">
        <f t="shared" si="1"/>
        <v>0.885631526726956</v>
      </c>
      <c r="F133" s="75">
        <f t="shared" si="2"/>
        <v>1.1679923524908764E-3</v>
      </c>
      <c r="G133" s="75"/>
      <c r="H133" s="145"/>
      <c r="I133" s="68"/>
      <c r="J133" s="68"/>
      <c r="K133" s="68"/>
      <c r="L133" s="68"/>
      <c r="M133" s="68"/>
      <c r="N133" s="74"/>
      <c r="O133" s="116"/>
      <c r="P133" s="41"/>
      <c r="Q133" s="111"/>
      <c r="R133" s="111"/>
      <c r="S133" s="111"/>
      <c r="T133" s="111"/>
      <c r="U133" s="111"/>
      <c r="V133" s="111"/>
    </row>
    <row r="134" spans="1:23" x14ac:dyDescent="0.2">
      <c r="A134" s="79">
        <v>50091.86328125</v>
      </c>
      <c r="B134" s="45">
        <v>1.4271297475514293</v>
      </c>
      <c r="C134" s="75">
        <f t="shared" si="0"/>
        <v>1.399186591147096</v>
      </c>
      <c r="D134" s="75">
        <f t="shared" si="1"/>
        <v>0.90331847457545644</v>
      </c>
      <c r="E134" s="75">
        <f t="shared" si="1"/>
        <v>0.885631526726956</v>
      </c>
      <c r="F134" s="75">
        <f t="shared" si="2"/>
        <v>0</v>
      </c>
      <c r="G134" s="75"/>
      <c r="H134" s="145"/>
      <c r="I134" s="68"/>
      <c r="J134" s="68"/>
      <c r="K134" s="68"/>
      <c r="L134" s="68"/>
      <c r="M134" s="68"/>
      <c r="N134" s="74"/>
      <c r="O134" s="116"/>
      <c r="P134" s="41"/>
      <c r="Q134" s="111"/>
      <c r="R134" s="111"/>
      <c r="S134" s="111"/>
      <c r="T134" s="111"/>
      <c r="U134" s="111"/>
      <c r="V134" s="111"/>
    </row>
    <row r="135" spans="1:23" x14ac:dyDescent="0.2">
      <c r="A135" s="79">
        <v>54784.29296875</v>
      </c>
      <c r="B135" s="45">
        <v>1.4340598648605227</v>
      </c>
      <c r="C135" s="75">
        <f t="shared" si="0"/>
        <v>1.4061167084561894</v>
      </c>
      <c r="D135" s="75">
        <f t="shared" si="1"/>
        <v>0.90770497342534717</v>
      </c>
      <c r="E135" s="75">
        <f t="shared" si="1"/>
        <v>0.89001802557684673</v>
      </c>
      <c r="F135" s="75">
        <f t="shared" si="2"/>
        <v>4.3864988498907298E-3</v>
      </c>
      <c r="G135" s="75"/>
      <c r="H135" s="145"/>
      <c r="I135" s="68"/>
      <c r="J135" s="68"/>
      <c r="K135" s="68"/>
      <c r="L135" s="68"/>
      <c r="M135" s="68"/>
      <c r="N135" s="74"/>
      <c r="O135" s="116"/>
      <c r="P135" s="41"/>
      <c r="Q135" s="111"/>
      <c r="R135" s="111"/>
      <c r="S135" s="111"/>
      <c r="T135" s="111"/>
      <c r="U135" s="111"/>
      <c r="V135" s="111"/>
    </row>
    <row r="136" spans="1:23" x14ac:dyDescent="0.2">
      <c r="A136" s="79">
        <v>59484.4140625</v>
      </c>
      <c r="B136" s="45">
        <v>1.4398583380137862</v>
      </c>
      <c r="C136" s="75">
        <f t="shared" si="0"/>
        <v>1.4119151816094528</v>
      </c>
      <c r="D136" s="75">
        <f t="shared" si="1"/>
        <v>0.91137518486383728</v>
      </c>
      <c r="E136" s="75">
        <f t="shared" si="1"/>
        <v>0.89368823701533684</v>
      </c>
      <c r="F136" s="75">
        <f t="shared" si="2"/>
        <v>3.6702114384901119E-3</v>
      </c>
      <c r="G136" s="75"/>
      <c r="H136" s="59"/>
      <c r="I136" s="79"/>
      <c r="J136" s="79"/>
      <c r="K136" s="79"/>
      <c r="L136" s="79"/>
      <c r="M136" s="79"/>
      <c r="P136" s="41"/>
      <c r="Q136" s="111"/>
      <c r="R136" s="111"/>
      <c r="S136" s="111"/>
      <c r="T136" s="111"/>
      <c r="U136" s="111"/>
      <c r="V136" s="111"/>
    </row>
    <row r="137" spans="1:23" x14ac:dyDescent="0.2">
      <c r="A137" s="79"/>
      <c r="B137" s="45"/>
      <c r="C137" s="75"/>
      <c r="D137" s="75"/>
      <c r="E137" s="75"/>
      <c r="F137" s="75"/>
      <c r="G137" s="75"/>
      <c r="H137" s="59"/>
      <c r="I137" s="79"/>
      <c r="J137" s="79"/>
      <c r="K137" s="79"/>
      <c r="L137" s="79"/>
      <c r="M137" s="79"/>
      <c r="P137" s="1"/>
      <c r="Q137" s="111"/>
      <c r="R137" s="111"/>
      <c r="S137" s="111"/>
      <c r="T137" s="111"/>
      <c r="U137" s="111"/>
      <c r="V137" s="111"/>
    </row>
    <row r="138" spans="1:23" x14ac:dyDescent="0.2">
      <c r="A138" s="79"/>
      <c r="B138" s="45"/>
      <c r="C138" s="75"/>
      <c r="D138" s="75"/>
      <c r="E138" s="75"/>
      <c r="F138" s="75"/>
      <c r="G138" s="75"/>
      <c r="H138" s="59"/>
      <c r="I138" s="79"/>
      <c r="J138" s="79"/>
      <c r="K138" s="79"/>
      <c r="L138" s="79"/>
      <c r="M138" s="79"/>
      <c r="P138" s="1"/>
      <c r="Q138" s="111"/>
      <c r="R138" s="111"/>
      <c r="S138" s="111"/>
      <c r="T138" s="111"/>
      <c r="U138" s="111"/>
      <c r="V138" s="111"/>
    </row>
    <row r="139" spans="1:23" x14ac:dyDescent="0.2">
      <c r="A139" s="79"/>
      <c r="B139" s="45"/>
      <c r="C139" s="75"/>
      <c r="D139" s="75"/>
      <c r="E139" s="75"/>
      <c r="F139" s="75"/>
      <c r="G139" s="75"/>
      <c r="H139" s="59"/>
      <c r="I139" s="79"/>
      <c r="J139" s="79"/>
      <c r="K139" s="79"/>
      <c r="L139" s="79"/>
      <c r="M139" s="79"/>
      <c r="P139" s="1"/>
      <c r="Q139" s="111"/>
      <c r="R139" s="111"/>
      <c r="S139" s="111"/>
      <c r="T139" s="111"/>
      <c r="U139" s="111"/>
      <c r="V139" s="111"/>
    </row>
    <row r="140" spans="1:23" x14ac:dyDescent="0.2">
      <c r="A140" s="79"/>
      <c r="B140" s="45"/>
      <c r="C140" s="75"/>
      <c r="D140" s="75"/>
      <c r="E140" s="75"/>
      <c r="F140" s="75"/>
      <c r="G140" s="75"/>
      <c r="H140" s="59"/>
      <c r="I140" s="79"/>
      <c r="J140" s="79"/>
      <c r="K140" s="79"/>
      <c r="L140" s="79"/>
      <c r="M140" s="79"/>
      <c r="P140" s="1"/>
      <c r="Q140" s="111"/>
      <c r="R140" s="111"/>
      <c r="S140" s="111"/>
      <c r="T140" s="111"/>
      <c r="U140" s="111"/>
      <c r="V140" s="111"/>
    </row>
    <row r="141" spans="1:23" x14ac:dyDescent="0.2">
      <c r="A141" s="79"/>
      <c r="B141" s="4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59"/>
      <c r="P141" s="79"/>
      <c r="Q141" s="79"/>
      <c r="R141" s="79"/>
      <c r="S141" s="79"/>
      <c r="T141" s="79"/>
      <c r="W141" s="1"/>
    </row>
  </sheetData>
  <mergeCells count="5">
    <mergeCell ref="A5:M5"/>
    <mergeCell ref="I32:J32"/>
    <mergeCell ref="I33:J33"/>
    <mergeCell ref="K32:L32"/>
    <mergeCell ref="K33:L33"/>
  </mergeCells>
  <printOptions horizontalCentered="1"/>
  <pageMargins left="0.5" right="0.5" top="0.1" bottom="0.25" header="0" footer="0"/>
  <pageSetup scale="65" orientation="portrait"/>
  <rowBreaks count="2" manualBreakCount="2">
    <brk id="86" max="12" man="1"/>
    <brk id="162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showGridLines="0" workbookViewId="0">
      <selection activeCell="C4" sqref="C4"/>
    </sheetView>
  </sheetViews>
  <sheetFormatPr defaultColWidth="8.85546875" defaultRowHeight="12.75" x14ac:dyDescent="0.2"/>
  <cols>
    <col min="1" max="17" width="8.140625" style="30" customWidth="1"/>
    <col min="18" max="16384" width="8.85546875" style="30"/>
  </cols>
  <sheetData>
    <row r="1" spans="1:15" ht="15.75" x14ac:dyDescent="0.25">
      <c r="C1" s="164" t="s">
        <v>11</v>
      </c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60"/>
      <c r="O1" s="60"/>
    </row>
    <row r="2" spans="1:15" x14ac:dyDescent="0.2">
      <c r="C2" s="151" t="str">
        <f>Table!A7</f>
        <v>Shell Exploration &amp; Production Company</v>
      </c>
      <c r="K2" s="144" t="str">
        <f>Table!L7</f>
        <v>Sample Number:</v>
      </c>
      <c r="N2" s="15"/>
      <c r="O2" s="81" t="str">
        <f>Table!$P$7</f>
        <v>MC 8</v>
      </c>
    </row>
    <row r="3" spans="1:15" x14ac:dyDescent="0.2">
      <c r="C3" s="151" t="str">
        <f>Table!A8</f>
        <v>OSC-Y-2321 Burger J 001</v>
      </c>
      <c r="K3" s="144" t="str">
        <f>Table!L8</f>
        <v>Sample Depth, feet:</v>
      </c>
      <c r="N3" s="119"/>
      <c r="O3" s="138">
        <f>Table!$P$8</f>
        <v>5971</v>
      </c>
    </row>
    <row r="4" spans="1:15" x14ac:dyDescent="0.2">
      <c r="C4" s="151" t="str">
        <f>Table!A9</f>
        <v>Offshore</v>
      </c>
      <c r="K4" s="144" t="str">
        <f>Table!L9</f>
        <v>Permeability to Air (calc), mD:</v>
      </c>
      <c r="M4" s="139"/>
      <c r="N4" s="123"/>
      <c r="O4" s="66">
        <f>Table!$P$9</f>
        <v>3.0522460422915614E-2</v>
      </c>
    </row>
    <row r="5" spans="1:15" x14ac:dyDescent="0.2">
      <c r="C5" s="151" t="str">
        <f>Table!A10</f>
        <v>HH-77445</v>
      </c>
      <c r="D5" s="31"/>
      <c r="E5" s="31"/>
      <c r="F5" s="110"/>
      <c r="G5" s="31"/>
      <c r="K5" s="144" t="str">
        <f>Table!L10</f>
        <v>Porosity, fraction:</v>
      </c>
      <c r="M5" s="139"/>
      <c r="N5" s="123"/>
      <c r="O5" s="66">
        <f>Table!$P$10</f>
        <v>0.13285849206524736</v>
      </c>
    </row>
    <row r="6" spans="1:15" x14ac:dyDescent="0.2">
      <c r="A6" s="139"/>
      <c r="C6" s="175" t="s">
        <v>97</v>
      </c>
      <c r="D6" s="160"/>
      <c r="E6" s="160"/>
      <c r="F6" s="160"/>
      <c r="G6" s="139"/>
      <c r="K6" s="144" t="str">
        <f>Table!L11</f>
        <v>Grain Density, grams/cc:</v>
      </c>
      <c r="M6" s="160"/>
      <c r="N6" s="136"/>
      <c r="O6" s="110">
        <f>Table!$P$11</f>
        <v>2.6702345126763345</v>
      </c>
    </row>
    <row r="7" spans="1:15" x14ac:dyDescent="0.2">
      <c r="B7" s="151"/>
      <c r="D7" s="139"/>
      <c r="E7" s="139"/>
      <c r="I7" s="144"/>
      <c r="K7" s="160"/>
      <c r="L7" s="113"/>
      <c r="M7" s="125"/>
    </row>
    <row r="8" spans="1:15" x14ac:dyDescent="0.2">
      <c r="B8" s="151"/>
      <c r="D8" s="139"/>
      <c r="E8" s="139"/>
      <c r="I8" s="144"/>
      <c r="K8" s="160"/>
      <c r="L8" s="113"/>
      <c r="M8" s="125"/>
    </row>
    <row r="9" spans="1:15" ht="12" customHeight="1" x14ac:dyDescent="0.2">
      <c r="B9" s="139"/>
      <c r="C9" s="139"/>
      <c r="D9" s="139"/>
      <c r="E9" s="139"/>
      <c r="F9" s="139"/>
    </row>
    <row r="10" spans="1:15" x14ac:dyDescent="0.2">
      <c r="B10" s="139"/>
      <c r="C10" s="139"/>
      <c r="D10" s="139"/>
      <c r="E10" s="139"/>
      <c r="F10" s="139"/>
      <c r="K10" s="160"/>
      <c r="L10" s="113"/>
    </row>
    <row r="11" spans="1:15" x14ac:dyDescent="0.2">
      <c r="B11" s="139"/>
      <c r="C11" s="139"/>
      <c r="D11" s="160"/>
      <c r="E11" s="139"/>
      <c r="F11" s="139"/>
      <c r="K11" s="160"/>
      <c r="L11" s="113"/>
    </row>
    <row r="12" spans="1:15" x14ac:dyDescent="0.2">
      <c r="B12" s="139"/>
      <c r="C12" s="139"/>
      <c r="D12" s="160"/>
      <c r="E12" s="139"/>
      <c r="F12" s="139"/>
      <c r="G12" s="144"/>
      <c r="H12" s="139"/>
      <c r="I12" s="139"/>
      <c r="J12" s="66"/>
      <c r="K12" s="160"/>
      <c r="L12" s="113"/>
    </row>
    <row r="13" spans="1:15" x14ac:dyDescent="0.2">
      <c r="A13" s="151"/>
      <c r="B13" s="139"/>
      <c r="C13" s="139"/>
      <c r="D13" s="139"/>
      <c r="E13" s="139"/>
      <c r="F13" s="139"/>
      <c r="G13" s="139"/>
      <c r="H13" s="139"/>
      <c r="I13" s="123"/>
      <c r="J13" s="160"/>
      <c r="K13" s="160"/>
      <c r="L13" s="113"/>
    </row>
    <row r="14" spans="1:15" x14ac:dyDescent="0.2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160"/>
      <c r="L14" s="113"/>
    </row>
    <row r="15" spans="1:15" x14ac:dyDescent="0.2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139"/>
      <c r="L15" s="113"/>
    </row>
    <row r="16" spans="1:15" x14ac:dyDescent="0.2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139"/>
      <c r="L16" s="113"/>
    </row>
    <row r="17" spans="1:12" x14ac:dyDescent="0.2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139"/>
      <c r="L17" s="41"/>
    </row>
    <row r="18" spans="1:12" x14ac:dyDescent="0.2">
      <c r="A18" s="1"/>
      <c r="B18" s="122"/>
      <c r="C18" s="122"/>
      <c r="D18" s="80"/>
      <c r="E18" s="23"/>
      <c r="F18" s="42"/>
      <c r="G18" s="42"/>
      <c r="H18" s="42"/>
      <c r="I18" s="42"/>
      <c r="J18" s="42"/>
      <c r="K18" s="139"/>
      <c r="L18" s="41"/>
    </row>
    <row r="19" spans="1:12" x14ac:dyDescent="0.2">
      <c r="A19" s="107"/>
      <c r="B19" s="122"/>
      <c r="C19" s="122"/>
      <c r="D19" s="80"/>
      <c r="E19" s="23"/>
      <c r="F19" s="42"/>
      <c r="G19" s="42"/>
      <c r="H19" s="42"/>
      <c r="I19" s="42"/>
      <c r="J19" s="42"/>
      <c r="K19" s="139"/>
      <c r="L19" s="41"/>
    </row>
    <row r="20" spans="1:12" x14ac:dyDescent="0.2">
      <c r="A20" s="107"/>
      <c r="B20" s="122"/>
      <c r="C20" s="122"/>
      <c r="D20" s="80"/>
      <c r="E20" s="23"/>
      <c r="F20" s="42"/>
      <c r="G20" s="42"/>
      <c r="H20" s="42"/>
      <c r="I20" s="42"/>
      <c r="J20" s="42"/>
      <c r="K20" s="139"/>
      <c r="L20" s="83"/>
    </row>
    <row r="21" spans="1:12" x14ac:dyDescent="0.2">
      <c r="A21" s="107"/>
      <c r="B21" s="122"/>
      <c r="C21" s="122"/>
      <c r="D21" s="80"/>
      <c r="E21" s="23"/>
      <c r="F21" s="42"/>
      <c r="G21" s="42"/>
      <c r="H21" s="42"/>
      <c r="I21" s="42"/>
      <c r="J21" s="42"/>
      <c r="K21" s="139"/>
      <c r="L21" s="124"/>
    </row>
    <row r="22" spans="1:12" x14ac:dyDescent="0.2">
      <c r="A22" s="107"/>
      <c r="B22" s="122"/>
      <c r="C22" s="122"/>
      <c r="D22" s="80"/>
      <c r="E22" s="23"/>
      <c r="F22" s="42"/>
      <c r="G22" s="42"/>
      <c r="H22" s="42"/>
      <c r="I22" s="42"/>
      <c r="J22" s="42"/>
      <c r="K22" s="139"/>
      <c r="L22" s="124"/>
    </row>
    <row r="23" spans="1:12" x14ac:dyDescent="0.2">
      <c r="A23" s="107"/>
      <c r="B23" s="122"/>
      <c r="C23" s="122"/>
      <c r="D23" s="80"/>
      <c r="E23" s="23"/>
      <c r="F23" s="42"/>
      <c r="G23" s="42"/>
      <c r="H23" s="42"/>
      <c r="I23" s="42"/>
      <c r="J23" s="42"/>
      <c r="K23" s="139"/>
      <c r="L23" s="124"/>
    </row>
    <row r="24" spans="1:12" x14ac:dyDescent="0.2">
      <c r="A24" s="95"/>
      <c r="B24" s="122"/>
      <c r="C24" s="122"/>
      <c r="D24" s="80"/>
      <c r="E24" s="23"/>
      <c r="F24" s="42"/>
      <c r="G24" s="42"/>
      <c r="H24" s="42"/>
      <c r="I24" s="42"/>
      <c r="J24" s="42"/>
      <c r="K24" s="139"/>
      <c r="L24" s="124"/>
    </row>
    <row r="25" spans="1:12" x14ac:dyDescent="0.2">
      <c r="A25" s="95"/>
      <c r="B25" s="122"/>
      <c r="C25" s="122"/>
      <c r="D25" s="80"/>
      <c r="E25" s="23"/>
      <c r="F25" s="42"/>
      <c r="G25" s="42"/>
      <c r="H25" s="42"/>
      <c r="I25" s="42"/>
      <c r="J25" s="42"/>
      <c r="K25" s="139"/>
      <c r="L25" s="124"/>
    </row>
    <row r="26" spans="1:12" x14ac:dyDescent="0.2">
      <c r="A26" s="95"/>
      <c r="B26" s="122"/>
      <c r="C26" s="122"/>
      <c r="D26" s="80"/>
      <c r="E26" s="23"/>
      <c r="F26" s="42"/>
      <c r="G26" s="42"/>
      <c r="H26" s="42"/>
      <c r="I26" s="42"/>
      <c r="J26" s="42"/>
      <c r="K26" s="139"/>
      <c r="L26" s="124"/>
    </row>
    <row r="27" spans="1:12" ht="15.75" customHeight="1" x14ac:dyDescent="0.2">
      <c r="A27" s="95"/>
      <c r="B27" s="122"/>
      <c r="C27" s="122"/>
      <c r="D27" s="80"/>
      <c r="E27" s="23"/>
      <c r="F27" s="42"/>
      <c r="G27" s="42"/>
      <c r="H27" s="42"/>
      <c r="I27" s="42"/>
      <c r="J27" s="42"/>
      <c r="K27" s="139"/>
      <c r="L27" s="124"/>
    </row>
    <row r="28" spans="1:12" x14ac:dyDescent="0.2">
      <c r="A28" s="95"/>
      <c r="B28" s="122"/>
      <c r="C28" s="122"/>
      <c r="D28" s="80"/>
      <c r="E28" s="23"/>
      <c r="F28" s="42"/>
      <c r="G28" s="42"/>
      <c r="H28" s="42"/>
      <c r="I28" s="42"/>
      <c r="J28" s="42"/>
      <c r="K28" s="139"/>
      <c r="L28" s="124"/>
    </row>
    <row r="29" spans="1:12" x14ac:dyDescent="0.2">
      <c r="A29" s="92"/>
      <c r="B29" s="122"/>
      <c r="C29" s="122"/>
      <c r="D29" s="80"/>
      <c r="E29" s="23"/>
      <c r="F29" s="42"/>
      <c r="G29" s="42"/>
      <c r="H29" s="42"/>
      <c r="I29" s="42"/>
      <c r="J29" s="42"/>
      <c r="K29" s="139"/>
      <c r="L29" s="124"/>
    </row>
    <row r="30" spans="1:12" x14ac:dyDescent="0.2">
      <c r="A30" s="92"/>
      <c r="B30" s="122"/>
      <c r="C30" s="122"/>
      <c r="D30" s="80"/>
      <c r="E30" s="23"/>
      <c r="F30" s="42"/>
      <c r="G30" s="42"/>
      <c r="H30" s="42"/>
      <c r="I30" s="42"/>
      <c r="J30" s="42"/>
      <c r="K30" s="139"/>
      <c r="L30" s="124"/>
    </row>
    <row r="31" spans="1:12" x14ac:dyDescent="0.2">
      <c r="A31" s="92"/>
      <c r="B31" s="122"/>
      <c r="C31" s="122"/>
      <c r="D31" s="80"/>
      <c r="E31" s="23"/>
      <c r="F31" s="42"/>
      <c r="G31" s="42"/>
      <c r="H31" s="42"/>
      <c r="I31" s="42"/>
      <c r="J31" s="42"/>
      <c r="K31" s="139"/>
      <c r="L31" s="124"/>
    </row>
    <row r="32" spans="1:12" x14ac:dyDescent="0.2">
      <c r="A32" s="92"/>
      <c r="B32" s="122"/>
      <c r="C32" s="122"/>
      <c r="D32" s="80"/>
      <c r="E32" s="23"/>
      <c r="F32" s="42"/>
      <c r="G32" s="42"/>
      <c r="H32" s="42"/>
      <c r="I32" s="42"/>
      <c r="J32" s="42"/>
      <c r="K32" s="139"/>
      <c r="L32" s="124"/>
    </row>
    <row r="33" spans="1:12" x14ac:dyDescent="0.2">
      <c r="A33" s="92"/>
      <c r="B33" s="122"/>
      <c r="C33" s="122"/>
      <c r="D33" s="80"/>
      <c r="E33" s="23"/>
      <c r="F33" s="42"/>
      <c r="G33" s="42"/>
      <c r="H33" s="42"/>
      <c r="I33" s="42"/>
      <c r="J33" s="42"/>
      <c r="K33" s="139"/>
      <c r="L33" s="124"/>
    </row>
    <row r="34" spans="1:12" x14ac:dyDescent="0.2">
      <c r="A34" s="20"/>
      <c r="B34" s="122"/>
      <c r="C34" s="122"/>
      <c r="D34" s="80"/>
      <c r="E34" s="23"/>
      <c r="F34" s="42"/>
      <c r="G34" s="42"/>
      <c r="H34" s="42"/>
      <c r="I34" s="42"/>
      <c r="J34" s="42"/>
      <c r="K34" s="139"/>
      <c r="L34" s="124"/>
    </row>
    <row r="35" spans="1:12" x14ac:dyDescent="0.2">
      <c r="A35" s="20"/>
      <c r="B35" s="122"/>
      <c r="C35" s="122"/>
      <c r="D35" s="80"/>
      <c r="E35" s="23"/>
      <c r="F35" s="42"/>
      <c r="G35" s="42"/>
      <c r="H35" s="42"/>
      <c r="I35" s="42"/>
      <c r="J35" s="42"/>
      <c r="K35" s="139"/>
      <c r="L35" s="124"/>
    </row>
    <row r="36" spans="1:12" x14ac:dyDescent="0.2">
      <c r="A36" s="20"/>
      <c r="B36" s="122"/>
      <c r="C36" s="122"/>
      <c r="D36" s="80"/>
      <c r="E36" s="23"/>
      <c r="F36" s="42"/>
      <c r="G36" s="42"/>
      <c r="H36" s="42"/>
      <c r="I36" s="42"/>
      <c r="J36" s="42"/>
      <c r="K36" s="139"/>
      <c r="L36" s="124"/>
    </row>
    <row r="37" spans="1:12" x14ac:dyDescent="0.2">
      <c r="A37" s="20"/>
      <c r="B37" s="122"/>
      <c r="C37" s="122"/>
      <c r="D37" s="80"/>
      <c r="E37" s="23"/>
      <c r="F37" s="42"/>
      <c r="G37" s="42"/>
      <c r="H37" s="42"/>
      <c r="I37" s="42"/>
      <c r="J37" s="42"/>
      <c r="K37" s="139"/>
      <c r="L37" s="124"/>
    </row>
    <row r="38" spans="1:12" x14ac:dyDescent="0.2">
      <c r="A38" s="20"/>
      <c r="B38" s="122"/>
      <c r="C38" s="122"/>
      <c r="D38" s="80"/>
      <c r="E38" s="23"/>
      <c r="F38" s="42"/>
      <c r="G38" s="42"/>
      <c r="H38" s="42"/>
      <c r="I38" s="42"/>
      <c r="J38" s="42"/>
      <c r="K38" s="139"/>
      <c r="L38" s="124"/>
    </row>
    <row r="39" spans="1:12" x14ac:dyDescent="0.2">
      <c r="A39" s="20"/>
      <c r="B39" s="122"/>
      <c r="C39" s="122"/>
      <c r="D39" s="80"/>
      <c r="E39" s="23"/>
      <c r="F39" s="42"/>
      <c r="G39" s="42"/>
      <c r="H39" s="42"/>
      <c r="I39" s="42"/>
      <c r="J39" s="42"/>
      <c r="K39" s="139"/>
      <c r="L39" s="124"/>
    </row>
    <row r="40" spans="1:12" x14ac:dyDescent="0.2">
      <c r="A40" s="20"/>
      <c r="B40" s="122"/>
      <c r="C40" s="122"/>
      <c r="D40" s="80"/>
      <c r="E40" s="23"/>
      <c r="F40" s="42"/>
      <c r="G40" s="42"/>
      <c r="H40" s="42"/>
      <c r="I40" s="42"/>
      <c r="J40" s="42"/>
      <c r="K40" s="139"/>
      <c r="L40" s="124"/>
    </row>
    <row r="41" spans="1:12" x14ac:dyDescent="0.2">
      <c r="A41" s="20"/>
      <c r="B41" s="122"/>
      <c r="C41" s="122"/>
      <c r="D41" s="80"/>
      <c r="E41" s="23"/>
      <c r="F41" s="42"/>
      <c r="G41" s="42"/>
      <c r="H41" s="42"/>
      <c r="I41" s="42"/>
      <c r="J41" s="42"/>
      <c r="K41" s="139"/>
      <c r="L41" s="124"/>
    </row>
    <row r="42" spans="1:12" x14ac:dyDescent="0.2">
      <c r="A42" s="20"/>
      <c r="B42" s="122"/>
      <c r="C42" s="122"/>
      <c r="D42" s="80"/>
      <c r="E42" s="23"/>
      <c r="F42" s="42"/>
      <c r="G42" s="42"/>
      <c r="H42" s="42"/>
      <c r="I42" s="42"/>
      <c r="J42" s="42"/>
      <c r="K42" s="139"/>
      <c r="L42" s="124"/>
    </row>
    <row r="43" spans="1:12" x14ac:dyDescent="0.2">
      <c r="A43" s="20"/>
      <c r="B43" s="122"/>
      <c r="C43" s="122"/>
      <c r="D43" s="80"/>
      <c r="E43" s="23"/>
      <c r="F43" s="42"/>
      <c r="G43" s="42"/>
      <c r="H43" s="42"/>
      <c r="I43" s="42"/>
      <c r="J43" s="42"/>
      <c r="K43" s="139"/>
      <c r="L43" s="124"/>
    </row>
    <row r="44" spans="1:12" x14ac:dyDescent="0.2">
      <c r="A44" s="111"/>
      <c r="B44" s="111"/>
      <c r="C44" s="111"/>
      <c r="D44" s="111"/>
      <c r="E44" s="111"/>
      <c r="F44" s="111"/>
      <c r="G44" s="111"/>
      <c r="H44" s="111"/>
      <c r="I44" s="111"/>
      <c r="J44" s="111"/>
    </row>
    <row r="45" spans="1:12" ht="17.25" customHeight="1" x14ac:dyDescent="0.2">
      <c r="A45" s="111"/>
      <c r="B45" s="111"/>
      <c r="C45" s="111"/>
      <c r="D45" s="111"/>
      <c r="E45" s="111"/>
      <c r="F45" s="111"/>
      <c r="G45" s="111"/>
      <c r="H45" s="111"/>
      <c r="I45" s="111"/>
      <c r="J45" s="111"/>
    </row>
    <row r="46" spans="1:12" x14ac:dyDescent="0.2">
      <c r="A46" s="111"/>
      <c r="B46" s="111"/>
      <c r="C46" s="111"/>
      <c r="D46" s="111"/>
      <c r="E46" s="111"/>
      <c r="F46" s="111"/>
      <c r="G46" s="111"/>
      <c r="H46" s="111"/>
      <c r="I46" s="111"/>
      <c r="J46" s="111"/>
    </row>
    <row r="47" spans="1:12" x14ac:dyDescent="0.2">
      <c r="A47" s="111"/>
      <c r="B47" s="111"/>
      <c r="C47" s="111"/>
      <c r="D47" s="111"/>
      <c r="E47" s="111"/>
      <c r="F47" s="111"/>
      <c r="G47" s="111"/>
      <c r="H47" s="111"/>
      <c r="I47" s="111"/>
      <c r="J47" s="111"/>
      <c r="K47" s="111"/>
    </row>
    <row r="48" spans="1:12" ht="15" x14ac:dyDescent="0.2">
      <c r="A48" s="111"/>
      <c r="B48" s="111"/>
      <c r="C48" s="111"/>
      <c r="D48" s="111"/>
      <c r="E48" s="111"/>
      <c r="F48" s="111"/>
      <c r="G48" s="111"/>
      <c r="H48" s="103"/>
      <c r="I48" s="97"/>
      <c r="J48" s="26"/>
      <c r="K48" s="111"/>
    </row>
    <row r="49" spans="1:12" x14ac:dyDescent="0.2">
      <c r="A49" s="111"/>
      <c r="B49" s="111"/>
      <c r="C49" s="111"/>
      <c r="D49" s="111"/>
      <c r="E49" s="111"/>
      <c r="F49" s="111"/>
      <c r="G49" s="111"/>
      <c r="H49" s="97"/>
      <c r="I49" s="97"/>
      <c r="J49" s="26"/>
      <c r="K49" s="111"/>
    </row>
    <row r="50" spans="1:12" x14ac:dyDescent="0.2">
      <c r="G50" s="111"/>
      <c r="H50" s="97"/>
      <c r="I50" s="97"/>
      <c r="J50" s="26"/>
      <c r="K50" s="111"/>
    </row>
    <row r="51" spans="1:12" x14ac:dyDescent="0.2">
      <c r="G51" s="111"/>
      <c r="H51" s="97"/>
      <c r="I51" s="97"/>
      <c r="J51" s="26"/>
      <c r="K51" s="111"/>
    </row>
    <row r="52" spans="1:12" x14ac:dyDescent="0.2">
      <c r="G52" s="111"/>
      <c r="H52" s="97"/>
      <c r="I52" s="97"/>
      <c r="J52" s="26"/>
      <c r="K52" s="111"/>
    </row>
    <row r="53" spans="1:12" x14ac:dyDescent="0.2">
      <c r="G53" s="111"/>
      <c r="H53" s="111"/>
      <c r="I53" s="111"/>
      <c r="J53" s="111"/>
      <c r="K53" s="111"/>
    </row>
    <row r="54" spans="1:12" x14ac:dyDescent="0.2">
      <c r="G54" s="111"/>
      <c r="H54" s="111"/>
      <c r="I54" s="111"/>
      <c r="J54" s="111"/>
      <c r="K54" s="111"/>
    </row>
    <row r="56" spans="1:12" x14ac:dyDescent="0.2">
      <c r="J56"/>
      <c r="K56"/>
      <c r="L56"/>
    </row>
    <row r="57" spans="1:12" x14ac:dyDescent="0.2">
      <c r="J57"/>
      <c r="K57"/>
      <c r="L57"/>
    </row>
    <row r="58" spans="1:12" x14ac:dyDescent="0.2">
      <c r="J58"/>
      <c r="K58"/>
      <c r="L58"/>
    </row>
    <row r="59" spans="1:12" x14ac:dyDescent="0.2">
      <c r="J59"/>
      <c r="K59"/>
      <c r="L59"/>
    </row>
    <row r="60" spans="1:12" x14ac:dyDescent="0.2">
      <c r="J60"/>
      <c r="K60"/>
      <c r="L60"/>
    </row>
  </sheetData>
  <mergeCells count="1">
    <mergeCell ref="C1:M1"/>
  </mergeCells>
  <printOptions horizontalCentered="1"/>
  <pageMargins left="0.5" right="0.5" top="0.5" bottom="0.5" header="0" footer="0"/>
  <pageSetup scale="9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showGridLines="0" workbookViewId="0">
      <selection activeCell="C7" sqref="C7"/>
    </sheetView>
  </sheetViews>
  <sheetFormatPr defaultColWidth="8.85546875" defaultRowHeight="12.75" x14ac:dyDescent="0.2"/>
  <cols>
    <col min="1" max="7" width="8.28515625" style="30" customWidth="1"/>
    <col min="8" max="8" width="4.85546875" style="30" customWidth="1"/>
    <col min="9" max="14" width="8.28515625" style="30" customWidth="1"/>
    <col min="15" max="15" width="13.140625" style="30" customWidth="1"/>
    <col min="16" max="19" width="8.28515625" style="30" customWidth="1"/>
    <col min="20" max="16384" width="8.85546875" style="30"/>
  </cols>
  <sheetData>
    <row r="1" spans="1:15" ht="15.75" x14ac:dyDescent="0.25">
      <c r="C1" s="164" t="s">
        <v>11</v>
      </c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5" x14ac:dyDescent="0.2">
      <c r="C2" s="151" t="str">
        <f>Table!A7</f>
        <v>Shell Exploration &amp; Production Company</v>
      </c>
      <c r="K2" s="144" t="str">
        <f>Table!L7</f>
        <v>Sample Number:</v>
      </c>
      <c r="O2" s="81" t="str">
        <f>Table!$P$7</f>
        <v>MC 8</v>
      </c>
    </row>
    <row r="3" spans="1:15" x14ac:dyDescent="0.2">
      <c r="C3" s="151" t="str">
        <f>Table!A8</f>
        <v>OSC-Y-2321 Burger J 001</v>
      </c>
      <c r="K3" s="144" t="str">
        <f>Table!L8</f>
        <v>Sample Depth, feet:</v>
      </c>
      <c r="O3" s="138">
        <f>Table!$P$8</f>
        <v>5971</v>
      </c>
    </row>
    <row r="4" spans="1:15" x14ac:dyDescent="0.2">
      <c r="C4" s="151" t="str">
        <f>Table!A9</f>
        <v>Offshore</v>
      </c>
      <c r="K4" s="144" t="str">
        <f>Table!L9</f>
        <v>Permeability to Air (calc), mD:</v>
      </c>
      <c r="M4" s="139"/>
      <c r="N4" s="139"/>
      <c r="O4" s="66">
        <f>Table!$P$9</f>
        <v>3.0522460422915614E-2</v>
      </c>
    </row>
    <row r="5" spans="1:15" x14ac:dyDescent="0.2">
      <c r="C5" s="151" t="str">
        <f>Table!A10</f>
        <v>HH-77445</v>
      </c>
      <c r="D5" s="18"/>
      <c r="E5" s="18"/>
      <c r="F5" s="110"/>
      <c r="G5" s="18"/>
      <c r="K5" s="144" t="str">
        <f>Table!L10</f>
        <v>Porosity, fraction:</v>
      </c>
      <c r="M5" s="139"/>
      <c r="N5" s="139"/>
      <c r="O5" s="66">
        <f>Table!$P$10</f>
        <v>0.13285849206524736</v>
      </c>
    </row>
    <row r="6" spans="1:15" x14ac:dyDescent="0.2">
      <c r="A6" s="139"/>
      <c r="C6" s="175" t="s">
        <v>97</v>
      </c>
      <c r="D6" s="160"/>
      <c r="E6" s="160"/>
      <c r="F6" s="160"/>
      <c r="G6" s="139"/>
      <c r="K6" s="144" t="str">
        <f>Table!L11</f>
        <v>Grain Density, grams/cc:</v>
      </c>
      <c r="M6" s="160"/>
      <c r="N6" s="160"/>
      <c r="O6" s="110">
        <f>Table!$P$11</f>
        <v>2.6702345126763345</v>
      </c>
    </row>
    <row r="7" spans="1:15" x14ac:dyDescent="0.2">
      <c r="B7" s="151"/>
      <c r="D7" s="139"/>
      <c r="E7" s="139"/>
      <c r="I7" s="144"/>
      <c r="K7" s="160"/>
      <c r="L7" s="113"/>
      <c r="M7" s="125"/>
    </row>
    <row r="8" spans="1:15" x14ac:dyDescent="0.2">
      <c r="B8" s="139"/>
      <c r="C8" s="139"/>
      <c r="D8" s="139"/>
      <c r="E8" s="139"/>
      <c r="F8" s="139"/>
    </row>
    <row r="9" spans="1:15" x14ac:dyDescent="0.2">
      <c r="B9" s="139"/>
      <c r="C9" s="139"/>
      <c r="D9" s="139"/>
      <c r="E9" s="139"/>
      <c r="F9" s="139"/>
      <c r="K9" s="160"/>
      <c r="L9" s="113"/>
    </row>
    <row r="10" spans="1:15" x14ac:dyDescent="0.2">
      <c r="B10" s="139"/>
      <c r="C10" s="139"/>
      <c r="D10" s="160"/>
      <c r="E10" s="139"/>
      <c r="F10" s="139"/>
      <c r="K10" s="160"/>
      <c r="L10" s="113"/>
    </row>
    <row r="11" spans="1:15" x14ac:dyDescent="0.2">
      <c r="B11" s="139"/>
      <c r="C11" s="139"/>
      <c r="D11" s="160"/>
      <c r="E11" s="139"/>
      <c r="F11" s="139"/>
      <c r="G11" s="144"/>
      <c r="H11" s="139"/>
      <c r="I11" s="139"/>
      <c r="J11" s="66"/>
      <c r="K11" s="160"/>
      <c r="L11" s="113"/>
    </row>
    <row r="12" spans="1:15" x14ac:dyDescent="0.2">
      <c r="A12" s="151"/>
      <c r="B12" s="139"/>
      <c r="C12" s="139"/>
      <c r="D12" s="139"/>
      <c r="E12" s="139"/>
      <c r="F12" s="139"/>
      <c r="G12" s="139"/>
      <c r="H12" s="139"/>
      <c r="I12" s="123"/>
      <c r="J12" s="160"/>
      <c r="K12" s="160"/>
      <c r="L12" s="113"/>
    </row>
    <row r="13" spans="1:15" x14ac:dyDescent="0.2">
      <c r="A13" s="70"/>
      <c r="B13" s="70"/>
      <c r="C13" s="70"/>
      <c r="D13" s="70"/>
      <c r="E13" s="70"/>
      <c r="F13" s="53"/>
      <c r="G13" s="53"/>
      <c r="H13" s="53"/>
      <c r="I13" s="53"/>
      <c r="J13" s="53"/>
      <c r="K13" s="160"/>
      <c r="L13" s="113"/>
    </row>
    <row r="14" spans="1:15" x14ac:dyDescent="0.2">
      <c r="A14" s="70"/>
      <c r="B14" s="70"/>
      <c r="C14" s="70"/>
      <c r="D14" s="70"/>
      <c r="E14" s="70"/>
      <c r="F14" s="70"/>
      <c r="G14" s="70"/>
      <c r="H14" s="70"/>
      <c r="I14" s="53"/>
      <c r="J14" s="53"/>
      <c r="K14" s="139"/>
      <c r="L14" s="113"/>
    </row>
    <row r="15" spans="1:15" x14ac:dyDescent="0.2">
      <c r="A15" s="70"/>
      <c r="B15" s="70"/>
      <c r="C15" s="70"/>
      <c r="D15" s="70"/>
      <c r="E15" s="70"/>
      <c r="F15" s="70"/>
      <c r="G15" s="70"/>
      <c r="H15" s="70"/>
      <c r="I15" s="53"/>
      <c r="J15" s="53"/>
      <c r="K15" s="139"/>
      <c r="L15" s="113"/>
    </row>
    <row r="16" spans="1:15" x14ac:dyDescent="0.2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139"/>
      <c r="L16" s="41"/>
    </row>
    <row r="17" spans="1:12" x14ac:dyDescent="0.2">
      <c r="A17" s="1"/>
      <c r="B17" s="122"/>
      <c r="C17" s="122"/>
      <c r="D17" s="80"/>
      <c r="E17" s="23"/>
      <c r="F17" s="42"/>
      <c r="G17" s="42"/>
      <c r="H17" s="42"/>
      <c r="I17" s="42"/>
      <c r="J17" s="42"/>
      <c r="K17" s="139"/>
      <c r="L17" s="41"/>
    </row>
    <row r="18" spans="1:12" x14ac:dyDescent="0.2">
      <c r="A18" s="107"/>
      <c r="B18" s="122"/>
      <c r="C18" s="122"/>
      <c r="D18" s="80"/>
      <c r="E18" s="23"/>
      <c r="F18" s="42"/>
      <c r="G18" s="42"/>
      <c r="H18" s="42"/>
      <c r="I18" s="42"/>
      <c r="J18" s="42"/>
      <c r="K18" s="139"/>
      <c r="L18" s="41"/>
    </row>
    <row r="19" spans="1:12" x14ac:dyDescent="0.2">
      <c r="A19" s="107"/>
      <c r="B19" s="122"/>
      <c r="C19" s="122"/>
      <c r="D19" s="80"/>
      <c r="E19" s="23"/>
      <c r="F19" s="42"/>
      <c r="G19" s="42"/>
      <c r="H19" s="42"/>
      <c r="I19" s="42"/>
      <c r="J19" s="42"/>
      <c r="K19" s="139"/>
      <c r="L19" s="83"/>
    </row>
    <row r="20" spans="1:12" x14ac:dyDescent="0.2">
      <c r="A20" s="107"/>
      <c r="B20" s="122"/>
      <c r="C20" s="122"/>
      <c r="D20" s="80"/>
      <c r="E20" s="23"/>
      <c r="F20" s="42"/>
      <c r="G20" s="42"/>
      <c r="H20" s="42"/>
      <c r="I20" s="42"/>
      <c r="J20" s="42"/>
      <c r="K20" s="139"/>
      <c r="L20" s="124"/>
    </row>
    <row r="21" spans="1:12" x14ac:dyDescent="0.2">
      <c r="A21" s="107"/>
      <c r="B21" s="122"/>
      <c r="C21" s="122"/>
      <c r="D21" s="80"/>
      <c r="E21" s="23"/>
      <c r="F21" s="42"/>
      <c r="G21" s="42"/>
      <c r="H21" s="42"/>
      <c r="I21" s="42"/>
      <c r="J21" s="42"/>
      <c r="K21" s="139"/>
      <c r="L21" s="124"/>
    </row>
    <row r="22" spans="1:12" x14ac:dyDescent="0.2">
      <c r="A22" s="107"/>
      <c r="B22" s="122"/>
      <c r="C22" s="122"/>
      <c r="D22" s="80"/>
      <c r="E22" s="23"/>
      <c r="F22" s="42"/>
      <c r="G22" s="42"/>
      <c r="H22" s="42"/>
      <c r="I22" s="42"/>
      <c r="J22" s="42"/>
      <c r="K22" s="139"/>
      <c r="L22" s="124"/>
    </row>
    <row r="23" spans="1:12" x14ac:dyDescent="0.2">
      <c r="A23" s="95"/>
      <c r="B23" s="122"/>
      <c r="C23" s="122"/>
      <c r="D23" s="80"/>
      <c r="E23" s="23"/>
      <c r="F23" s="42"/>
      <c r="G23" s="42"/>
      <c r="H23" s="42"/>
      <c r="I23" s="42"/>
      <c r="J23" s="42"/>
      <c r="K23" s="139"/>
      <c r="L23" s="124"/>
    </row>
    <row r="24" spans="1:12" x14ac:dyDescent="0.2">
      <c r="A24" s="95"/>
      <c r="B24" s="122"/>
      <c r="C24" s="122"/>
      <c r="D24" s="80"/>
      <c r="E24" s="23"/>
      <c r="F24" s="42"/>
      <c r="G24" s="42"/>
      <c r="H24" s="42"/>
      <c r="I24" s="42"/>
      <c r="J24" s="42"/>
      <c r="K24" s="139"/>
      <c r="L24" s="124"/>
    </row>
    <row r="25" spans="1:12" x14ac:dyDescent="0.2">
      <c r="A25" s="95"/>
      <c r="B25" s="122"/>
      <c r="C25" s="122"/>
      <c r="D25" s="80"/>
      <c r="E25" s="23"/>
      <c r="F25" s="42"/>
      <c r="G25" s="42"/>
      <c r="H25" s="42"/>
      <c r="I25" s="42"/>
      <c r="J25" s="42"/>
      <c r="K25" s="139"/>
      <c r="L25" s="124"/>
    </row>
    <row r="26" spans="1:12" x14ac:dyDescent="0.2">
      <c r="A26" s="95"/>
      <c r="B26" s="122"/>
      <c r="C26" s="122"/>
      <c r="D26" s="80"/>
      <c r="E26" s="23"/>
      <c r="F26" s="42"/>
      <c r="G26" s="42"/>
      <c r="H26" s="42"/>
      <c r="I26" s="42"/>
      <c r="J26" s="42"/>
      <c r="K26" s="139"/>
      <c r="L26" s="124"/>
    </row>
    <row r="27" spans="1:12" x14ac:dyDescent="0.2">
      <c r="A27" s="95"/>
      <c r="B27" s="122"/>
      <c r="C27" s="122"/>
      <c r="D27" s="80"/>
      <c r="E27" s="23"/>
      <c r="F27" s="42"/>
      <c r="G27" s="42"/>
      <c r="H27" s="42"/>
      <c r="I27" s="42"/>
      <c r="J27" s="42"/>
      <c r="K27" s="139"/>
      <c r="L27" s="124"/>
    </row>
    <row r="28" spans="1:12" x14ac:dyDescent="0.2">
      <c r="A28" s="92"/>
      <c r="B28" s="122"/>
      <c r="C28" s="122"/>
      <c r="D28" s="80"/>
      <c r="E28" s="23"/>
      <c r="F28" s="42"/>
      <c r="G28" s="42"/>
      <c r="H28" s="42"/>
      <c r="I28" s="42"/>
      <c r="J28" s="42"/>
      <c r="K28" s="139"/>
      <c r="L28" s="124"/>
    </row>
    <row r="29" spans="1:12" x14ac:dyDescent="0.2">
      <c r="A29" s="92"/>
      <c r="B29" s="122"/>
      <c r="C29" s="122"/>
      <c r="D29" s="80"/>
      <c r="E29" s="23"/>
      <c r="F29" s="42"/>
      <c r="G29" s="42"/>
      <c r="H29" s="42"/>
      <c r="I29" s="42"/>
      <c r="J29" s="42"/>
      <c r="K29" s="139"/>
      <c r="L29" s="124"/>
    </row>
    <row r="30" spans="1:12" x14ac:dyDescent="0.2">
      <c r="A30" s="92"/>
      <c r="B30" s="122"/>
      <c r="C30" s="122"/>
      <c r="D30" s="80"/>
      <c r="E30" s="23"/>
      <c r="F30" s="42"/>
      <c r="G30" s="42"/>
      <c r="H30" s="42"/>
      <c r="I30" s="42"/>
      <c r="J30" s="42"/>
      <c r="K30" s="139"/>
      <c r="L30" s="124"/>
    </row>
    <row r="31" spans="1:12" x14ac:dyDescent="0.2">
      <c r="A31" s="92"/>
      <c r="B31" s="122"/>
      <c r="C31" s="122"/>
      <c r="D31" s="80"/>
      <c r="E31" s="23"/>
      <c r="F31" s="42"/>
      <c r="G31" s="42"/>
      <c r="H31" s="42"/>
      <c r="I31" s="42"/>
      <c r="J31" s="42"/>
      <c r="K31" s="139"/>
      <c r="L31" s="124"/>
    </row>
    <row r="32" spans="1:12" x14ac:dyDescent="0.2">
      <c r="A32" s="92"/>
      <c r="B32" s="122"/>
      <c r="C32" s="122"/>
      <c r="D32" s="80"/>
      <c r="E32" s="23"/>
      <c r="F32" s="42"/>
      <c r="G32" s="42"/>
      <c r="H32" s="42"/>
      <c r="I32" s="42"/>
      <c r="J32" s="42"/>
      <c r="K32" s="139"/>
      <c r="L32" s="124"/>
    </row>
    <row r="33" spans="1:13" x14ac:dyDescent="0.2">
      <c r="A33" s="20"/>
      <c r="B33" s="122"/>
      <c r="C33" s="122"/>
      <c r="D33" s="80"/>
      <c r="E33" s="23"/>
      <c r="F33" s="42"/>
      <c r="G33" s="42"/>
      <c r="H33" s="42"/>
      <c r="I33" s="42"/>
      <c r="J33" s="42"/>
      <c r="K33" s="139"/>
      <c r="L33" s="124"/>
    </row>
    <row r="34" spans="1:13" x14ac:dyDescent="0.2">
      <c r="A34" s="20"/>
      <c r="B34" s="122"/>
      <c r="C34" s="122"/>
      <c r="D34" s="80"/>
      <c r="E34" s="23"/>
      <c r="F34" s="42"/>
      <c r="G34" s="42"/>
      <c r="H34" s="42"/>
      <c r="I34" s="42"/>
      <c r="J34" s="42"/>
      <c r="K34" s="139"/>
      <c r="L34" s="124"/>
    </row>
    <row r="35" spans="1:13" x14ac:dyDescent="0.2">
      <c r="A35" s="20"/>
      <c r="B35" s="122"/>
      <c r="C35" s="122"/>
      <c r="D35" s="80"/>
      <c r="E35" s="23"/>
      <c r="F35" s="42"/>
      <c r="G35" s="42"/>
      <c r="H35" s="42"/>
      <c r="I35" s="42"/>
      <c r="J35" s="42"/>
      <c r="K35" s="139"/>
      <c r="L35" s="124"/>
    </row>
    <row r="36" spans="1:13" x14ac:dyDescent="0.2">
      <c r="A36" s="20"/>
      <c r="B36" s="122"/>
      <c r="C36" s="122"/>
      <c r="D36" s="80"/>
      <c r="E36" s="23"/>
      <c r="F36" s="42"/>
      <c r="G36" s="42"/>
      <c r="H36" s="42"/>
      <c r="I36" s="42"/>
      <c r="J36" s="42"/>
      <c r="K36" s="139"/>
      <c r="L36" s="124"/>
    </row>
    <row r="37" spans="1:13" x14ac:dyDescent="0.2">
      <c r="A37" s="20"/>
      <c r="B37" s="122"/>
      <c r="C37" s="122"/>
      <c r="D37" s="80"/>
      <c r="E37" s="23"/>
      <c r="F37" s="42"/>
      <c r="G37" s="42"/>
      <c r="H37" s="42"/>
      <c r="I37" s="42"/>
      <c r="J37" s="42"/>
      <c r="K37"/>
      <c r="L37"/>
      <c r="M37"/>
    </row>
    <row r="38" spans="1:13" x14ac:dyDescent="0.2">
      <c r="A38" s="20"/>
      <c r="B38" s="122"/>
      <c r="C38" s="122"/>
      <c r="D38" s="80"/>
      <c r="E38" s="23"/>
      <c r="F38" s="42"/>
      <c r="G38" s="42"/>
      <c r="H38" s="42"/>
      <c r="I38" s="42"/>
      <c r="J38" s="42"/>
      <c r="K38"/>
      <c r="L38"/>
      <c r="M38"/>
    </row>
    <row r="39" spans="1:13" x14ac:dyDescent="0.2">
      <c r="A39" s="20"/>
      <c r="B39" s="122"/>
      <c r="C39" s="122"/>
      <c r="D39" s="80"/>
      <c r="E39" s="23"/>
      <c r="F39" s="42"/>
      <c r="G39" s="42"/>
      <c r="H39" s="42"/>
      <c r="I39" s="42"/>
      <c r="J39" s="42"/>
      <c r="K39"/>
      <c r="L39"/>
      <c r="M39"/>
    </row>
    <row r="40" spans="1:13" x14ac:dyDescent="0.2">
      <c r="A40" s="20"/>
      <c r="B40" s="122"/>
      <c r="C40" s="122"/>
      <c r="D40" s="80"/>
      <c r="E40" s="23"/>
      <c r="F40" s="42"/>
      <c r="G40" s="42"/>
      <c r="H40" s="42"/>
      <c r="I40" s="42"/>
      <c r="J40" s="42"/>
      <c r="K40"/>
      <c r="L40"/>
      <c r="M40"/>
    </row>
    <row r="41" spans="1:13" x14ac:dyDescent="0.2">
      <c r="A41" s="20"/>
      <c r="B41" s="122"/>
      <c r="C41" s="122"/>
      <c r="D41" s="80"/>
      <c r="E41" s="23"/>
      <c r="F41" s="42"/>
      <c r="G41" s="42"/>
      <c r="H41" s="42"/>
      <c r="I41" s="42"/>
      <c r="J41" s="42"/>
      <c r="K41"/>
      <c r="L41"/>
      <c r="M41"/>
    </row>
    <row r="42" spans="1:13" x14ac:dyDescent="0.2">
      <c r="A42" s="20"/>
      <c r="B42" s="122"/>
      <c r="C42" s="122"/>
      <c r="D42" s="80"/>
      <c r="E42" s="23"/>
      <c r="F42" s="42"/>
      <c r="G42" s="42"/>
      <c r="H42" s="42"/>
      <c r="I42" s="42"/>
      <c r="J42" s="42"/>
      <c r="K42" s="139"/>
      <c r="L42" s="124"/>
    </row>
    <row r="43" spans="1:13" x14ac:dyDescent="0.2">
      <c r="A43" s="111"/>
      <c r="B43" s="111"/>
      <c r="C43" s="111"/>
      <c r="D43" s="111"/>
      <c r="E43" s="111"/>
      <c r="F43" s="111"/>
      <c r="G43" s="111"/>
      <c r="H43" s="111"/>
      <c r="I43" s="111"/>
      <c r="J43" s="111"/>
    </row>
    <row r="44" spans="1:13" x14ac:dyDescent="0.2">
      <c r="A44" s="111"/>
      <c r="B44" s="111"/>
      <c r="C44" s="111"/>
      <c r="D44" s="111"/>
      <c r="E44" s="111"/>
      <c r="F44" s="111"/>
      <c r="G44" s="111"/>
      <c r="H44" s="111"/>
      <c r="I44" s="111"/>
      <c r="J44" s="111"/>
    </row>
    <row r="45" spans="1:13" x14ac:dyDescent="0.2">
      <c r="A45" s="111"/>
      <c r="B45" s="111"/>
      <c r="C45" s="111"/>
      <c r="D45" s="111"/>
      <c r="E45" s="111"/>
      <c r="F45" s="111"/>
      <c r="G45" s="111"/>
      <c r="H45" s="111"/>
      <c r="I45" s="111"/>
      <c r="J45" s="111"/>
    </row>
    <row r="46" spans="1:13" x14ac:dyDescent="0.2">
      <c r="A46" s="111"/>
      <c r="B46" s="111"/>
      <c r="C46" s="111"/>
      <c r="D46" s="111"/>
      <c r="E46" s="111"/>
      <c r="F46" s="111"/>
      <c r="G46" s="111"/>
      <c r="H46" s="111"/>
      <c r="I46" s="111"/>
      <c r="J46" s="111"/>
    </row>
    <row r="47" spans="1:13" x14ac:dyDescent="0.2">
      <c r="A47" s="111"/>
      <c r="B47" s="111"/>
      <c r="C47" s="111"/>
      <c r="D47" s="111"/>
      <c r="E47" s="111"/>
      <c r="F47" s="111"/>
      <c r="G47" s="111"/>
    </row>
    <row r="48" spans="1:13" x14ac:dyDescent="0.2">
      <c r="A48" s="111"/>
      <c r="B48" s="111"/>
      <c r="C48" s="111"/>
      <c r="D48" s="111"/>
      <c r="E48" s="111"/>
      <c r="F48" s="111"/>
      <c r="G48" s="111"/>
    </row>
    <row r="55" spans="10:12" x14ac:dyDescent="0.2">
      <c r="J55"/>
      <c r="K55"/>
      <c r="L55"/>
    </row>
    <row r="56" spans="10:12" x14ac:dyDescent="0.2">
      <c r="J56"/>
      <c r="K56"/>
      <c r="L56"/>
    </row>
    <row r="57" spans="10:12" x14ac:dyDescent="0.2">
      <c r="J57"/>
      <c r="K57"/>
      <c r="L57"/>
    </row>
    <row r="58" spans="10:12" x14ac:dyDescent="0.2">
      <c r="J58"/>
      <c r="K58"/>
      <c r="L58"/>
    </row>
    <row r="59" spans="10:12" x14ac:dyDescent="0.2">
      <c r="J59"/>
      <c r="K59"/>
      <c r="L59"/>
    </row>
  </sheetData>
  <mergeCells count="1">
    <mergeCell ref="C1:M1"/>
  </mergeCells>
  <printOptions horizontalCentered="1"/>
  <pageMargins left="0.5" right="0.5" top="0.5" bottom="0.5" header="0" footer="0"/>
  <pageSetup scale="74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ntry="1"/>
  <dimension ref="A1:AV190"/>
  <sheetViews>
    <sheetView showGridLines="0" tabSelected="1" workbookViewId="0">
      <pane xSplit="2" ySplit="16" topLeftCell="C17" activePane="bottomRight" state="frozen"/>
      <selection pane="topRight" activeCell="C1" sqref="C1"/>
      <selection pane="bottomLeft" activeCell="A17" sqref="A17"/>
      <selection pane="bottomRight" activeCell="A12" sqref="A12"/>
    </sheetView>
  </sheetViews>
  <sheetFormatPr defaultColWidth="8.85546875" defaultRowHeight="12.75" x14ac:dyDescent="0.2"/>
  <cols>
    <col min="1" max="2" width="8.85546875" style="30"/>
    <col min="3" max="3" width="11.140625" style="30" customWidth="1"/>
    <col min="4" max="4" width="16.28515625" style="30" customWidth="1"/>
    <col min="5" max="8" width="10.85546875" style="30" customWidth="1"/>
    <col min="9" max="9" width="11.140625" style="30" customWidth="1"/>
    <col min="10" max="10" width="11.85546875" style="30" customWidth="1"/>
    <col min="11" max="11" width="9.85546875" style="30" bestFit="1" customWidth="1"/>
    <col min="12" max="12" width="10.5703125" style="30" customWidth="1"/>
    <col min="13" max="14" width="10.5703125" style="30" bestFit="1" customWidth="1"/>
    <col min="15" max="15" width="8.85546875" style="30" customWidth="1"/>
    <col min="16" max="16" width="10.5703125" style="30" bestFit="1" customWidth="1"/>
    <col min="17" max="17" width="9.5703125" style="30" customWidth="1"/>
    <col min="18" max="18" width="8.85546875" style="30" customWidth="1"/>
    <col min="19" max="19" width="10.85546875" style="30" customWidth="1"/>
    <col min="20" max="20" width="11.140625" style="30" customWidth="1"/>
    <col min="21" max="21" width="9.28515625" style="30" customWidth="1"/>
    <col min="22" max="22" width="10.7109375" style="30" customWidth="1"/>
    <col min="23" max="23" width="10.5703125" style="30" customWidth="1"/>
    <col min="24" max="24" width="11" style="30" customWidth="1"/>
    <col min="25" max="25" width="9.140625"/>
    <col min="26" max="26" width="13" style="30" customWidth="1"/>
    <col min="27" max="28" width="8.85546875" style="30"/>
    <col min="29" max="29" width="12.140625" style="30" bestFit="1" customWidth="1"/>
    <col min="30" max="39" width="8.85546875" style="30"/>
    <col min="40" max="40" width="15.85546875" style="30" customWidth="1"/>
    <col min="41" max="43" width="8.85546875" style="30"/>
    <col min="44" max="48" width="8.85546875" style="111"/>
    <col min="49" max="16384" width="8.85546875" style="30"/>
  </cols>
  <sheetData>
    <row r="1" spans="1:48" x14ac:dyDescent="0.2">
      <c r="P1" s="7"/>
      <c r="Q1" s="7"/>
      <c r="Z1" s="2" t="s">
        <v>50</v>
      </c>
      <c r="AA1" s="89"/>
      <c r="AB1" s="89"/>
      <c r="AC1" s="102"/>
      <c r="AD1" s="102"/>
    </row>
    <row r="2" spans="1:48" x14ac:dyDescent="0.2">
      <c r="Z2" s="131"/>
      <c r="AA2" s="100"/>
      <c r="AB2" s="47" t="s">
        <v>66</v>
      </c>
      <c r="AC2" s="47" t="s">
        <v>51</v>
      </c>
      <c r="AD2" s="58" t="s">
        <v>0</v>
      </c>
      <c r="AE2" s="35" t="s">
        <v>28</v>
      </c>
      <c r="AJ2" s="30">
        <v>74.67</v>
      </c>
    </row>
    <row r="3" spans="1:48" x14ac:dyDescent="0.2">
      <c r="P3" s="150"/>
      <c r="Q3" s="150"/>
      <c r="Z3" s="11" t="s">
        <v>82</v>
      </c>
      <c r="AA3" s="83"/>
      <c r="AB3" s="115">
        <v>140</v>
      </c>
      <c r="AC3" s="41"/>
      <c r="AD3" s="140"/>
      <c r="AE3" s="134"/>
      <c r="AJ3" s="30">
        <v>13.5512</v>
      </c>
    </row>
    <row r="4" spans="1:48" x14ac:dyDescent="0.2">
      <c r="Z4" s="11" t="s">
        <v>22</v>
      </c>
      <c r="AA4" s="83"/>
      <c r="AB4" s="115">
        <v>485</v>
      </c>
      <c r="AC4" s="41"/>
      <c r="AD4" s="140"/>
      <c r="AE4" s="134"/>
      <c r="AJ4" s="30">
        <v>195.25400000000002</v>
      </c>
      <c r="AN4" s="170" t="s">
        <v>30</v>
      </c>
      <c r="AO4" s="171"/>
      <c r="AP4" s="172"/>
      <c r="AR4" s="169"/>
      <c r="AS4" s="169"/>
      <c r="AT4" s="169"/>
    </row>
    <row r="5" spans="1:48" ht="15.75" x14ac:dyDescent="0.25">
      <c r="A5" s="164" t="s">
        <v>11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89"/>
      <c r="R5" s="160"/>
      <c r="S5" s="160"/>
      <c r="T5" s="160"/>
      <c r="U5" s="160"/>
      <c r="V5" s="160"/>
      <c r="W5" s="160"/>
      <c r="X5" s="160"/>
      <c r="Z5" s="11" t="s">
        <v>31</v>
      </c>
      <c r="AA5" s="83"/>
      <c r="AB5" s="41"/>
      <c r="AC5" s="121">
        <v>0</v>
      </c>
      <c r="AD5" s="121">
        <v>0</v>
      </c>
      <c r="AE5" s="40">
        <v>30</v>
      </c>
      <c r="AJ5" s="30">
        <v>17.7377</v>
      </c>
      <c r="AN5" s="105" t="s">
        <v>44</v>
      </c>
      <c r="AO5" s="105" t="s">
        <v>33</v>
      </c>
      <c r="AP5" s="105" t="s">
        <v>55</v>
      </c>
      <c r="AR5" s="37"/>
      <c r="AS5" s="37"/>
      <c r="AT5" s="37"/>
    </row>
    <row r="6" spans="1:48" x14ac:dyDescent="0.2">
      <c r="A6" s="139"/>
      <c r="B6" s="160"/>
      <c r="C6" s="160"/>
      <c r="D6" s="139"/>
      <c r="E6" s="139"/>
      <c r="F6" s="139"/>
      <c r="G6" s="139"/>
      <c r="H6" s="139"/>
      <c r="I6" s="139"/>
      <c r="J6" s="139"/>
      <c r="K6" s="160"/>
      <c r="L6" s="160"/>
      <c r="M6" s="160"/>
      <c r="N6" s="139"/>
      <c r="O6" s="160"/>
      <c r="P6" s="160"/>
      <c r="Q6" s="160"/>
      <c r="R6" s="160"/>
      <c r="S6" s="160"/>
      <c r="T6" s="160"/>
      <c r="U6" s="160"/>
      <c r="V6" s="160"/>
      <c r="W6" s="160"/>
      <c r="X6" s="160"/>
      <c r="Z6" s="11" t="s">
        <v>29</v>
      </c>
      <c r="AA6" s="83"/>
      <c r="AB6" s="41"/>
      <c r="AC6" s="118">
        <v>70</v>
      </c>
      <c r="AD6" s="115">
        <v>24</v>
      </c>
      <c r="AE6" s="126">
        <v>35</v>
      </c>
      <c r="AN6" s="44" t="s">
        <v>46</v>
      </c>
      <c r="AO6" s="44" t="s">
        <v>25</v>
      </c>
      <c r="AP6" s="44" t="s">
        <v>25</v>
      </c>
      <c r="AR6" s="37"/>
      <c r="AS6" s="37"/>
      <c r="AT6" s="37"/>
    </row>
    <row r="7" spans="1:48" ht="12.4" customHeight="1" x14ac:dyDescent="0.2">
      <c r="A7" s="57" t="s">
        <v>92</v>
      </c>
      <c r="B7" s="139"/>
      <c r="C7" s="139"/>
      <c r="D7" s="160"/>
      <c r="E7" s="160"/>
      <c r="F7" s="160"/>
      <c r="G7" s="160"/>
      <c r="H7" s="160"/>
      <c r="I7" s="160"/>
      <c r="J7" s="160"/>
      <c r="K7" s="139"/>
      <c r="L7" s="30" t="s">
        <v>40</v>
      </c>
      <c r="P7" s="81" t="s">
        <v>91</v>
      </c>
      <c r="Q7" s="81"/>
      <c r="R7" s="160"/>
      <c r="S7" s="160"/>
      <c r="T7" s="160"/>
      <c r="U7" s="160"/>
      <c r="V7" s="160"/>
      <c r="W7" s="160"/>
      <c r="X7" s="160"/>
      <c r="Z7" s="5" t="s">
        <v>24</v>
      </c>
      <c r="AA7" s="64"/>
      <c r="AB7" s="25"/>
      <c r="AC7" s="118">
        <v>0</v>
      </c>
      <c r="AD7" s="69"/>
      <c r="AE7" s="126">
        <v>30</v>
      </c>
      <c r="AN7" s="51" t="s">
        <v>81</v>
      </c>
      <c r="AO7" s="137">
        <v>1</v>
      </c>
      <c r="AP7" s="137">
        <f t="shared" ref="AP7:AP27" si="0">AO7-AO8</f>
        <v>0.10998197442315327</v>
      </c>
      <c r="AR7" s="135" t="s">
        <v>81</v>
      </c>
      <c r="AS7" s="62"/>
      <c r="AT7" s="62"/>
      <c r="AU7" s="48"/>
      <c r="AV7" s="48"/>
    </row>
    <row r="8" spans="1:48" ht="12.4" customHeight="1" x14ac:dyDescent="0.2">
      <c r="A8" s="173" t="s">
        <v>96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30" t="s">
        <v>93</v>
      </c>
      <c r="P8" s="138">
        <v>5971</v>
      </c>
      <c r="Q8" s="161"/>
      <c r="R8" s="160"/>
      <c r="S8" s="160"/>
      <c r="T8" s="160"/>
      <c r="U8" s="160"/>
      <c r="V8" s="160"/>
      <c r="W8" s="160"/>
      <c r="X8" s="160"/>
      <c r="Z8" s="22" t="s">
        <v>80</v>
      </c>
      <c r="AA8" s="63"/>
      <c r="AB8" s="24"/>
      <c r="AC8" s="56">
        <v>50</v>
      </c>
      <c r="AD8" s="13"/>
      <c r="AE8" s="159">
        <v>25</v>
      </c>
      <c r="AN8" s="99">
        <f>E135</f>
        <v>1.9938247118867092E-3</v>
      </c>
      <c r="AO8" s="137">
        <f>B135</f>
        <v>0.89001802557684673</v>
      </c>
      <c r="AP8" s="137">
        <f t="shared" si="0"/>
        <v>4.3864988498907298E-3</v>
      </c>
      <c r="AR8" s="27">
        <v>1.8387307309880479E-3</v>
      </c>
      <c r="AS8" s="62"/>
      <c r="AT8" s="62"/>
      <c r="AU8" s="39"/>
      <c r="AV8" s="49"/>
    </row>
    <row r="9" spans="1:48" ht="12.4" customHeight="1" x14ac:dyDescent="0.2">
      <c r="A9" s="151" t="s">
        <v>94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44" t="s">
        <v>74</v>
      </c>
      <c r="N9" s="139"/>
      <c r="O9" s="139"/>
      <c r="P9" s="163">
        <f>MAX(V18:V136)</f>
        <v>3.0522460422915614E-2</v>
      </c>
      <c r="Q9" s="120"/>
      <c r="R9" s="160"/>
      <c r="S9" s="160"/>
      <c r="T9" s="160"/>
      <c r="U9" s="160"/>
      <c r="V9" s="160"/>
      <c r="W9" s="160"/>
      <c r="X9" s="160"/>
      <c r="Z9" s="21" t="s">
        <v>10</v>
      </c>
      <c r="AA9" s="64"/>
      <c r="AB9" s="64"/>
      <c r="AC9" s="33">
        <f>ABS($AC$6*COS($AC$5*PI()/180))</f>
        <v>70</v>
      </c>
      <c r="AD9" s="33">
        <f>ABS($AD$6*COS($AD$5*PI()/180))</f>
        <v>24</v>
      </c>
      <c r="AE9" s="101">
        <f>ABS($AE$6*COS($AE$5*PI()/180))</f>
        <v>30.310889132455355</v>
      </c>
      <c r="AN9" s="99">
        <f>E133</f>
        <v>2.3851791727039569E-3</v>
      </c>
      <c r="AO9" s="137">
        <f>B133</f>
        <v>0.885631526726956</v>
      </c>
      <c r="AP9" s="137">
        <f t="shared" si="0"/>
        <v>3.5642624054225136E-2</v>
      </c>
      <c r="AR9" s="27">
        <v>2.3796891258599209E-3</v>
      </c>
      <c r="AS9" s="62"/>
      <c r="AT9" s="62"/>
      <c r="AU9" s="39"/>
      <c r="AV9" s="49"/>
    </row>
    <row r="10" spans="1:48" ht="12.4" customHeight="1" x14ac:dyDescent="0.2">
      <c r="A10" s="98" t="s">
        <v>95</v>
      </c>
      <c r="B10" s="139"/>
      <c r="C10" s="139"/>
      <c r="D10" s="160"/>
      <c r="E10" s="160"/>
      <c r="F10" s="160"/>
      <c r="G10" s="160"/>
      <c r="H10" s="160"/>
      <c r="I10" s="160"/>
      <c r="J10" s="160"/>
      <c r="K10" s="139"/>
      <c r="L10" s="144" t="s">
        <v>52</v>
      </c>
      <c r="N10" s="139"/>
      <c r="O10" s="139"/>
      <c r="P10" s="66">
        <f>'Raw Data'!M10</f>
        <v>0.13285849206524736</v>
      </c>
      <c r="Q10" s="66"/>
      <c r="R10" s="160"/>
      <c r="S10" s="160"/>
      <c r="T10" s="160"/>
      <c r="U10" s="160"/>
      <c r="V10" s="160"/>
      <c r="W10" s="160"/>
      <c r="X10" s="160"/>
      <c r="Z10" s="36" t="s">
        <v>60</v>
      </c>
      <c r="AA10" s="63"/>
      <c r="AB10" s="63"/>
      <c r="AC10" s="132">
        <f>ABS($AC$8*COS($AC$7*PI()/180))</f>
        <v>50</v>
      </c>
      <c r="AD10" s="24"/>
      <c r="AE10" s="128">
        <f>ABS($AE$8*COS($AE$7*PI()/180))</f>
        <v>21.650635094610969</v>
      </c>
      <c r="AN10" s="99">
        <f>E125</f>
        <v>4.8991725720402878E-3</v>
      </c>
      <c r="AO10" s="137">
        <f>$B125</f>
        <v>0.84998890267273086</v>
      </c>
      <c r="AP10" s="137">
        <f t="shared" si="0"/>
        <v>3.9878902725248522E-2</v>
      </c>
      <c r="AR10" s="27">
        <v>4.918869133300207E-3</v>
      </c>
      <c r="AS10" s="62"/>
      <c r="AT10" s="62"/>
      <c r="AU10" s="39"/>
      <c r="AV10" s="49"/>
    </row>
    <row r="11" spans="1:48" ht="12.4" customHeight="1" x14ac:dyDescent="0.2">
      <c r="A11" s="174" t="s">
        <v>97</v>
      </c>
      <c r="B11" s="139"/>
      <c r="C11" s="139"/>
      <c r="D11" s="160"/>
      <c r="E11" s="160"/>
      <c r="F11" s="160"/>
      <c r="G11" s="160"/>
      <c r="H11" s="160"/>
      <c r="I11" s="160"/>
      <c r="J11" s="160"/>
      <c r="K11" s="139"/>
      <c r="L11" s="30" t="s">
        <v>23</v>
      </c>
      <c r="P11" s="110">
        <f>'Raw Data'!M11</f>
        <v>2.6702345126763345</v>
      </c>
      <c r="Q11" s="110"/>
      <c r="R11" s="160"/>
      <c r="V11" s="160"/>
      <c r="W11" s="160"/>
      <c r="X11" s="160"/>
      <c r="Z11" s="139"/>
      <c r="AA11" s="88" t="s">
        <v>47</v>
      </c>
      <c r="AB11" s="14"/>
      <c r="AC11" s="14"/>
      <c r="AD11" s="106"/>
      <c r="AN11" s="99">
        <f>E120</f>
        <v>7.641272191922099E-3</v>
      </c>
      <c r="AO11" s="137">
        <f>$B120</f>
        <v>0.81010999994748234</v>
      </c>
      <c r="AP11" s="137">
        <f t="shared" si="0"/>
        <v>3.2964596879400898E-2</v>
      </c>
      <c r="AR11" s="27">
        <v>7.6659819593601552E-3</v>
      </c>
      <c r="AS11" s="62"/>
      <c r="AT11" s="62"/>
      <c r="AU11" s="39"/>
      <c r="AV11" s="49"/>
    </row>
    <row r="12" spans="1:48" ht="12.4" customHeight="1" x14ac:dyDescent="0.2">
      <c r="B12" s="139"/>
      <c r="C12" s="139"/>
      <c r="D12" s="148"/>
      <c r="E12" s="139"/>
      <c r="F12" s="139"/>
      <c r="G12" s="139"/>
      <c r="H12" s="139"/>
      <c r="I12" s="139"/>
      <c r="J12" s="139"/>
      <c r="K12" s="139"/>
      <c r="L12" s="139"/>
      <c r="M12" s="144"/>
      <c r="N12" s="139"/>
      <c r="O12" s="139"/>
      <c r="P12" s="125"/>
      <c r="Q12" s="125"/>
      <c r="R12" s="160"/>
      <c r="S12" s="160"/>
      <c r="T12" s="160"/>
      <c r="U12" s="160"/>
      <c r="V12" s="160"/>
      <c r="W12" s="160"/>
      <c r="X12" s="160"/>
      <c r="Z12" s="139"/>
      <c r="AA12" s="146" t="s">
        <v>71</v>
      </c>
      <c r="AB12" s="100"/>
      <c r="AC12" s="94">
        <v>0.433</v>
      </c>
      <c r="AD12" s="160"/>
      <c r="AN12" s="137">
        <f>E117</f>
        <v>1.0025615666472559E-2</v>
      </c>
      <c r="AO12" s="137">
        <f>$B117</f>
        <v>0.77714540306808144</v>
      </c>
      <c r="AP12" s="137">
        <f t="shared" si="0"/>
        <v>0.16857605192488134</v>
      </c>
      <c r="AR12" s="62">
        <v>1.0017670706649362E-2</v>
      </c>
      <c r="AS12" s="62"/>
      <c r="AT12" s="62"/>
      <c r="AU12" s="39"/>
      <c r="AV12" s="49"/>
    </row>
    <row r="13" spans="1:48" ht="12.4" customHeight="1" x14ac:dyDescent="0.2">
      <c r="Z13" s="139"/>
      <c r="AA13" s="5" t="s">
        <v>14</v>
      </c>
      <c r="AB13" s="64"/>
      <c r="AC13" s="9">
        <v>0.34599999999999997</v>
      </c>
      <c r="AD13" s="139"/>
      <c r="AN13" s="137">
        <f>E107</f>
        <v>2.4645842377517338E-2</v>
      </c>
      <c r="AO13" s="137">
        <f>$B107</f>
        <v>0.6085693511432001</v>
      </c>
      <c r="AP13" s="137">
        <f t="shared" si="0"/>
        <v>0.17669969113420575</v>
      </c>
      <c r="AR13" s="62">
        <v>2.4302503920103202E-2</v>
      </c>
      <c r="AS13" s="62"/>
      <c r="AT13" s="62"/>
      <c r="AU13" s="39"/>
      <c r="AV13" s="49"/>
    </row>
    <row r="14" spans="1:48" ht="12.4" customHeight="1" x14ac:dyDescent="0.2">
      <c r="A14" s="133" t="s">
        <v>84</v>
      </c>
      <c r="B14" s="133" t="s">
        <v>62</v>
      </c>
      <c r="C14" s="133" t="s">
        <v>45</v>
      </c>
      <c r="D14" s="142" t="s">
        <v>90</v>
      </c>
      <c r="E14" s="133" t="s">
        <v>88</v>
      </c>
      <c r="F14" s="133" t="s">
        <v>88</v>
      </c>
      <c r="G14" s="133" t="s">
        <v>13</v>
      </c>
      <c r="H14" s="133" t="s">
        <v>16</v>
      </c>
      <c r="I14" s="133" t="s">
        <v>67</v>
      </c>
      <c r="J14" s="133" t="s">
        <v>79</v>
      </c>
      <c r="K14" s="133"/>
      <c r="L14" s="61" t="s">
        <v>85</v>
      </c>
      <c r="M14" s="34"/>
      <c r="N14" s="155"/>
      <c r="O14" s="61" t="s">
        <v>17</v>
      </c>
      <c r="P14" s="155"/>
      <c r="Q14" s="155" t="s">
        <v>7</v>
      </c>
      <c r="R14" s="133" t="s">
        <v>62</v>
      </c>
      <c r="S14" s="133" t="s">
        <v>37</v>
      </c>
      <c r="T14" s="133" t="s">
        <v>58</v>
      </c>
      <c r="U14" s="133"/>
      <c r="V14" s="133" t="s">
        <v>27</v>
      </c>
      <c r="W14" s="133" t="s">
        <v>86</v>
      </c>
      <c r="X14" s="133" t="s">
        <v>86</v>
      </c>
      <c r="Z14" s="139"/>
      <c r="AA14" s="22" t="s">
        <v>12</v>
      </c>
      <c r="AB14" s="63"/>
      <c r="AC14" s="38">
        <v>0.1</v>
      </c>
      <c r="AD14" s="139"/>
      <c r="AN14" s="137">
        <f>E99</f>
        <v>5.0592326077910289E-2</v>
      </c>
      <c r="AO14" s="137">
        <f>$B99</f>
        <v>0.43186966000899435</v>
      </c>
      <c r="AP14" s="137">
        <f t="shared" si="0"/>
        <v>8.2750430466116409E-2</v>
      </c>
      <c r="AR14" s="62">
        <v>4.9484801750667114E-2</v>
      </c>
      <c r="AS14" s="62"/>
      <c r="AT14" s="62"/>
      <c r="AU14" s="39"/>
      <c r="AV14" s="49"/>
    </row>
    <row r="15" spans="1:48" ht="12.4" customHeight="1" x14ac:dyDescent="0.2">
      <c r="A15" s="141" t="s">
        <v>77</v>
      </c>
      <c r="B15" s="141" t="s">
        <v>5</v>
      </c>
      <c r="C15" s="141" t="s">
        <v>5</v>
      </c>
      <c r="D15" s="149" t="s">
        <v>69</v>
      </c>
      <c r="E15" s="141" t="s">
        <v>78</v>
      </c>
      <c r="F15" s="141" t="s">
        <v>53</v>
      </c>
      <c r="G15" s="141" t="s">
        <v>32</v>
      </c>
      <c r="H15" s="141" t="s">
        <v>32</v>
      </c>
      <c r="I15" s="141" t="s">
        <v>75</v>
      </c>
      <c r="J15" s="141" t="s">
        <v>75</v>
      </c>
      <c r="K15" s="141" t="s">
        <v>87</v>
      </c>
      <c r="L15" s="133" t="s">
        <v>73</v>
      </c>
      <c r="M15" s="133" t="s">
        <v>4</v>
      </c>
      <c r="N15" s="133" t="s">
        <v>41</v>
      </c>
      <c r="O15" s="157" t="s">
        <v>1</v>
      </c>
      <c r="P15" s="72"/>
      <c r="Q15" s="72" t="s">
        <v>8</v>
      </c>
      <c r="R15" s="141" t="s">
        <v>33</v>
      </c>
      <c r="S15" s="141" t="s">
        <v>43</v>
      </c>
      <c r="T15" s="141" t="s">
        <v>86</v>
      </c>
      <c r="U15" s="141" t="s">
        <v>27</v>
      </c>
      <c r="V15" s="141" t="s">
        <v>86</v>
      </c>
      <c r="W15" s="141" t="s">
        <v>42</v>
      </c>
      <c r="X15" s="141" t="s">
        <v>42</v>
      </c>
      <c r="Z15" s="160"/>
      <c r="AN15" s="137">
        <f>E95</f>
        <v>7.2394103516590647E-2</v>
      </c>
      <c r="AO15" s="137">
        <f>$B95</f>
        <v>0.34911922954287794</v>
      </c>
      <c r="AP15" s="137">
        <f t="shared" si="0"/>
        <v>8.9672830446746732E-2</v>
      </c>
      <c r="AR15" s="62">
        <v>7.1632047862346573E-2</v>
      </c>
      <c r="AS15" s="62"/>
      <c r="AT15" s="62"/>
      <c r="AU15" s="39"/>
      <c r="AV15" s="49"/>
    </row>
    <row r="16" spans="1:48" ht="12.4" customHeight="1" x14ac:dyDescent="0.2">
      <c r="A16" s="76" t="s">
        <v>48</v>
      </c>
      <c r="B16" s="76" t="s">
        <v>25</v>
      </c>
      <c r="C16" s="76" t="s">
        <v>25</v>
      </c>
      <c r="D16" s="86" t="s">
        <v>25</v>
      </c>
      <c r="E16" s="76" t="s">
        <v>54</v>
      </c>
      <c r="F16" s="76" t="s">
        <v>63</v>
      </c>
      <c r="G16" s="76" t="s">
        <v>59</v>
      </c>
      <c r="H16" s="76" t="s">
        <v>59</v>
      </c>
      <c r="I16" s="76" t="s">
        <v>54</v>
      </c>
      <c r="J16" s="76" t="s">
        <v>54</v>
      </c>
      <c r="K16" s="76" t="s">
        <v>68</v>
      </c>
      <c r="L16" s="76" t="s">
        <v>48</v>
      </c>
      <c r="M16" s="76" t="s">
        <v>48</v>
      </c>
      <c r="N16" s="76" t="s">
        <v>48</v>
      </c>
      <c r="O16" s="55" t="s">
        <v>65</v>
      </c>
      <c r="P16" s="55" t="s">
        <v>34</v>
      </c>
      <c r="Q16" s="76" t="s">
        <v>70</v>
      </c>
      <c r="R16" s="76" t="s">
        <v>21</v>
      </c>
      <c r="S16" s="76" t="s">
        <v>20</v>
      </c>
      <c r="T16" s="76"/>
      <c r="U16" s="76"/>
      <c r="V16" s="19"/>
      <c r="W16" s="86" t="s">
        <v>6</v>
      </c>
      <c r="X16" s="86" t="s">
        <v>89</v>
      </c>
      <c r="Z16" s="144" t="s">
        <v>72</v>
      </c>
      <c r="AA16" s="160"/>
      <c r="AB16" s="160"/>
      <c r="AC16" s="77">
        <f>ABS(Table!$AB$4*COS(Table!$AB$3*PI()/180))</f>
        <v>371.53155491270428</v>
      </c>
      <c r="AN16" s="137">
        <f>E91</f>
        <v>0.10418866254751526</v>
      </c>
      <c r="AO16" s="137">
        <f>$B91</f>
        <v>0.25944639909613121</v>
      </c>
      <c r="AP16" s="137">
        <f t="shared" si="0"/>
        <v>0.1684838034479107</v>
      </c>
      <c r="AR16" s="62">
        <v>9.9921582517046942E-2</v>
      </c>
      <c r="AS16" s="62"/>
      <c r="AT16" s="62"/>
      <c r="AU16" s="39"/>
      <c r="AV16" s="49"/>
    </row>
    <row r="17" spans="1:48" ht="12.4" customHeight="1" x14ac:dyDescent="0.2">
      <c r="A17" s="79"/>
      <c r="B17" s="45"/>
      <c r="C17" s="160"/>
      <c r="D17" s="6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39"/>
      <c r="S17" s="139"/>
      <c r="T17" s="139"/>
      <c r="U17" s="139"/>
      <c r="V17" s="139"/>
      <c r="W17" s="139"/>
      <c r="X17" s="139"/>
      <c r="AC17" s="3">
        <f ca="1">FORECAST(200,OFFSET(L$17,MATCH(200,L$18:L136, 1),-9,2,1),OFFSET(L$17,MATCH(200,L$18:L136, 1),0,2,1))</f>
        <v>0.73730840441128453</v>
      </c>
      <c r="AD17" s="30">
        <f ca="1">LOOKUP('Raw Data'!K34,Table!A18:A136,OFFSET(Table!S18:S136,-1,0))</f>
        <v>0</v>
      </c>
      <c r="AE17" s="30">
        <f ca="1">LOOKUP(AD17,S18:S136,E18:E136)</f>
        <v>2.4439221008743925</v>
      </c>
      <c r="AN17" s="137">
        <f>E81</f>
        <v>0.25478714571925209</v>
      </c>
      <c r="AO17" s="137">
        <f>$B81</f>
        <v>9.0962595648220512E-2</v>
      </c>
      <c r="AP17" s="137">
        <f t="shared" si="0"/>
        <v>4.9147590025966616E-2</v>
      </c>
      <c r="AR17" s="62">
        <v>0.25452110435346964</v>
      </c>
      <c r="AS17" s="62"/>
      <c r="AT17" s="62"/>
      <c r="AU17" s="39"/>
      <c r="AV17" s="49"/>
    </row>
    <row r="18" spans="1:48" ht="12.4" customHeight="1" x14ac:dyDescent="0.2">
      <c r="A18" s="79">
        <f>'Raw Data'!A18</f>
        <v>1.4875617027282715</v>
      </c>
      <c r="B18" s="45">
        <f>'Raw Data'!E18</f>
        <v>0</v>
      </c>
      <c r="C18" s="45">
        <f t="shared" ref="C18:C136" si="1">1-B18</f>
        <v>1</v>
      </c>
      <c r="D18" s="117">
        <f t="shared" ref="D18:D136" si="2">B18-B17</f>
        <v>0</v>
      </c>
      <c r="E18" s="108">
        <f>(2*Table!$AC$16*0.147)/A18</f>
        <v>73.429073190040185</v>
      </c>
      <c r="F18" s="108">
        <f t="shared" ref="F18:F136" si="3">E18*2</f>
        <v>146.85814638008037</v>
      </c>
      <c r="G18" s="79">
        <f>IF((('Raw Data'!C18)/('Raw Data'!C$136)*100)&lt;0,0,('Raw Data'!C18)/('Raw Data'!C$136)*100)</f>
        <v>0</v>
      </c>
      <c r="H18" s="79">
        <f t="shared" ref="H18:H136" si="4">G18-G17</f>
        <v>0</v>
      </c>
      <c r="I18" s="96">
        <f t="shared" ref="I18:I136" si="5">IF(E17&gt;0,LOG(E17)-LOG(E18), LOG(E18))</f>
        <v>1.8658680466472604</v>
      </c>
      <c r="J18" s="108">
        <f>'Raw Data'!F18/I18</f>
        <v>0</v>
      </c>
      <c r="K18" s="145">
        <f t="shared" ref="K18:K136" si="6">(0.217*A18*(SQRT(P$9/P$10)))/($AB$4*-COS(RADIANS($AB$3)))</f>
        <v>4.1644162051161462E-4</v>
      </c>
      <c r="L18" s="79">
        <f>A18*Table!$AC$9/$AC$16</f>
        <v>0.28027045836105474</v>
      </c>
      <c r="M18" s="79">
        <f>A18*Table!$AD$9/$AC$16</f>
        <v>9.6092728580933054E-2</v>
      </c>
      <c r="N18" s="79">
        <f>ABS(A18*Table!$AE$9/$AC$16)</f>
        <v>0.12136066843549106</v>
      </c>
      <c r="O18" s="79">
        <f>($L18*(Table!$AC$10/Table!$AC$9)/(Table!$AC$12-Table!$AC$14))</f>
        <v>0.60118073436519692</v>
      </c>
      <c r="P18" s="79">
        <f>$N18*(Table!$AE$10/Table!$AE$9)/(Table!$AC$12-Table!$AC$13)</f>
        <v>0.99639300850156842</v>
      </c>
      <c r="Q18" s="79">
        <f>'Raw Data'!C18</f>
        <v>0</v>
      </c>
      <c r="R18" s="79">
        <f>'Raw Data'!C18/'Raw Data'!I$30*100</f>
        <v>0</v>
      </c>
      <c r="S18" s="52">
        <f t="shared" ref="S18:S136" si="7">D18/MAX($D$18:$D$136)</f>
        <v>0</v>
      </c>
      <c r="T18" s="52">
        <f t="shared" ref="T18:T136" si="8">1-(X18/$X$136)</f>
        <v>1</v>
      </c>
      <c r="U18" s="91">
        <f t="shared" ref="U18:U136" si="9">R18/A18</f>
        <v>0</v>
      </c>
      <c r="V18" s="91">
        <f t="shared" ref="V18:V136" si="10">(U18^1.691)*399</f>
        <v>0</v>
      </c>
      <c r="W18" s="91">
        <f t="shared" ref="W18:W136" si="11">((E18*E18)/8)*S18</f>
        <v>0</v>
      </c>
      <c r="X18" s="85">
        <f t="shared" ref="X18:X136" si="12">W18+X17</f>
        <v>0</v>
      </c>
      <c r="Z18" s="104"/>
      <c r="AA18" s="160"/>
      <c r="AB18" s="160"/>
      <c r="AC18" s="67"/>
      <c r="AN18" s="137">
        <f>E73</f>
        <v>0.52521545584517593</v>
      </c>
      <c r="AO18" s="137">
        <f>$B73</f>
        <v>4.1815005622253897E-2</v>
      </c>
      <c r="AP18" s="137">
        <f t="shared" si="0"/>
        <v>1.8735564858665094E-2</v>
      </c>
      <c r="AR18" s="62">
        <v>0.47874420207019219</v>
      </c>
      <c r="AS18" s="62"/>
      <c r="AT18" s="62"/>
      <c r="AU18" s="39"/>
      <c r="AV18" s="49"/>
    </row>
    <row r="19" spans="1:48" ht="12.4" customHeight="1" x14ac:dyDescent="0.2">
      <c r="A19" s="79">
        <f>'Raw Data'!A19</f>
        <v>1.578770637512207</v>
      </c>
      <c r="B19" s="45">
        <f>'Raw Data'!E19</f>
        <v>0</v>
      </c>
      <c r="C19" s="45">
        <f t="shared" si="1"/>
        <v>1</v>
      </c>
      <c r="D19" s="117">
        <f t="shared" si="2"/>
        <v>0</v>
      </c>
      <c r="E19" s="108">
        <f>(2*Table!$AC$16*0.147)/A19</f>
        <v>69.186919587292167</v>
      </c>
      <c r="F19" s="108">
        <f t="shared" si="3"/>
        <v>138.37383917458433</v>
      </c>
      <c r="G19" s="79">
        <f>IF((('Raw Data'!C19)/('Raw Data'!C$136)*100)&lt;0,0,('Raw Data'!C19)/('Raw Data'!C$136)*100)</f>
        <v>0</v>
      </c>
      <c r="H19" s="79">
        <f t="shared" si="4"/>
        <v>0</v>
      </c>
      <c r="I19" s="96">
        <f t="shared" si="5"/>
        <v>2.5844051728434181E-2</v>
      </c>
      <c r="J19" s="108">
        <f>'Raw Data'!F19/I19</f>
        <v>0</v>
      </c>
      <c r="K19" s="145">
        <f t="shared" si="6"/>
        <v>4.4197548343434052E-4</v>
      </c>
      <c r="L19" s="79">
        <f>A19*Table!$AC$9/$AC$16</f>
        <v>0.29745506987103976</v>
      </c>
      <c r="M19" s="79">
        <f>A19*Table!$AD$9/$AC$16</f>
        <v>0.10198459538435649</v>
      </c>
      <c r="N19" s="79">
        <f>ABS(A19*Table!$AE$9/$AC$16)</f>
        <v>0.12880182349639782</v>
      </c>
      <c r="O19" s="79">
        <f>($L19*(Table!$AC$10/Table!$AC$9)/(Table!$AC$12-Table!$AC$14))</f>
        <v>0.63804176291514336</v>
      </c>
      <c r="P19" s="79">
        <f>$N19*(Table!$AE$10/Table!$AE$9)/(Table!$AC$12-Table!$AC$13)</f>
        <v>1.0574862356026091</v>
      </c>
      <c r="Q19" s="79">
        <f>'Raw Data'!C19</f>
        <v>0</v>
      </c>
      <c r="R19" s="79">
        <f>'Raw Data'!C19/'Raw Data'!I$30*100</f>
        <v>0</v>
      </c>
      <c r="S19" s="52">
        <f t="shared" si="7"/>
        <v>0</v>
      </c>
      <c r="T19" s="52">
        <f t="shared" si="8"/>
        <v>1</v>
      </c>
      <c r="U19" s="91">
        <f t="shared" si="9"/>
        <v>0</v>
      </c>
      <c r="V19" s="91">
        <f t="shared" si="10"/>
        <v>0</v>
      </c>
      <c r="W19" s="91">
        <f t="shared" si="11"/>
        <v>0</v>
      </c>
      <c r="X19" s="85">
        <f t="shared" si="12"/>
        <v>0</v>
      </c>
      <c r="AN19" s="137">
        <f>E68</f>
        <v>0.82157313648495789</v>
      </c>
      <c r="AO19" s="137">
        <f>$B68</f>
        <v>2.3079440763588803E-2</v>
      </c>
      <c r="AP19" s="137">
        <f t="shared" si="0"/>
        <v>1.4216669607889167E-2</v>
      </c>
      <c r="AR19" s="62">
        <v>0.74938444802644799</v>
      </c>
      <c r="AS19" s="62"/>
      <c r="AT19" s="62"/>
      <c r="AU19" s="39"/>
      <c r="AV19" s="49"/>
    </row>
    <row r="20" spans="1:48" ht="12.4" customHeight="1" x14ac:dyDescent="0.2">
      <c r="A20" s="79">
        <f>'Raw Data'!A20</f>
        <v>1.78700852394104</v>
      </c>
      <c r="B20" s="45">
        <f>'Raw Data'!E20</f>
        <v>0</v>
      </c>
      <c r="C20" s="45">
        <f t="shared" si="1"/>
        <v>1</v>
      </c>
      <c r="D20" s="117">
        <f t="shared" si="2"/>
        <v>0</v>
      </c>
      <c r="E20" s="108">
        <f>(2*Table!$AC$16*0.147)/A20</f>
        <v>61.124653677331288</v>
      </c>
      <c r="F20" s="108">
        <f t="shared" si="3"/>
        <v>122.24930735466258</v>
      </c>
      <c r="G20" s="79">
        <f>IF((('Raw Data'!C20)/('Raw Data'!C$136)*100)&lt;0,0,('Raw Data'!C20)/('Raw Data'!C$136)*100)</f>
        <v>0</v>
      </c>
      <c r="H20" s="79">
        <f t="shared" si="4"/>
        <v>0</v>
      </c>
      <c r="I20" s="96">
        <f t="shared" si="5"/>
        <v>5.3807583424369421E-2</v>
      </c>
      <c r="J20" s="108">
        <f>'Raw Data'!F20/I20</f>
        <v>0</v>
      </c>
      <c r="K20" s="145">
        <f t="shared" si="6"/>
        <v>5.0027150081452E-4</v>
      </c>
      <c r="L20" s="79">
        <f>A20*Table!$AC$9/$AC$16</f>
        <v>0.33668902418063607</v>
      </c>
      <c r="M20" s="79">
        <f>A20*Table!$AD$9/$AC$16</f>
        <v>0.11543623686193236</v>
      </c>
      <c r="N20" s="79">
        <f>ABS(A20*Table!$AE$9/$AC$16)</f>
        <v>0.14579062405791199</v>
      </c>
      <c r="O20" s="79">
        <f>($L20*(Table!$AC$10/Table!$AC$9)/(Table!$AC$12-Table!$AC$14))</f>
        <v>0.72219867906614355</v>
      </c>
      <c r="P20" s="79">
        <f>$N20*(Table!$AE$10/Table!$AE$9)/(Table!$AC$12-Table!$AC$13)</f>
        <v>1.1969673567973067</v>
      </c>
      <c r="Q20" s="79">
        <f>'Raw Data'!C20</f>
        <v>0</v>
      </c>
      <c r="R20" s="79">
        <f>'Raw Data'!C20/'Raw Data'!I$30*100</f>
        <v>0</v>
      </c>
      <c r="S20" s="52">
        <f t="shared" si="7"/>
        <v>0</v>
      </c>
      <c r="T20" s="52">
        <f t="shared" si="8"/>
        <v>1</v>
      </c>
      <c r="U20" s="91">
        <f t="shared" si="9"/>
        <v>0</v>
      </c>
      <c r="V20" s="91">
        <f t="shared" si="10"/>
        <v>0</v>
      </c>
      <c r="W20" s="91">
        <f t="shared" si="11"/>
        <v>0</v>
      </c>
      <c r="X20" s="85">
        <f t="shared" si="12"/>
        <v>0</v>
      </c>
      <c r="AN20" s="87">
        <f>E64</f>
        <v>1.1782667480757461</v>
      </c>
      <c r="AO20" s="137">
        <f>$B64</f>
        <v>8.8627711556996357E-3</v>
      </c>
      <c r="AP20" s="137">
        <f t="shared" si="0"/>
        <v>8.8627711556996357E-3</v>
      </c>
      <c r="AR20" s="10">
        <v>1.0742552826940897</v>
      </c>
      <c r="AS20" s="62"/>
      <c r="AT20" s="62"/>
      <c r="AU20" s="39"/>
      <c r="AV20" s="49"/>
    </row>
    <row r="21" spans="1:48" ht="12.4" customHeight="1" x14ac:dyDescent="0.2">
      <c r="A21" s="79">
        <f>'Raw Data'!A21</f>
        <v>1.9792587757110596</v>
      </c>
      <c r="B21" s="45">
        <f>'Raw Data'!E21</f>
        <v>0</v>
      </c>
      <c r="C21" s="45">
        <f t="shared" si="1"/>
        <v>1</v>
      </c>
      <c r="D21" s="117">
        <f t="shared" si="2"/>
        <v>0</v>
      </c>
      <c r="E21" s="108">
        <f>(2*Table!$AC$16*0.147)/A21</f>
        <v>55.187466381243389</v>
      </c>
      <c r="F21" s="108">
        <f t="shared" si="3"/>
        <v>110.37493276248678</v>
      </c>
      <c r="G21" s="79">
        <f>IF((('Raw Data'!C21)/('Raw Data'!C$136)*100)&lt;0,0,('Raw Data'!C21)/('Raw Data'!C$136)*100)</f>
        <v>0</v>
      </c>
      <c r="H21" s="79">
        <f t="shared" si="4"/>
        <v>0</v>
      </c>
      <c r="I21" s="96">
        <f t="shared" si="5"/>
        <v>4.4375955133536538E-2</v>
      </c>
      <c r="J21" s="108">
        <f>'Raw Data'!F21/I21</f>
        <v>0</v>
      </c>
      <c r="K21" s="145">
        <f t="shared" si="6"/>
        <v>5.5409179360912237E-4</v>
      </c>
      <c r="L21" s="79">
        <f>A21*Table!$AC$9/$AC$16</f>
        <v>0.37291075944364316</v>
      </c>
      <c r="M21" s="79">
        <f>A21*Table!$AD$9/$AC$16</f>
        <v>0.12785511752353479</v>
      </c>
      <c r="N21" s="79">
        <f>ABS(A21*Table!$AE$9/$AC$16)</f>
        <v>0.1614750955113714</v>
      </c>
      <c r="O21" s="79">
        <f>($L21*(Table!$AC$10/Table!$AC$9)/(Table!$AC$12-Table!$AC$14))</f>
        <v>0.79989437890099357</v>
      </c>
      <c r="P21" s="79">
        <f>$N21*(Table!$AE$10/Table!$AE$9)/(Table!$AC$12-Table!$AC$13)</f>
        <v>1.3257397004217684</v>
      </c>
      <c r="Q21" s="79">
        <f>'Raw Data'!C21</f>
        <v>0</v>
      </c>
      <c r="R21" s="79">
        <f>'Raw Data'!C21/'Raw Data'!I$30*100</f>
        <v>0</v>
      </c>
      <c r="S21" s="52">
        <f t="shared" si="7"/>
        <v>0</v>
      </c>
      <c r="T21" s="52">
        <f t="shared" si="8"/>
        <v>1</v>
      </c>
      <c r="U21" s="91">
        <f t="shared" si="9"/>
        <v>0</v>
      </c>
      <c r="V21" s="91">
        <f t="shared" si="10"/>
        <v>0</v>
      </c>
      <c r="W21" s="91">
        <f t="shared" si="11"/>
        <v>0</v>
      </c>
      <c r="X21" s="85">
        <f t="shared" si="12"/>
        <v>0</v>
      </c>
      <c r="AN21" s="87">
        <f>$E55</f>
        <v>2.7129287033684593</v>
      </c>
      <c r="AO21" s="137">
        <f>$B55</f>
        <v>0</v>
      </c>
      <c r="AP21" s="137">
        <f t="shared" si="0"/>
        <v>0</v>
      </c>
      <c r="AR21" s="10">
        <v>2.3818202604521379</v>
      </c>
      <c r="AS21" s="62"/>
      <c r="AT21" s="62"/>
      <c r="AU21" s="39"/>
      <c r="AV21" s="49"/>
    </row>
    <row r="22" spans="1:48" ht="12.4" customHeight="1" x14ac:dyDescent="0.2">
      <c r="A22" s="79">
        <f>'Raw Data'!A22</f>
        <v>2.1449697017669678</v>
      </c>
      <c r="B22" s="45">
        <f>'Raw Data'!E22</f>
        <v>0</v>
      </c>
      <c r="C22" s="45">
        <f t="shared" si="1"/>
        <v>1</v>
      </c>
      <c r="D22" s="117">
        <f t="shared" si="2"/>
        <v>0</v>
      </c>
      <c r="E22" s="108">
        <f>(2*Table!$AC$16*0.147)/A22</f>
        <v>50.923925430906607</v>
      </c>
      <c r="F22" s="108">
        <f t="shared" si="3"/>
        <v>101.84785086181321</v>
      </c>
      <c r="G22" s="79">
        <f>IF((('Raw Data'!C22)/('Raw Data'!C$136)*100)&lt;0,0,('Raw Data'!C22)/('Raw Data'!C$136)*100)</f>
        <v>0</v>
      </c>
      <c r="H22" s="79">
        <f t="shared" si="4"/>
        <v>0</v>
      </c>
      <c r="I22" s="96">
        <f t="shared" si="5"/>
        <v>3.4918582838967982E-2</v>
      </c>
      <c r="J22" s="108">
        <f>'Raw Data'!F22/I22</f>
        <v>0</v>
      </c>
      <c r="K22" s="145">
        <f t="shared" si="6"/>
        <v>6.0048242497361408E-4</v>
      </c>
      <c r="L22" s="79">
        <f>A22*Table!$AC$9/$AC$16</f>
        <v>0.40413223893988426</v>
      </c>
      <c r="M22" s="79">
        <f>A22*Table!$AD$9/$AC$16</f>
        <v>0.13855962477938891</v>
      </c>
      <c r="N22" s="79">
        <f>ABS(A22*Table!$AE$9/$AC$16)</f>
        <v>0.17499439270511127</v>
      </c>
      <c r="O22" s="79">
        <f>($L22*(Table!$AC$10/Table!$AC$9)/(Table!$AC$12-Table!$AC$14))</f>
        <v>0.8668645193905713</v>
      </c>
      <c r="P22" s="79">
        <f>$N22*(Table!$AE$10/Table!$AE$9)/(Table!$AC$12-Table!$AC$13)</f>
        <v>1.4367355722915536</v>
      </c>
      <c r="Q22" s="79">
        <f>'Raw Data'!C22</f>
        <v>0</v>
      </c>
      <c r="R22" s="79">
        <f>'Raw Data'!C22/'Raw Data'!I$30*100</f>
        <v>0</v>
      </c>
      <c r="S22" s="52">
        <f t="shared" si="7"/>
        <v>0</v>
      </c>
      <c r="T22" s="52">
        <f t="shared" si="8"/>
        <v>1</v>
      </c>
      <c r="U22" s="91">
        <f t="shared" si="9"/>
        <v>0</v>
      </c>
      <c r="V22" s="91">
        <f t="shared" si="10"/>
        <v>0</v>
      </c>
      <c r="W22" s="91">
        <f t="shared" si="11"/>
        <v>0</v>
      </c>
      <c r="X22" s="85">
        <f t="shared" si="12"/>
        <v>0</v>
      </c>
      <c r="AN22" s="87">
        <f>$E47</f>
        <v>5.383612444613262</v>
      </c>
      <c r="AO22" s="137">
        <f>$B47</f>
        <v>0</v>
      </c>
      <c r="AP22" s="137">
        <f t="shared" si="0"/>
        <v>0</v>
      </c>
      <c r="AR22" s="10">
        <v>4.9092259390712378</v>
      </c>
      <c r="AS22" s="62"/>
      <c r="AT22" s="62"/>
      <c r="AU22" s="39"/>
      <c r="AV22" s="49"/>
    </row>
    <row r="23" spans="1:48" ht="12.4" customHeight="1" x14ac:dyDescent="0.2">
      <c r="A23" s="79">
        <f>'Raw Data'!A23</f>
        <v>2.3301055431365967</v>
      </c>
      <c r="B23" s="45">
        <f>'Raw Data'!E23</f>
        <v>0</v>
      </c>
      <c r="C23" s="45">
        <f t="shared" si="1"/>
        <v>1</v>
      </c>
      <c r="D23" s="117">
        <f t="shared" si="2"/>
        <v>0</v>
      </c>
      <c r="E23" s="108">
        <f>(2*Table!$AC$16*0.147)/A23</f>
        <v>46.877823824794746</v>
      </c>
      <c r="F23" s="108">
        <f t="shared" si="3"/>
        <v>93.755647649589491</v>
      </c>
      <c r="G23" s="79">
        <f>IF((('Raw Data'!C23)/('Raw Data'!C$136)*100)&lt;0,0,('Raw Data'!C23)/('Raw Data'!C$136)*100)</f>
        <v>0</v>
      </c>
      <c r="H23" s="79">
        <f t="shared" si="4"/>
        <v>0</v>
      </c>
      <c r="I23" s="96">
        <f t="shared" si="5"/>
        <v>3.5954430981624208E-2</v>
      </c>
      <c r="J23" s="108">
        <f>'Raw Data'!F23/I23</f>
        <v>0</v>
      </c>
      <c r="K23" s="145">
        <f t="shared" si="6"/>
        <v>6.5231104468958735E-4</v>
      </c>
      <c r="L23" s="79">
        <f>A23*Table!$AC$9/$AC$16</f>
        <v>0.43901355312306051</v>
      </c>
      <c r="M23" s="79">
        <f>A23*Table!$AD$9/$AC$16</f>
        <v>0.15051893249933504</v>
      </c>
      <c r="N23" s="79">
        <f>ABS(A23*Table!$AE$9/$AC$16)</f>
        <v>0.19009844480511981</v>
      </c>
      <c r="O23" s="79">
        <f>($L23*(Table!$AC$10/Table!$AC$9)/(Table!$AC$12-Table!$AC$14))</f>
        <v>0.94168501313397812</v>
      </c>
      <c r="P23" s="79">
        <f>$N23*(Table!$AE$10/Table!$AE$9)/(Table!$AC$12-Table!$AC$13)</f>
        <v>1.5607425681865335</v>
      </c>
      <c r="Q23" s="79">
        <f>'Raw Data'!C23</f>
        <v>0</v>
      </c>
      <c r="R23" s="79">
        <f>'Raw Data'!C23/'Raw Data'!I$30*100</f>
        <v>0</v>
      </c>
      <c r="S23" s="52">
        <f t="shared" si="7"/>
        <v>0</v>
      </c>
      <c r="T23" s="52">
        <f t="shared" si="8"/>
        <v>1</v>
      </c>
      <c r="U23" s="91">
        <f t="shared" si="9"/>
        <v>0</v>
      </c>
      <c r="V23" s="91">
        <f t="shared" si="10"/>
        <v>0</v>
      </c>
      <c r="W23" s="91">
        <f t="shared" si="11"/>
        <v>0</v>
      </c>
      <c r="X23" s="85">
        <f t="shared" si="12"/>
        <v>0</v>
      </c>
      <c r="AN23" s="87">
        <f>$E42</f>
        <v>8.4916453889313086</v>
      </c>
      <c r="AO23" s="137">
        <f>$B42</f>
        <v>0</v>
      </c>
      <c r="AP23" s="137">
        <f t="shared" si="0"/>
        <v>0</v>
      </c>
      <c r="AR23" s="10">
        <v>7.6545393934362336</v>
      </c>
      <c r="AS23" s="62"/>
      <c r="AT23" s="62"/>
      <c r="AU23" s="39"/>
      <c r="AV23" s="49"/>
    </row>
    <row r="24" spans="1:48" ht="12.4" customHeight="1" x14ac:dyDescent="0.2">
      <c r="A24" s="79">
        <f>'Raw Data'!A24</f>
        <v>2.5675208568572998</v>
      </c>
      <c r="B24" s="45">
        <f>'Raw Data'!E24</f>
        <v>0</v>
      </c>
      <c r="C24" s="45">
        <f t="shared" si="1"/>
        <v>1</v>
      </c>
      <c r="D24" s="117">
        <f t="shared" si="2"/>
        <v>0</v>
      </c>
      <c r="E24" s="108">
        <f>(2*Table!$AC$16*0.147)/A24</f>
        <v>42.543092435881995</v>
      </c>
      <c r="F24" s="108">
        <f t="shared" si="3"/>
        <v>85.08618487176399</v>
      </c>
      <c r="G24" s="79">
        <f>IF((('Raw Data'!C24)/('Raw Data'!C$136)*100)&lt;0,0,('Raw Data'!C24)/('Raw Data'!C$136)*100)</f>
        <v>0</v>
      </c>
      <c r="H24" s="79">
        <f t="shared" si="4"/>
        <v>0</v>
      </c>
      <c r="I24" s="96">
        <f t="shared" si="5"/>
        <v>4.213838717987084E-2</v>
      </c>
      <c r="J24" s="108">
        <f>'Raw Data'!F24/I24</f>
        <v>0</v>
      </c>
      <c r="K24" s="145">
        <f t="shared" si="6"/>
        <v>7.1877525776981835E-4</v>
      </c>
      <c r="L24" s="79">
        <f>A24*Table!$AC$9/$AC$16</f>
        <v>0.48374480606967513</v>
      </c>
      <c r="M24" s="79">
        <f>A24*Table!$AD$9/$AC$16</f>
        <v>0.16585536208103147</v>
      </c>
      <c r="N24" s="79">
        <f>ABS(A24*Table!$AE$9/$AC$16)</f>
        <v>0.2094676455025577</v>
      </c>
      <c r="O24" s="79">
        <f>($L24*(Table!$AC$10/Table!$AC$9)/(Table!$AC$12-Table!$AC$14))</f>
        <v>1.0376336466531</v>
      </c>
      <c r="P24" s="79">
        <f>$N24*(Table!$AE$10/Table!$AE$9)/(Table!$AC$12-Table!$AC$13)</f>
        <v>1.7197672044544965</v>
      </c>
      <c r="Q24" s="79">
        <f>'Raw Data'!C24</f>
        <v>0</v>
      </c>
      <c r="R24" s="79">
        <f>'Raw Data'!C24/'Raw Data'!I$30*100</f>
        <v>0</v>
      </c>
      <c r="S24" s="52">
        <f t="shared" si="7"/>
        <v>0</v>
      </c>
      <c r="T24" s="52">
        <f t="shared" si="8"/>
        <v>1</v>
      </c>
      <c r="U24" s="91">
        <f t="shared" si="9"/>
        <v>0</v>
      </c>
      <c r="V24" s="91">
        <f t="shared" si="10"/>
        <v>0</v>
      </c>
      <c r="W24" s="91">
        <f t="shared" si="11"/>
        <v>0</v>
      </c>
      <c r="X24" s="85">
        <f t="shared" si="12"/>
        <v>0</v>
      </c>
      <c r="AN24" s="130">
        <f>$E39</f>
        <v>11.069682726051195</v>
      </c>
      <c r="AO24" s="137">
        <f>$B39</f>
        <v>0</v>
      </c>
      <c r="AP24" s="137">
        <f t="shared" si="0"/>
        <v>0</v>
      </c>
      <c r="AR24" s="50">
        <v>10.01194107647434</v>
      </c>
      <c r="AS24" s="62"/>
      <c r="AT24" s="62"/>
      <c r="AU24" s="39"/>
      <c r="AV24" s="49"/>
    </row>
    <row r="25" spans="1:48" ht="12.4" customHeight="1" x14ac:dyDescent="0.2">
      <c r="A25" s="79">
        <f>'Raw Data'!A25</f>
        <v>2.7994999885559082</v>
      </c>
      <c r="B25" s="45">
        <f>'Raw Data'!E25</f>
        <v>0</v>
      </c>
      <c r="C25" s="45">
        <f t="shared" si="1"/>
        <v>1</v>
      </c>
      <c r="D25" s="117">
        <f t="shared" si="2"/>
        <v>0</v>
      </c>
      <c r="E25" s="108">
        <f>(2*Table!$AC$16*0.147)/A25</f>
        <v>39.017780886179004</v>
      </c>
      <c r="F25" s="108">
        <f t="shared" si="3"/>
        <v>78.035561772358008</v>
      </c>
      <c r="G25" s="79">
        <f>IF((('Raw Data'!C25)/('Raw Data'!C$136)*100)&lt;0,0,('Raw Data'!C25)/('Raw Data'!C$136)*100)</f>
        <v>0</v>
      </c>
      <c r="H25" s="79">
        <f t="shared" si="4"/>
        <v>0</v>
      </c>
      <c r="I25" s="96">
        <f t="shared" si="5"/>
        <v>3.7566489848164686E-2</v>
      </c>
      <c r="J25" s="108">
        <f>'Raw Data'!F25/I25</f>
        <v>0</v>
      </c>
      <c r="K25" s="145">
        <f t="shared" si="6"/>
        <v>7.8371761636392937E-4</v>
      </c>
      <c r="L25" s="79">
        <f>A25*Table!$AC$9/$AC$16</f>
        <v>0.52745183176959998</v>
      </c>
      <c r="M25" s="79">
        <f>A25*Table!$AD$9/$AC$16</f>
        <v>0.18084062803529141</v>
      </c>
      <c r="N25" s="79">
        <f>ABS(A25*Table!$AE$9/$AC$16)</f>
        <v>0.2283933427925548</v>
      </c>
      <c r="O25" s="79">
        <f>($L25*(Table!$AC$10/Table!$AC$9)/(Table!$AC$12-Table!$AC$14))</f>
        <v>1.1313853105311025</v>
      </c>
      <c r="P25" s="79">
        <f>$N25*(Table!$AE$10/Table!$AE$9)/(Table!$AC$12-Table!$AC$13)</f>
        <v>1.8751505976400227</v>
      </c>
      <c r="Q25" s="79">
        <f>'Raw Data'!C25</f>
        <v>0</v>
      </c>
      <c r="R25" s="79">
        <f>'Raw Data'!C25/'Raw Data'!I$30*100</f>
        <v>0</v>
      </c>
      <c r="S25" s="52">
        <f t="shared" si="7"/>
        <v>0</v>
      </c>
      <c r="T25" s="52">
        <f t="shared" si="8"/>
        <v>1</v>
      </c>
      <c r="U25" s="91">
        <f t="shared" si="9"/>
        <v>0</v>
      </c>
      <c r="V25" s="91">
        <f t="shared" si="10"/>
        <v>0</v>
      </c>
      <c r="W25" s="91">
        <f t="shared" si="11"/>
        <v>0</v>
      </c>
      <c r="X25" s="85">
        <f t="shared" si="12"/>
        <v>0</v>
      </c>
      <c r="AN25" s="130">
        <f>$E29</f>
        <v>27.190162196008291</v>
      </c>
      <c r="AO25" s="137">
        <f>$B29</f>
        <v>0</v>
      </c>
      <c r="AP25" s="137">
        <f t="shared" si="0"/>
        <v>0</v>
      </c>
      <c r="AR25" s="50">
        <v>23.954008145687514</v>
      </c>
      <c r="AS25" s="62"/>
      <c r="AT25" s="62"/>
      <c r="AU25" s="39"/>
      <c r="AV25" s="49"/>
    </row>
    <row r="26" spans="1:48" ht="12.4" customHeight="1" x14ac:dyDescent="0.2">
      <c r="A26" s="79">
        <f>'Raw Data'!A26</f>
        <v>3.0819201469421387</v>
      </c>
      <c r="B26" s="45">
        <f>'Raw Data'!E26</f>
        <v>0</v>
      </c>
      <c r="C26" s="45">
        <f t="shared" si="1"/>
        <v>1</v>
      </c>
      <c r="D26" s="117">
        <f t="shared" si="2"/>
        <v>0</v>
      </c>
      <c r="E26" s="108">
        <f>(2*Table!$AC$16*0.147)/A26</f>
        <v>35.442280116411396</v>
      </c>
      <c r="F26" s="108">
        <f t="shared" si="3"/>
        <v>70.884560232822793</v>
      </c>
      <c r="G26" s="79">
        <f>IF((('Raw Data'!C26)/('Raw Data'!C$136)*100)&lt;0,0,('Raw Data'!C26)/('Raw Data'!C$136)*100)</f>
        <v>0</v>
      </c>
      <c r="H26" s="79">
        <f t="shared" si="4"/>
        <v>0</v>
      </c>
      <c r="I26" s="96">
        <f t="shared" si="5"/>
        <v>4.1740911831078753E-2</v>
      </c>
      <c r="J26" s="108">
        <f>'Raw Data'!F26/I26</f>
        <v>0</v>
      </c>
      <c r="K26" s="145">
        <f t="shared" si="6"/>
        <v>8.6278089703847394E-4</v>
      </c>
      <c r="L26" s="79">
        <f>A26*Table!$AC$9/$AC$16</f>
        <v>0.58066241597335944</v>
      </c>
      <c r="M26" s="79">
        <f>A26*Table!$AD$9/$AC$16</f>
        <v>0.1990842569051518</v>
      </c>
      <c r="N26" s="79">
        <f>ABS(A26*Table!$AE$9/$AC$16)</f>
        <v>0.25143420162788815</v>
      </c>
      <c r="O26" s="79">
        <f>($L26*(Table!$AC$10/Table!$AC$9)/(Table!$AC$12-Table!$AC$14))</f>
        <v>1.2455221277849839</v>
      </c>
      <c r="P26" s="79">
        <f>$N26*(Table!$AE$10/Table!$AE$9)/(Table!$AC$12-Table!$AC$13)</f>
        <v>2.0643202104095901</v>
      </c>
      <c r="Q26" s="79">
        <f>'Raw Data'!C26</f>
        <v>0</v>
      </c>
      <c r="R26" s="79">
        <f>'Raw Data'!C26/'Raw Data'!I$30*100</f>
        <v>0</v>
      </c>
      <c r="S26" s="52">
        <f t="shared" si="7"/>
        <v>0</v>
      </c>
      <c r="T26" s="52">
        <f t="shared" si="8"/>
        <v>1</v>
      </c>
      <c r="U26" s="91">
        <f t="shared" si="9"/>
        <v>0</v>
      </c>
      <c r="V26" s="91">
        <f t="shared" si="10"/>
        <v>0</v>
      </c>
      <c r="W26" s="91">
        <f t="shared" si="11"/>
        <v>0</v>
      </c>
      <c r="X26" s="85">
        <f t="shared" si="12"/>
        <v>0</v>
      </c>
      <c r="AN26" s="130">
        <f>$E21</f>
        <v>55.187466381243389</v>
      </c>
      <c r="AO26" s="137">
        <f>$B22</f>
        <v>0</v>
      </c>
      <c r="AP26" s="137">
        <f t="shared" si="0"/>
        <v>0</v>
      </c>
      <c r="AR26" s="50">
        <v>51.76790385987443</v>
      </c>
      <c r="AS26" s="62"/>
      <c r="AT26" s="62"/>
      <c r="AU26" s="39"/>
      <c r="AV26" s="49"/>
    </row>
    <row r="27" spans="1:48" ht="12.4" customHeight="1" x14ac:dyDescent="0.2">
      <c r="A27" s="79">
        <f>'Raw Data'!A27</f>
        <v>3.3731334209442139</v>
      </c>
      <c r="B27" s="45">
        <f>'Raw Data'!E27</f>
        <v>0</v>
      </c>
      <c r="C27" s="45">
        <f t="shared" si="1"/>
        <v>1</v>
      </c>
      <c r="D27" s="117">
        <f t="shared" si="2"/>
        <v>0</v>
      </c>
      <c r="E27" s="108">
        <f>(2*Table!$AC$16*0.147)/A27</f>
        <v>32.382436006269536</v>
      </c>
      <c r="F27" s="108">
        <f t="shared" si="3"/>
        <v>64.764872012539072</v>
      </c>
      <c r="G27" s="79">
        <f>IF((('Raw Data'!C27)/('Raw Data'!C$136)*100)&lt;0,0,('Raw Data'!C27)/('Raw Data'!C$136)*100)</f>
        <v>0</v>
      </c>
      <c r="H27" s="79">
        <f t="shared" si="4"/>
        <v>0</v>
      </c>
      <c r="I27" s="96">
        <f t="shared" si="5"/>
        <v>3.9212137729355723E-2</v>
      </c>
      <c r="J27" s="108">
        <f>'Raw Data'!F27/I27</f>
        <v>0</v>
      </c>
      <c r="K27" s="145">
        <f t="shared" si="6"/>
        <v>9.4430580287430913E-4</v>
      </c>
      <c r="L27" s="79">
        <f>A27*Table!$AC$9/$AC$16</f>
        <v>0.63552970493064576</v>
      </c>
      <c r="M27" s="79">
        <f>A27*Table!$AD$9/$AC$16</f>
        <v>0.21789589883336427</v>
      </c>
      <c r="N27" s="79">
        <f>ABS(A27*Table!$AE$9/$AC$16)</f>
        <v>0.27519243466478382</v>
      </c>
      <c r="O27" s="79">
        <f>($L27*(Table!$AC$10/Table!$AC$9)/(Table!$AC$12-Table!$AC$14))</f>
        <v>1.3632125802888158</v>
      </c>
      <c r="P27" s="79">
        <f>$N27*(Table!$AE$10/Table!$AE$9)/(Table!$AC$12-Table!$AC$13)</f>
        <v>2.2593795949489635</v>
      </c>
      <c r="Q27" s="79">
        <f>'Raw Data'!C27</f>
        <v>0</v>
      </c>
      <c r="R27" s="79">
        <f>'Raw Data'!C27/'Raw Data'!I$30*100</f>
        <v>0</v>
      </c>
      <c r="S27" s="52">
        <f t="shared" si="7"/>
        <v>0</v>
      </c>
      <c r="T27" s="52">
        <f t="shared" si="8"/>
        <v>1</v>
      </c>
      <c r="U27" s="91">
        <f t="shared" si="9"/>
        <v>0</v>
      </c>
      <c r="V27" s="91">
        <f t="shared" si="10"/>
        <v>0</v>
      </c>
      <c r="W27" s="91">
        <f t="shared" si="11"/>
        <v>0</v>
      </c>
      <c r="X27" s="85">
        <f t="shared" si="12"/>
        <v>0</v>
      </c>
      <c r="AN27" s="130">
        <f>$E18</f>
        <v>73.429073190040185</v>
      </c>
      <c r="AO27" s="137">
        <f>$B18</f>
        <v>0</v>
      </c>
      <c r="AP27" s="137">
        <f t="shared" si="0"/>
        <v>0</v>
      </c>
      <c r="AR27" s="50">
        <v>72.33793188366559</v>
      </c>
      <c r="AS27" s="62"/>
      <c r="AT27" s="62"/>
      <c r="AU27" s="39"/>
      <c r="AV27" s="49"/>
    </row>
    <row r="28" spans="1:48" ht="12.4" customHeight="1" x14ac:dyDescent="0.2">
      <c r="A28" s="79">
        <f>'Raw Data'!A28</f>
        <v>3.67337965965271</v>
      </c>
      <c r="B28" s="45">
        <f>'Raw Data'!E28</f>
        <v>0</v>
      </c>
      <c r="C28" s="45">
        <f t="shared" si="1"/>
        <v>1</v>
      </c>
      <c r="D28" s="117">
        <f t="shared" si="2"/>
        <v>0</v>
      </c>
      <c r="E28" s="108">
        <f>(2*Table!$AC$16*0.147)/A28</f>
        <v>29.735635100310304</v>
      </c>
      <c r="F28" s="108">
        <f t="shared" si="3"/>
        <v>59.471270200620609</v>
      </c>
      <c r="G28" s="79">
        <f>IF((('Raw Data'!C28)/('Raw Data'!C$136)*100)&lt;0,0,('Raw Data'!C28)/('Raw Data'!C$136)*100)</f>
        <v>0</v>
      </c>
      <c r="H28" s="79">
        <f t="shared" si="4"/>
        <v>0</v>
      </c>
      <c r="I28" s="96">
        <f t="shared" si="5"/>
        <v>3.7032297259333546E-2</v>
      </c>
      <c r="J28" s="108">
        <f>'Raw Data'!F28/I28</f>
        <v>0</v>
      </c>
      <c r="K28" s="145">
        <f t="shared" si="6"/>
        <v>1.0283594794182548E-3</v>
      </c>
      <c r="L28" s="79">
        <f>A28*Table!$AC$9/$AC$16</f>
        <v>0.69209888844059819</v>
      </c>
      <c r="M28" s="79">
        <f>A28*Table!$AD$9/$AC$16</f>
        <v>0.23729104746534796</v>
      </c>
      <c r="N28" s="79">
        <f>ABS(A28*Table!$AE$9/$AC$16)</f>
        <v>0.29968760966026509</v>
      </c>
      <c r="O28" s="79">
        <f>($L28*(Table!$AC$10/Table!$AC$9)/(Table!$AC$12-Table!$AC$14))</f>
        <v>1.4845536002586834</v>
      </c>
      <c r="P28" s="79">
        <f>$N28*(Table!$AE$10/Table!$AE$9)/(Table!$AC$12-Table!$AC$13)</f>
        <v>2.4604894060777096</v>
      </c>
      <c r="Q28" s="79">
        <f>'Raw Data'!C28</f>
        <v>0</v>
      </c>
      <c r="R28" s="79">
        <f>'Raw Data'!C28/'Raw Data'!I$30*100</f>
        <v>0</v>
      </c>
      <c r="S28" s="52">
        <f t="shared" si="7"/>
        <v>0</v>
      </c>
      <c r="T28" s="52">
        <f t="shared" si="8"/>
        <v>1</v>
      </c>
      <c r="U28" s="91">
        <f t="shared" si="9"/>
        <v>0</v>
      </c>
      <c r="V28" s="91">
        <f t="shared" si="10"/>
        <v>0</v>
      </c>
      <c r="W28" s="91">
        <f t="shared" si="11"/>
        <v>0</v>
      </c>
      <c r="X28" s="85">
        <f t="shared" si="12"/>
        <v>0</v>
      </c>
      <c r="AN28" s="82"/>
      <c r="AO28" s="137"/>
      <c r="AP28" s="137"/>
      <c r="AS28" s="62"/>
      <c r="AT28" s="62"/>
      <c r="AU28" s="49"/>
      <c r="AV28" s="49"/>
    </row>
    <row r="29" spans="1:48" ht="12.4" customHeight="1" x14ac:dyDescent="0.2">
      <c r="A29" s="79">
        <f>'Raw Data'!A29</f>
        <v>4.0172719955444336</v>
      </c>
      <c r="B29" s="45">
        <f>'Raw Data'!E29</f>
        <v>0</v>
      </c>
      <c r="C29" s="45">
        <f t="shared" si="1"/>
        <v>1</v>
      </c>
      <c r="D29" s="117">
        <f t="shared" si="2"/>
        <v>0</v>
      </c>
      <c r="E29" s="108">
        <f>(2*Table!$AC$16*0.147)/A29</f>
        <v>27.190162196008291</v>
      </c>
      <c r="F29" s="108">
        <f t="shared" si="3"/>
        <v>54.380324392016583</v>
      </c>
      <c r="G29" s="79">
        <f>IF((('Raw Data'!C29)/('Raw Data'!C$136)*100)&lt;0,0,('Raw Data'!C29)/('Raw Data'!C$136)*100)</f>
        <v>0</v>
      </c>
      <c r="H29" s="79">
        <f t="shared" si="4"/>
        <v>0</v>
      </c>
      <c r="I29" s="96">
        <f t="shared" si="5"/>
        <v>3.886542042384411E-2</v>
      </c>
      <c r="J29" s="108">
        <f>'Raw Data'!F29/I29</f>
        <v>0</v>
      </c>
      <c r="K29" s="145">
        <f t="shared" si="6"/>
        <v>1.1246318433663297E-3</v>
      </c>
      <c r="L29" s="79">
        <f>A29*Table!$AC$9/$AC$16</f>
        <v>0.75689140254636977</v>
      </c>
      <c r="M29" s="79">
        <f>A29*Table!$AD$9/$AC$16</f>
        <v>0.25950562373018393</v>
      </c>
      <c r="N29" s="79">
        <f>ABS(A29*Table!$AE$9/$AC$16)</f>
        <v>0.32774359125559505</v>
      </c>
      <c r="O29" s="79">
        <f>($L29*(Table!$AC$10/Table!$AC$9)/(Table!$AC$12-Table!$AC$14))</f>
        <v>1.6235336819956454</v>
      </c>
      <c r="P29" s="79">
        <f>$N29*(Table!$AE$10/Table!$AE$9)/(Table!$AC$12-Table!$AC$13)</f>
        <v>2.6908340825582511</v>
      </c>
      <c r="Q29" s="79">
        <f>'Raw Data'!C29</f>
        <v>0</v>
      </c>
      <c r="R29" s="79">
        <f>'Raw Data'!C29/'Raw Data'!I$30*100</f>
        <v>0</v>
      </c>
      <c r="S29" s="52">
        <f t="shared" si="7"/>
        <v>0</v>
      </c>
      <c r="T29" s="52">
        <f t="shared" si="8"/>
        <v>1</v>
      </c>
      <c r="U29" s="91">
        <f t="shared" si="9"/>
        <v>0</v>
      </c>
      <c r="V29" s="91">
        <f t="shared" si="10"/>
        <v>0</v>
      </c>
      <c r="W29" s="91">
        <f t="shared" si="11"/>
        <v>0</v>
      </c>
      <c r="X29" s="85">
        <f t="shared" si="12"/>
        <v>0</v>
      </c>
      <c r="AS29" s="62"/>
      <c r="AT29" s="62"/>
    </row>
    <row r="30" spans="1:48" ht="12.4" customHeight="1" x14ac:dyDescent="0.2">
      <c r="A30" s="79">
        <f>'Raw Data'!A30</f>
        <v>4.3940186500549316</v>
      </c>
      <c r="B30" s="45">
        <f>'Raw Data'!E30</f>
        <v>0</v>
      </c>
      <c r="C30" s="45">
        <f t="shared" si="1"/>
        <v>1</v>
      </c>
      <c r="D30" s="117">
        <f t="shared" si="2"/>
        <v>0</v>
      </c>
      <c r="E30" s="108">
        <f>(2*Table!$AC$16*0.147)/A30</f>
        <v>24.858856059468366</v>
      </c>
      <c r="F30" s="108">
        <f t="shared" si="3"/>
        <v>49.717712118936731</v>
      </c>
      <c r="G30" s="79">
        <f>IF((('Raw Data'!C30)/('Raw Data'!C$136)*100)&lt;0,0,('Raw Data'!C30)/('Raw Data'!C$136)*100)</f>
        <v>0</v>
      </c>
      <c r="H30" s="79">
        <f t="shared" si="4"/>
        <v>0</v>
      </c>
      <c r="I30" s="96">
        <f t="shared" si="5"/>
        <v>3.8930658616764369E-2</v>
      </c>
      <c r="J30" s="108">
        <f>'Raw Data'!F30/I30</f>
        <v>0</v>
      </c>
      <c r="K30" s="145">
        <f t="shared" si="6"/>
        <v>1.2301017455821038E-3</v>
      </c>
      <c r="L30" s="79">
        <f>A30*Table!$AC$9/$AC$16</f>
        <v>0.8278739758083673</v>
      </c>
      <c r="M30" s="79">
        <f>A30*Table!$AD$9/$AC$16</f>
        <v>0.28384250599144023</v>
      </c>
      <c r="N30" s="79">
        <f>ABS(A30*Table!$AE$9/$AC$16)</f>
        <v>0.35847994709103492</v>
      </c>
      <c r="O30" s="79">
        <f>($L30*(Table!$AC$10/Table!$AC$9)/(Table!$AC$12-Table!$AC$14))</f>
        <v>1.7757914539004021</v>
      </c>
      <c r="P30" s="79">
        <f>$N30*(Table!$AE$10/Table!$AE$9)/(Table!$AC$12-Table!$AC$13)</f>
        <v>2.9431851156899409</v>
      </c>
      <c r="Q30" s="79">
        <f>'Raw Data'!C30</f>
        <v>0</v>
      </c>
      <c r="R30" s="79">
        <f>'Raw Data'!C30/'Raw Data'!I$30*100</f>
        <v>0</v>
      </c>
      <c r="S30" s="52">
        <f t="shared" si="7"/>
        <v>0</v>
      </c>
      <c r="T30" s="52">
        <f t="shared" si="8"/>
        <v>1</v>
      </c>
      <c r="U30" s="91">
        <f t="shared" si="9"/>
        <v>0</v>
      </c>
      <c r="V30" s="91">
        <f t="shared" si="10"/>
        <v>0</v>
      </c>
      <c r="W30" s="91">
        <f t="shared" si="11"/>
        <v>0</v>
      </c>
      <c r="X30" s="85">
        <f t="shared" si="12"/>
        <v>0</v>
      </c>
      <c r="AS30" s="62"/>
      <c r="AT30" s="62"/>
    </row>
    <row r="31" spans="1:48" ht="12.4" customHeight="1" x14ac:dyDescent="0.2">
      <c r="A31" s="79">
        <f>'Raw Data'!A31</f>
        <v>4.8040194511413574</v>
      </c>
      <c r="B31" s="45">
        <f>'Raw Data'!E31</f>
        <v>0</v>
      </c>
      <c r="C31" s="45">
        <f t="shared" si="1"/>
        <v>1</v>
      </c>
      <c r="D31" s="117">
        <f t="shared" si="2"/>
        <v>0</v>
      </c>
      <c r="E31" s="108">
        <f>(2*Table!$AC$16*0.147)/A31</f>
        <v>22.73726787646201</v>
      </c>
      <c r="F31" s="108">
        <f t="shared" si="3"/>
        <v>45.47453575292402</v>
      </c>
      <c r="G31" s="79">
        <f>IF((('Raw Data'!C31)/('Raw Data'!C$136)*100)&lt;0,0,('Raw Data'!C31)/('Raw Data'!C$136)*100)</f>
        <v>0</v>
      </c>
      <c r="H31" s="79">
        <f t="shared" si="4"/>
        <v>0</v>
      </c>
      <c r="I31" s="96">
        <f t="shared" si="5"/>
        <v>3.8742861246621185E-2</v>
      </c>
      <c r="J31" s="108">
        <f>'Raw Data'!F31/I31</f>
        <v>0</v>
      </c>
      <c r="K31" s="145">
        <f t="shared" si="6"/>
        <v>1.3448811175586356E-3</v>
      </c>
      <c r="L31" s="79">
        <f>A31*Table!$AC$9/$AC$16</f>
        <v>0.90512193953191489</v>
      </c>
      <c r="M31" s="79">
        <f>A31*Table!$AD$9/$AC$16</f>
        <v>0.31032752212522796</v>
      </c>
      <c r="N31" s="79">
        <f>ABS(A31*Table!$AE$9/$AC$16)</f>
        <v>0.3919292965786404</v>
      </c>
      <c r="O31" s="79">
        <f>($L31*(Table!$AC$10/Table!$AC$9)/(Table!$AC$12-Table!$AC$14))</f>
        <v>1.9414885017844594</v>
      </c>
      <c r="P31" s="79">
        <f>$N31*(Table!$AE$10/Table!$AE$9)/(Table!$AC$12-Table!$AC$13)</f>
        <v>3.2178103167376051</v>
      </c>
      <c r="Q31" s="79">
        <f>'Raw Data'!C31</f>
        <v>0</v>
      </c>
      <c r="R31" s="79">
        <f>'Raw Data'!C31/'Raw Data'!I$30*100</f>
        <v>0</v>
      </c>
      <c r="S31" s="52">
        <f t="shared" si="7"/>
        <v>0</v>
      </c>
      <c r="T31" s="52">
        <f t="shared" si="8"/>
        <v>1</v>
      </c>
      <c r="U31" s="91">
        <f t="shared" si="9"/>
        <v>0</v>
      </c>
      <c r="V31" s="91">
        <f t="shared" si="10"/>
        <v>0</v>
      </c>
      <c r="W31" s="91">
        <f t="shared" si="11"/>
        <v>0</v>
      </c>
      <c r="X31" s="85">
        <f t="shared" si="12"/>
        <v>0</v>
      </c>
      <c r="AS31" s="62"/>
      <c r="AT31" s="62"/>
    </row>
    <row r="32" spans="1:48" ht="12.4" customHeight="1" x14ac:dyDescent="0.2">
      <c r="A32" s="79">
        <f>'Raw Data'!A32</f>
        <v>5.2533493041992187</v>
      </c>
      <c r="B32" s="45">
        <f>'Raw Data'!E32</f>
        <v>0</v>
      </c>
      <c r="C32" s="45">
        <f t="shared" si="1"/>
        <v>1</v>
      </c>
      <c r="D32" s="117">
        <f t="shared" si="2"/>
        <v>0</v>
      </c>
      <c r="E32" s="108">
        <f>(2*Table!$AC$16*0.147)/A32</f>
        <v>20.792502234150465</v>
      </c>
      <c r="F32" s="108">
        <f t="shared" si="3"/>
        <v>41.58500446830093</v>
      </c>
      <c r="G32" s="79">
        <f>IF((('Raw Data'!C32)/('Raw Data'!C$136)*100)&lt;0,0,('Raw Data'!C32)/('Raw Data'!C$136)*100)</f>
        <v>0</v>
      </c>
      <c r="H32" s="79">
        <f t="shared" si="4"/>
        <v>0</v>
      </c>
      <c r="I32" s="96">
        <f t="shared" si="5"/>
        <v>3.8831521585007023E-2</v>
      </c>
      <c r="J32" s="108">
        <f>'Raw Data'!F32/I32</f>
        <v>0</v>
      </c>
      <c r="K32" s="145">
        <f t="shared" si="6"/>
        <v>1.4706706238416176E-3</v>
      </c>
      <c r="L32" s="79">
        <f>A32*Table!$AC$9/$AC$16</f>
        <v>0.98977986238705584</v>
      </c>
      <c r="M32" s="79">
        <f>A32*Table!$AD$9/$AC$16</f>
        <v>0.33935309567556199</v>
      </c>
      <c r="N32" s="79">
        <f>ABS(A32*Table!$AE$9/$AC$16)</f>
        <v>0.4285872524907281</v>
      </c>
      <c r="O32" s="79">
        <f>($L32*(Table!$AC$10/Table!$AC$9)/(Table!$AC$12-Table!$AC$14))</f>
        <v>2.1230799279001631</v>
      </c>
      <c r="P32" s="79">
        <f>$N32*(Table!$AE$10/Table!$AE$9)/(Table!$AC$12-Table!$AC$13)</f>
        <v>3.5187787560815109</v>
      </c>
      <c r="Q32" s="79">
        <f>'Raw Data'!C32</f>
        <v>0</v>
      </c>
      <c r="R32" s="79">
        <f>'Raw Data'!C32/'Raw Data'!I$30*100</f>
        <v>0</v>
      </c>
      <c r="S32" s="52">
        <f t="shared" si="7"/>
        <v>0</v>
      </c>
      <c r="T32" s="52">
        <f t="shared" si="8"/>
        <v>1</v>
      </c>
      <c r="U32" s="91">
        <f t="shared" si="9"/>
        <v>0</v>
      </c>
      <c r="V32" s="91">
        <f t="shared" si="10"/>
        <v>0</v>
      </c>
      <c r="W32" s="91">
        <f t="shared" si="11"/>
        <v>0</v>
      </c>
      <c r="X32" s="85">
        <f t="shared" si="12"/>
        <v>0</v>
      </c>
      <c r="AS32" s="62"/>
      <c r="AT32" s="62"/>
    </row>
    <row r="33" spans="1:46" ht="12.4" customHeight="1" x14ac:dyDescent="0.2">
      <c r="A33" s="79">
        <f>'Raw Data'!A33</f>
        <v>5.7564778327941895</v>
      </c>
      <c r="B33" s="45">
        <f>'Raw Data'!E33</f>
        <v>0</v>
      </c>
      <c r="C33" s="45">
        <f t="shared" si="1"/>
        <v>1</v>
      </c>
      <c r="D33" s="117">
        <f t="shared" si="2"/>
        <v>0</v>
      </c>
      <c r="E33" s="108">
        <f>(2*Table!$AC$16*0.147)/A33</f>
        <v>18.975192872638019</v>
      </c>
      <c r="F33" s="108">
        <f t="shared" si="3"/>
        <v>37.950385745276037</v>
      </c>
      <c r="G33" s="79">
        <f>IF((('Raw Data'!C33)/('Raw Data'!C$136)*100)&lt;0,0,('Raw Data'!C33)/('Raw Data'!C$136)*100)</f>
        <v>0</v>
      </c>
      <c r="H33" s="79">
        <f t="shared" si="4"/>
        <v>0</v>
      </c>
      <c r="I33" s="96">
        <f t="shared" si="5"/>
        <v>3.9720557860322137E-2</v>
      </c>
      <c r="J33" s="108">
        <f>'Raw Data'!F33/I33</f>
        <v>0</v>
      </c>
      <c r="K33" s="145">
        <f t="shared" si="6"/>
        <v>1.6115210231154333E-3</v>
      </c>
      <c r="L33" s="79">
        <f>A33*Table!$AC$9/$AC$16</f>
        <v>1.0845739560137009</v>
      </c>
      <c r="M33" s="79">
        <f>A33*Table!$AD$9/$AC$16</f>
        <v>0.37185392777612603</v>
      </c>
      <c r="N33" s="79">
        <f>ABS(A33*Table!$AE$9/$AC$16)</f>
        <v>0.4696342990954257</v>
      </c>
      <c r="O33" s="79">
        <f>($L33*(Table!$AC$10/Table!$AC$9)/(Table!$AC$12-Table!$AC$14))</f>
        <v>2.3264134620628507</v>
      </c>
      <c r="P33" s="79">
        <f>$N33*(Table!$AE$10/Table!$AE$9)/(Table!$AC$12-Table!$AC$13)</f>
        <v>3.8557824227867457</v>
      </c>
      <c r="Q33" s="79">
        <f>'Raw Data'!C33</f>
        <v>0</v>
      </c>
      <c r="R33" s="79">
        <f>'Raw Data'!C33/'Raw Data'!I$30*100</f>
        <v>0</v>
      </c>
      <c r="S33" s="52">
        <f t="shared" si="7"/>
        <v>0</v>
      </c>
      <c r="T33" s="52">
        <f t="shared" si="8"/>
        <v>1</v>
      </c>
      <c r="U33" s="91">
        <f t="shared" si="9"/>
        <v>0</v>
      </c>
      <c r="V33" s="91">
        <f t="shared" si="10"/>
        <v>0</v>
      </c>
      <c r="W33" s="91">
        <f t="shared" si="11"/>
        <v>0</v>
      </c>
      <c r="X33" s="85">
        <f t="shared" si="12"/>
        <v>0</v>
      </c>
      <c r="AS33" s="62"/>
      <c r="AT33" s="62"/>
    </row>
    <row r="34" spans="1:46" ht="12.4" customHeight="1" x14ac:dyDescent="0.2">
      <c r="A34" s="79">
        <f>'Raw Data'!A34</f>
        <v>6.2886233329772949</v>
      </c>
      <c r="B34" s="45">
        <f>'Raw Data'!E34</f>
        <v>0</v>
      </c>
      <c r="C34" s="45">
        <f t="shared" si="1"/>
        <v>1</v>
      </c>
      <c r="D34" s="117">
        <f t="shared" si="2"/>
        <v>0</v>
      </c>
      <c r="E34" s="108">
        <f>(2*Table!$AC$16*0.147)/A34</f>
        <v>17.369505432379093</v>
      </c>
      <c r="F34" s="108">
        <f t="shared" si="3"/>
        <v>34.739010864758185</v>
      </c>
      <c r="G34" s="79">
        <f>IF((('Raw Data'!C34)/('Raw Data'!C$136)*100)&lt;0,0,('Raw Data'!C34)/('Raw Data'!C$136)*100)</f>
        <v>0</v>
      </c>
      <c r="H34" s="79">
        <f t="shared" si="4"/>
        <v>0</v>
      </c>
      <c r="I34" s="96">
        <f t="shared" si="5"/>
        <v>3.8398746145942741E-2</v>
      </c>
      <c r="J34" s="108">
        <f>'Raw Data'!F34/I34</f>
        <v>0</v>
      </c>
      <c r="K34" s="145">
        <f t="shared" si="6"/>
        <v>1.7604946986529088E-3</v>
      </c>
      <c r="L34" s="79">
        <f>A34*Table!$AC$9/$AC$16</f>
        <v>1.1848351169306244</v>
      </c>
      <c r="M34" s="79">
        <f>A34*Table!$AD$9/$AC$16</f>
        <v>0.4062291829476426</v>
      </c>
      <c r="N34" s="79">
        <f>ABS(A34*Table!$AE$9/$AC$16)</f>
        <v>0.5130486552789133</v>
      </c>
      <c r="O34" s="79">
        <f>($L34*(Table!$AC$10/Table!$AC$9)/(Table!$AC$12-Table!$AC$14))</f>
        <v>2.541473867290057</v>
      </c>
      <c r="P34" s="79">
        <f>$N34*(Table!$AE$10/Table!$AE$9)/(Table!$AC$12-Table!$AC$13)</f>
        <v>4.212222128726709</v>
      </c>
      <c r="Q34" s="79">
        <f>'Raw Data'!C34</f>
        <v>0</v>
      </c>
      <c r="R34" s="79">
        <f>'Raw Data'!C34/'Raw Data'!I$30*100</f>
        <v>0</v>
      </c>
      <c r="S34" s="52">
        <f t="shared" si="7"/>
        <v>0</v>
      </c>
      <c r="T34" s="52">
        <f t="shared" si="8"/>
        <v>1</v>
      </c>
      <c r="U34" s="91">
        <f t="shared" si="9"/>
        <v>0</v>
      </c>
      <c r="V34" s="91">
        <f t="shared" si="10"/>
        <v>0</v>
      </c>
      <c r="W34" s="91">
        <f t="shared" si="11"/>
        <v>0</v>
      </c>
      <c r="X34" s="85">
        <f t="shared" si="12"/>
        <v>0</v>
      </c>
      <c r="AS34" s="62"/>
      <c r="AT34" s="62"/>
    </row>
    <row r="35" spans="1:46" ht="12.4" customHeight="1" x14ac:dyDescent="0.2">
      <c r="A35" s="79">
        <f>'Raw Data'!A35</f>
        <v>6.8796830177307129</v>
      </c>
      <c r="B35" s="45">
        <f>'Raw Data'!E35</f>
        <v>0</v>
      </c>
      <c r="C35" s="45">
        <f t="shared" si="1"/>
        <v>1</v>
      </c>
      <c r="D35" s="117">
        <f t="shared" si="2"/>
        <v>0</v>
      </c>
      <c r="E35" s="108">
        <f>(2*Table!$AC$16*0.147)/A35</f>
        <v>15.877225282446956</v>
      </c>
      <c r="F35" s="108">
        <f t="shared" si="3"/>
        <v>31.754450564893911</v>
      </c>
      <c r="G35" s="79">
        <f>IF((('Raw Data'!C35)/('Raw Data'!C$136)*100)&lt;0,0,('Raw Data'!C35)/('Raw Data'!C$136)*100)</f>
        <v>0</v>
      </c>
      <c r="H35" s="79">
        <f t="shared" si="4"/>
        <v>0</v>
      </c>
      <c r="I35" s="96">
        <f t="shared" si="5"/>
        <v>3.9012845769123228E-2</v>
      </c>
      <c r="J35" s="108">
        <f>'Raw Data'!F35/I35</f>
        <v>0</v>
      </c>
      <c r="K35" s="145">
        <f t="shared" si="6"/>
        <v>1.9259613495396313E-3</v>
      </c>
      <c r="L35" s="79">
        <f>A35*Table!$AC$9/$AC$16</f>
        <v>1.2961962580925388</v>
      </c>
      <c r="M35" s="79">
        <f>A35*Table!$AD$9/$AC$16</f>
        <v>0.44441014563172759</v>
      </c>
      <c r="N35" s="79">
        <f>ABS(A35*Table!$AE$9/$AC$16)</f>
        <v>0.56126944389923472</v>
      </c>
      <c r="O35" s="79">
        <f>($L35*(Table!$AC$10/Table!$AC$9)/(Table!$AC$12-Table!$AC$14))</f>
        <v>2.7803437539522498</v>
      </c>
      <c r="P35" s="79">
        <f>$N35*(Table!$AE$10/Table!$AE$9)/(Table!$AC$12-Table!$AC$13)</f>
        <v>4.6081235131300051</v>
      </c>
      <c r="Q35" s="79">
        <f>'Raw Data'!C35</f>
        <v>0</v>
      </c>
      <c r="R35" s="79">
        <f>'Raw Data'!C35/'Raw Data'!I$30*100</f>
        <v>0</v>
      </c>
      <c r="S35" s="52">
        <f t="shared" si="7"/>
        <v>0</v>
      </c>
      <c r="T35" s="52">
        <f t="shared" si="8"/>
        <v>1</v>
      </c>
      <c r="U35" s="91">
        <f t="shared" si="9"/>
        <v>0</v>
      </c>
      <c r="V35" s="91">
        <f t="shared" si="10"/>
        <v>0</v>
      </c>
      <c r="W35" s="91">
        <f t="shared" si="11"/>
        <v>0</v>
      </c>
      <c r="X35" s="85">
        <f t="shared" si="12"/>
        <v>0</v>
      </c>
      <c r="AS35" s="62"/>
      <c r="AT35" s="62"/>
    </row>
    <row r="36" spans="1:46" ht="12.4" customHeight="1" x14ac:dyDescent="0.2">
      <c r="A36" s="79">
        <f>'Raw Data'!A36</f>
        <v>7.5385303497314453</v>
      </c>
      <c r="B36" s="45">
        <f>'Raw Data'!E36</f>
        <v>0</v>
      </c>
      <c r="C36" s="45">
        <f t="shared" si="1"/>
        <v>1</v>
      </c>
      <c r="D36" s="117">
        <f t="shared" si="2"/>
        <v>0</v>
      </c>
      <c r="E36" s="108">
        <f>(2*Table!$AC$16*0.147)/A36</f>
        <v>14.48959838017052</v>
      </c>
      <c r="F36" s="108">
        <f t="shared" si="3"/>
        <v>28.97919676034104</v>
      </c>
      <c r="G36" s="79">
        <f>IF((('Raw Data'!C36)/('Raw Data'!C$136)*100)&lt;0,0,('Raw Data'!C36)/('Raw Data'!C$136)*100)</f>
        <v>0</v>
      </c>
      <c r="H36" s="79">
        <f t="shared" si="4"/>
        <v>0</v>
      </c>
      <c r="I36" s="96">
        <f t="shared" si="5"/>
        <v>3.9718259095673503E-2</v>
      </c>
      <c r="J36" s="108">
        <f>'Raw Data'!F36/I36</f>
        <v>0</v>
      </c>
      <c r="K36" s="145">
        <f t="shared" si="6"/>
        <v>2.1104050940276252E-3</v>
      </c>
      <c r="L36" s="79">
        <f>A36*Table!$AC$9/$AC$16</f>
        <v>1.4203292223864803</v>
      </c>
      <c r="M36" s="79">
        <f>A36*Table!$AD$9/$AC$16</f>
        <v>0.48697001910393611</v>
      </c>
      <c r="N36" s="79">
        <f>ABS(A36*Table!$AE$9/$AC$16)</f>
        <v>0.61502059416204469</v>
      </c>
      <c r="O36" s="79">
        <f>($L36*(Table!$AC$10/Table!$AC$9)/(Table!$AC$12-Table!$AC$14))</f>
        <v>3.0466092286282294</v>
      </c>
      <c r="P36" s="79">
        <f>$N36*(Table!$AE$10/Table!$AE$9)/(Table!$AC$12-Table!$AC$13)</f>
        <v>5.0494301655340275</v>
      </c>
      <c r="Q36" s="79">
        <f>'Raw Data'!C36</f>
        <v>0</v>
      </c>
      <c r="R36" s="79">
        <f>'Raw Data'!C36/'Raw Data'!I$30*100</f>
        <v>0</v>
      </c>
      <c r="S36" s="52">
        <f t="shared" si="7"/>
        <v>0</v>
      </c>
      <c r="T36" s="52">
        <f t="shared" si="8"/>
        <v>1</v>
      </c>
      <c r="U36" s="91">
        <f t="shared" si="9"/>
        <v>0</v>
      </c>
      <c r="V36" s="91">
        <f t="shared" si="10"/>
        <v>0</v>
      </c>
      <c r="W36" s="91">
        <f t="shared" si="11"/>
        <v>0</v>
      </c>
      <c r="X36" s="85">
        <f t="shared" si="12"/>
        <v>0</v>
      </c>
      <c r="AS36" s="62"/>
      <c r="AT36" s="62"/>
    </row>
    <row r="37" spans="1:46" ht="12.4" customHeight="1" x14ac:dyDescent="0.2">
      <c r="A37" s="79">
        <f>'Raw Data'!A37</f>
        <v>8.2331094741821289</v>
      </c>
      <c r="B37" s="45">
        <f>'Raw Data'!E37</f>
        <v>0</v>
      </c>
      <c r="C37" s="45">
        <f t="shared" si="1"/>
        <v>1</v>
      </c>
      <c r="D37" s="117">
        <f t="shared" si="2"/>
        <v>0</v>
      </c>
      <c r="E37" s="108">
        <f>(2*Table!$AC$16*0.147)/A37</f>
        <v>13.267196007397425</v>
      </c>
      <c r="F37" s="108">
        <f t="shared" si="3"/>
        <v>26.53439201479485</v>
      </c>
      <c r="G37" s="79">
        <f>IF((('Raw Data'!C37)/('Raw Data'!C$136)*100)&lt;0,0,('Raw Data'!C37)/('Raw Data'!C$136)*100)</f>
        <v>0</v>
      </c>
      <c r="H37" s="79">
        <f t="shared" si="4"/>
        <v>0</v>
      </c>
      <c r="I37" s="96">
        <f t="shared" si="5"/>
        <v>3.8277202567143176E-2</v>
      </c>
      <c r="J37" s="108">
        <f>'Raw Data'!F37/I37</f>
        <v>0</v>
      </c>
      <c r="K37" s="145">
        <f t="shared" si="6"/>
        <v>2.3048519231099263E-3</v>
      </c>
      <c r="L37" s="79">
        <f>A37*Table!$AC$9/$AC$16</f>
        <v>1.551194388665484</v>
      </c>
      <c r="M37" s="79">
        <f>A37*Table!$AD$9/$AC$16</f>
        <v>0.53183807611388023</v>
      </c>
      <c r="N37" s="79">
        <f>ABS(A37*Table!$AE$9/$AC$16)</f>
        <v>0.67168687339609068</v>
      </c>
      <c r="O37" s="79">
        <f>($L37*(Table!$AC$10/Table!$AC$9)/(Table!$AC$12-Table!$AC$14))</f>
        <v>3.3273152910027544</v>
      </c>
      <c r="P37" s="79">
        <f>$N37*(Table!$AE$10/Table!$AE$9)/(Table!$AC$12-Table!$AC$13)</f>
        <v>5.5146705533340761</v>
      </c>
      <c r="Q37" s="79">
        <f>'Raw Data'!C37</f>
        <v>0</v>
      </c>
      <c r="R37" s="79">
        <f>'Raw Data'!C37/'Raw Data'!I$30*100</f>
        <v>0</v>
      </c>
      <c r="S37" s="52">
        <f t="shared" si="7"/>
        <v>0</v>
      </c>
      <c r="T37" s="52">
        <f t="shared" si="8"/>
        <v>1</v>
      </c>
      <c r="U37" s="91">
        <f t="shared" si="9"/>
        <v>0</v>
      </c>
      <c r="V37" s="91">
        <f t="shared" si="10"/>
        <v>0</v>
      </c>
      <c r="W37" s="91">
        <f t="shared" si="11"/>
        <v>0</v>
      </c>
      <c r="X37" s="85">
        <f t="shared" si="12"/>
        <v>0</v>
      </c>
      <c r="AS37" s="62"/>
      <c r="AT37" s="62"/>
    </row>
    <row r="38" spans="1:46" ht="12.4" customHeight="1" x14ac:dyDescent="0.2">
      <c r="A38" s="79">
        <f>'Raw Data'!A38</f>
        <v>9.0138616561889648</v>
      </c>
      <c r="B38" s="45">
        <f>'Raw Data'!E38</f>
        <v>0</v>
      </c>
      <c r="C38" s="45">
        <f t="shared" si="1"/>
        <v>1</v>
      </c>
      <c r="D38" s="117">
        <f t="shared" si="2"/>
        <v>0</v>
      </c>
      <c r="E38" s="108">
        <f>(2*Table!$AC$16*0.147)/A38</f>
        <v>12.118033458982252</v>
      </c>
      <c r="F38" s="108">
        <f t="shared" si="3"/>
        <v>24.236066917964504</v>
      </c>
      <c r="G38" s="79">
        <f>IF((('Raw Data'!C38)/('Raw Data'!C$136)*100)&lt;0,0,('Raw Data'!C38)/('Raw Data'!C$136)*100)</f>
        <v>0</v>
      </c>
      <c r="H38" s="79">
        <f t="shared" si="4"/>
        <v>0</v>
      </c>
      <c r="I38" s="96">
        <f t="shared" si="5"/>
        <v>3.9346998093720664E-2</v>
      </c>
      <c r="J38" s="108">
        <f>'Raw Data'!F38/I38</f>
        <v>0</v>
      </c>
      <c r="K38" s="145">
        <f t="shared" si="6"/>
        <v>2.5234228256120449E-3</v>
      </c>
      <c r="L38" s="79">
        <f>A38*Table!$AC$9/$AC$16</f>
        <v>1.6982953603536621</v>
      </c>
      <c r="M38" s="79">
        <f>A38*Table!$AD$9/$AC$16</f>
        <v>0.58227269497839851</v>
      </c>
      <c r="N38" s="79">
        <f>ABS(A38*Table!$AE$9/$AC$16)</f>
        <v>0.73538346259775955</v>
      </c>
      <c r="O38" s="79">
        <f>($L38*(Table!$AC$10/Table!$AC$9)/(Table!$AC$12-Table!$AC$14))</f>
        <v>3.6428471908057967</v>
      </c>
      <c r="P38" s="79">
        <f>$N38*(Table!$AE$10/Table!$AE$9)/(Table!$AC$12-Table!$AC$13)</f>
        <v>6.0376310558108326</v>
      </c>
      <c r="Q38" s="79">
        <f>'Raw Data'!C38</f>
        <v>0</v>
      </c>
      <c r="R38" s="79">
        <f>'Raw Data'!C38/'Raw Data'!I$30*100</f>
        <v>0</v>
      </c>
      <c r="S38" s="52">
        <f t="shared" si="7"/>
        <v>0</v>
      </c>
      <c r="T38" s="52">
        <f t="shared" si="8"/>
        <v>1</v>
      </c>
      <c r="U38" s="91">
        <f t="shared" si="9"/>
        <v>0</v>
      </c>
      <c r="V38" s="91">
        <f t="shared" si="10"/>
        <v>0</v>
      </c>
      <c r="W38" s="91">
        <f t="shared" si="11"/>
        <v>0</v>
      </c>
      <c r="X38" s="85">
        <f t="shared" si="12"/>
        <v>0</v>
      </c>
      <c r="AS38" s="62"/>
      <c r="AT38" s="62"/>
    </row>
    <row r="39" spans="1:46" ht="12.4" customHeight="1" x14ac:dyDescent="0.2">
      <c r="A39" s="79">
        <f>'Raw Data'!A39</f>
        <v>9.8675165176391602</v>
      </c>
      <c r="B39" s="45">
        <f>'Raw Data'!E39</f>
        <v>0</v>
      </c>
      <c r="C39" s="45">
        <f t="shared" si="1"/>
        <v>1</v>
      </c>
      <c r="D39" s="117">
        <f t="shared" si="2"/>
        <v>0</v>
      </c>
      <c r="E39" s="108">
        <f>(2*Table!$AC$16*0.147)/A39</f>
        <v>11.069682726051195</v>
      </c>
      <c r="F39" s="108">
        <f t="shared" si="3"/>
        <v>22.139365452102389</v>
      </c>
      <c r="G39" s="79">
        <f>IF((('Raw Data'!C39)/('Raw Data'!C$136)*100)&lt;0,0,('Raw Data'!C39)/('Raw Data'!C$136)*100)</f>
        <v>0</v>
      </c>
      <c r="H39" s="79">
        <f t="shared" si="4"/>
        <v>0</v>
      </c>
      <c r="I39" s="96">
        <f t="shared" si="5"/>
        <v>3.9296973771865362E-2</v>
      </c>
      <c r="J39" s="108">
        <f>'Raw Data'!F39/I39</f>
        <v>0</v>
      </c>
      <c r="K39" s="145">
        <f t="shared" si="6"/>
        <v>2.7624027705836956E-3</v>
      </c>
      <c r="L39" s="79">
        <f>A39*Table!$AC$9/$AC$16</f>
        <v>1.8591318748067993</v>
      </c>
      <c r="M39" s="79">
        <f>A39*Table!$AD$9/$AC$16</f>
        <v>0.6374166427909026</v>
      </c>
      <c r="N39" s="79">
        <f>ABS(A39*Table!$AE$9/$AC$16)</f>
        <v>0.80502771628403946</v>
      </c>
      <c r="O39" s="79">
        <f>($L39*(Table!$AC$10/Table!$AC$9)/(Table!$AC$12-Table!$AC$14))</f>
        <v>3.9878418593024443</v>
      </c>
      <c r="P39" s="79">
        <f>$N39*(Table!$AE$10/Table!$AE$9)/(Table!$AC$12-Table!$AC$13)</f>
        <v>6.6094229579970385</v>
      </c>
      <c r="Q39" s="79">
        <f>'Raw Data'!C39</f>
        <v>0</v>
      </c>
      <c r="R39" s="79">
        <f>'Raw Data'!C39/'Raw Data'!I$30*100</f>
        <v>0</v>
      </c>
      <c r="S39" s="52">
        <f t="shared" si="7"/>
        <v>0</v>
      </c>
      <c r="T39" s="52">
        <f t="shared" si="8"/>
        <v>1</v>
      </c>
      <c r="U39" s="91">
        <f t="shared" si="9"/>
        <v>0</v>
      </c>
      <c r="V39" s="91">
        <f t="shared" si="10"/>
        <v>0</v>
      </c>
      <c r="W39" s="91">
        <f t="shared" si="11"/>
        <v>0</v>
      </c>
      <c r="X39" s="85">
        <f t="shared" si="12"/>
        <v>0</v>
      </c>
      <c r="AS39" s="62"/>
      <c r="AT39" s="62"/>
    </row>
    <row r="40" spans="1:46" ht="12.4" customHeight="1" x14ac:dyDescent="0.2">
      <c r="A40" s="79">
        <f>'Raw Data'!A40</f>
        <v>10.777927398681641</v>
      </c>
      <c r="B40" s="45">
        <f>'Raw Data'!E40</f>
        <v>0</v>
      </c>
      <c r="C40" s="45">
        <f t="shared" si="1"/>
        <v>1</v>
      </c>
      <c r="D40" s="117">
        <f t="shared" si="2"/>
        <v>0</v>
      </c>
      <c r="E40" s="108">
        <f>(2*Table!$AC$16*0.147)/A40</f>
        <v>10.134627290001612</v>
      </c>
      <c r="F40" s="108">
        <f t="shared" si="3"/>
        <v>20.269254580003224</v>
      </c>
      <c r="G40" s="79">
        <f>IF((('Raw Data'!C40)/('Raw Data'!C$136)*100)&lt;0,0,('Raw Data'!C40)/('Raw Data'!C$136)*100)</f>
        <v>0</v>
      </c>
      <c r="H40" s="79">
        <f t="shared" si="4"/>
        <v>0</v>
      </c>
      <c r="I40" s="96">
        <f t="shared" si="5"/>
        <v>3.8327391762456697E-2</v>
      </c>
      <c r="J40" s="108">
        <f>'Raw Data'!F40/I40</f>
        <v>0</v>
      </c>
      <c r="K40" s="145">
        <f t="shared" si="6"/>
        <v>3.0172715144733677E-3</v>
      </c>
      <c r="L40" s="79">
        <f>A40*Table!$AC$9/$AC$16</f>
        <v>2.030661751153231</v>
      </c>
      <c r="M40" s="79">
        <f>A40*Table!$AD$9/$AC$16</f>
        <v>0.6962268861096792</v>
      </c>
      <c r="N40" s="79">
        <f>ABS(A40*Table!$AE$9/$AC$16)</f>
        <v>0.87930233149604609</v>
      </c>
      <c r="O40" s="79">
        <f>($L40*(Table!$AC$10/Table!$AC$9)/(Table!$AC$12-Table!$AC$14))</f>
        <v>4.3557738119974934</v>
      </c>
      <c r="P40" s="79">
        <f>$N40*(Table!$AE$10/Table!$AE$9)/(Table!$AC$12-Table!$AC$13)</f>
        <v>7.2192309646637591</v>
      </c>
      <c r="Q40" s="79">
        <f>'Raw Data'!C40</f>
        <v>0</v>
      </c>
      <c r="R40" s="79">
        <f>'Raw Data'!C40/'Raw Data'!I$30*100</f>
        <v>0</v>
      </c>
      <c r="S40" s="52">
        <f t="shared" si="7"/>
        <v>0</v>
      </c>
      <c r="T40" s="52">
        <f t="shared" si="8"/>
        <v>1</v>
      </c>
      <c r="U40" s="91">
        <f t="shared" si="9"/>
        <v>0</v>
      </c>
      <c r="V40" s="91">
        <f t="shared" si="10"/>
        <v>0</v>
      </c>
      <c r="W40" s="91">
        <f t="shared" si="11"/>
        <v>0</v>
      </c>
      <c r="X40" s="85">
        <f t="shared" si="12"/>
        <v>0</v>
      </c>
      <c r="AS40" s="62"/>
      <c r="AT40" s="62"/>
    </row>
    <row r="41" spans="1:46" ht="12.4" customHeight="1" x14ac:dyDescent="0.2">
      <c r="A41" s="79">
        <f>'Raw Data'!A41</f>
        <v>11.872514724731445</v>
      </c>
      <c r="B41" s="45">
        <f>'Raw Data'!E41</f>
        <v>0</v>
      </c>
      <c r="C41" s="45">
        <f t="shared" si="1"/>
        <v>1</v>
      </c>
      <c r="D41" s="117">
        <f t="shared" si="2"/>
        <v>0</v>
      </c>
      <c r="E41" s="108">
        <f>(2*Table!$AC$16*0.147)/A41</f>
        <v>9.200264617638183</v>
      </c>
      <c r="F41" s="108">
        <f t="shared" si="3"/>
        <v>18.400529235276366</v>
      </c>
      <c r="G41" s="79">
        <f>IF((('Raw Data'!C41)/('Raw Data'!C$136)*100)&lt;0,0,('Raw Data'!C41)/('Raw Data'!C$136)*100)</f>
        <v>0</v>
      </c>
      <c r="H41" s="79">
        <f t="shared" si="4"/>
        <v>0</v>
      </c>
      <c r="I41" s="96">
        <f t="shared" si="5"/>
        <v>4.2007463068553408E-2</v>
      </c>
      <c r="J41" s="108">
        <f>'Raw Data'!F41/I41</f>
        <v>0</v>
      </c>
      <c r="K41" s="145">
        <f t="shared" si="6"/>
        <v>3.3237002958917358E-3</v>
      </c>
      <c r="L41" s="79">
        <f>A41*Table!$AC$9/$AC$16</f>
        <v>2.2368921824862826</v>
      </c>
      <c r="M41" s="79">
        <f>A41*Table!$AD$9/$AC$16</f>
        <v>0.76693446256672537</v>
      </c>
      <c r="N41" s="79">
        <f>ABS(A41*Table!$AE$9/$AC$16)</f>
        <v>0.96860272777996859</v>
      </c>
      <c r="O41" s="79">
        <f>($L41*(Table!$AC$10/Table!$AC$9)/(Table!$AC$12-Table!$AC$14))</f>
        <v>4.7981385295716059</v>
      </c>
      <c r="P41" s="79">
        <f>$N41*(Table!$AE$10/Table!$AE$9)/(Table!$AC$12-Table!$AC$13)</f>
        <v>7.9524033479471949</v>
      </c>
      <c r="Q41" s="79">
        <f>'Raw Data'!C41</f>
        <v>0</v>
      </c>
      <c r="R41" s="79">
        <f>'Raw Data'!C41/'Raw Data'!I$30*100</f>
        <v>0</v>
      </c>
      <c r="S41" s="52">
        <f t="shared" si="7"/>
        <v>0</v>
      </c>
      <c r="T41" s="52">
        <f t="shared" si="8"/>
        <v>1</v>
      </c>
      <c r="U41" s="91">
        <f t="shared" si="9"/>
        <v>0</v>
      </c>
      <c r="V41" s="91">
        <f t="shared" si="10"/>
        <v>0</v>
      </c>
      <c r="W41" s="91">
        <f t="shared" si="11"/>
        <v>0</v>
      </c>
      <c r="X41" s="85">
        <f t="shared" si="12"/>
        <v>0</v>
      </c>
      <c r="AS41" s="62"/>
      <c r="AT41" s="62"/>
    </row>
    <row r="42" spans="1:46" ht="12.4" customHeight="1" x14ac:dyDescent="0.2">
      <c r="A42" s="79">
        <f>'Raw Data'!A42</f>
        <v>12.863264083862305</v>
      </c>
      <c r="B42" s="45">
        <f>'Raw Data'!E42</f>
        <v>0</v>
      </c>
      <c r="C42" s="45">
        <f t="shared" si="1"/>
        <v>1</v>
      </c>
      <c r="D42" s="117">
        <f t="shared" si="2"/>
        <v>0</v>
      </c>
      <c r="E42" s="108">
        <f>(2*Table!$AC$16*0.147)/A42</f>
        <v>8.4916453889313086</v>
      </c>
      <c r="F42" s="108">
        <f t="shared" si="3"/>
        <v>16.983290777862617</v>
      </c>
      <c r="G42" s="79">
        <f>IF((('Raw Data'!C42)/('Raw Data'!C$136)*100)&lt;0,0,('Raw Data'!C42)/('Raw Data'!C$136)*100)</f>
        <v>0</v>
      </c>
      <c r="H42" s="79">
        <f t="shared" si="4"/>
        <v>0</v>
      </c>
      <c r="I42" s="96">
        <f t="shared" si="5"/>
        <v>3.4808468948231641E-2</v>
      </c>
      <c r="J42" s="108">
        <f>'Raw Data'!F42/I42</f>
        <v>0</v>
      </c>
      <c r="K42" s="145">
        <f t="shared" si="6"/>
        <v>3.6010597276925054E-3</v>
      </c>
      <c r="L42" s="79">
        <f>A42*Table!$AC$9/$AC$16</f>
        <v>2.4235585752115392</v>
      </c>
      <c r="M42" s="79">
        <f>A42*Table!$AD$9/$AC$16</f>
        <v>0.83093436864395631</v>
      </c>
      <c r="N42" s="79">
        <f>ABS(A42*Table!$AE$9/$AC$16)</f>
        <v>1.049431646846406</v>
      </c>
      <c r="O42" s="79">
        <f>($L42*(Table!$AC$10/Table!$AC$9)/(Table!$AC$12-Table!$AC$14))</f>
        <v>5.1985383423670948</v>
      </c>
      <c r="P42" s="79">
        <f>$N42*(Table!$AE$10/Table!$AE$9)/(Table!$AC$12-Table!$AC$13)</f>
        <v>8.6160233731232001</v>
      </c>
      <c r="Q42" s="79">
        <f>'Raw Data'!C42</f>
        <v>0</v>
      </c>
      <c r="R42" s="79">
        <f>'Raw Data'!C42/'Raw Data'!I$30*100</f>
        <v>0</v>
      </c>
      <c r="S42" s="52">
        <f t="shared" si="7"/>
        <v>0</v>
      </c>
      <c r="T42" s="52">
        <f t="shared" si="8"/>
        <v>1</v>
      </c>
      <c r="U42" s="91">
        <f t="shared" si="9"/>
        <v>0</v>
      </c>
      <c r="V42" s="91">
        <f t="shared" si="10"/>
        <v>0</v>
      </c>
      <c r="W42" s="91">
        <f t="shared" si="11"/>
        <v>0</v>
      </c>
      <c r="X42" s="85">
        <f t="shared" si="12"/>
        <v>0</v>
      </c>
      <c r="AS42" s="62"/>
      <c r="AT42" s="62"/>
    </row>
    <row r="43" spans="1:46" ht="12.4" customHeight="1" x14ac:dyDescent="0.2">
      <c r="A43" s="79">
        <f>'Raw Data'!A43</f>
        <v>14.165449142456055</v>
      </c>
      <c r="B43" s="45">
        <f>'Raw Data'!E43</f>
        <v>0</v>
      </c>
      <c r="C43" s="45">
        <f t="shared" si="1"/>
        <v>1</v>
      </c>
      <c r="D43" s="117">
        <f t="shared" si="2"/>
        <v>0</v>
      </c>
      <c r="E43" s="108">
        <f>(2*Table!$AC$16*0.147)/A43</f>
        <v>7.711035212922047</v>
      </c>
      <c r="F43" s="108">
        <f t="shared" si="3"/>
        <v>15.422070425844094</v>
      </c>
      <c r="G43" s="79">
        <f>IF((('Raw Data'!C43)/('Raw Data'!C$136)*100)&lt;0,0,('Raw Data'!C43)/('Raw Data'!C$136)*100)</f>
        <v>0</v>
      </c>
      <c r="H43" s="79">
        <f t="shared" si="4"/>
        <v>0</v>
      </c>
      <c r="I43" s="96">
        <f t="shared" si="5"/>
        <v>4.1879163375071693E-2</v>
      </c>
      <c r="J43" s="108">
        <f>'Raw Data'!F43/I43</f>
        <v>0</v>
      </c>
      <c r="K43" s="145">
        <f t="shared" si="6"/>
        <v>3.9656053159610209E-3</v>
      </c>
      <c r="L43" s="79">
        <f>A43*Table!$AC$9/$AC$16</f>
        <v>2.6689023499091689</v>
      </c>
      <c r="M43" s="79">
        <f>A43*Table!$AD$9/$AC$16</f>
        <v>0.91505223425457216</v>
      </c>
      <c r="N43" s="79">
        <f>ABS(A43*Table!$AE$9/$AC$16)</f>
        <v>1.1556686176206625</v>
      </c>
      <c r="O43" s="79">
        <f>($L43*(Table!$AC$10/Table!$AC$9)/(Table!$AC$12-Table!$AC$14))</f>
        <v>5.724801265356434</v>
      </c>
      <c r="P43" s="79">
        <f>$N43*(Table!$AE$10/Table!$AE$9)/(Table!$AC$12-Table!$AC$13)</f>
        <v>9.4882480921236638</v>
      </c>
      <c r="Q43" s="79">
        <f>'Raw Data'!C43</f>
        <v>0</v>
      </c>
      <c r="R43" s="79">
        <f>'Raw Data'!C43/'Raw Data'!I$30*100</f>
        <v>0</v>
      </c>
      <c r="S43" s="52">
        <f t="shared" si="7"/>
        <v>0</v>
      </c>
      <c r="T43" s="52">
        <f t="shared" si="8"/>
        <v>1</v>
      </c>
      <c r="U43" s="91">
        <f t="shared" si="9"/>
        <v>0</v>
      </c>
      <c r="V43" s="91">
        <f t="shared" si="10"/>
        <v>0</v>
      </c>
      <c r="W43" s="91">
        <f t="shared" si="11"/>
        <v>0</v>
      </c>
      <c r="X43" s="85">
        <f t="shared" si="12"/>
        <v>0</v>
      </c>
      <c r="AS43" s="62"/>
      <c r="AT43" s="62"/>
    </row>
    <row r="44" spans="1:46" ht="12.4" customHeight="1" x14ac:dyDescent="0.2">
      <c r="A44" s="79">
        <f>'Raw Data'!A44</f>
        <v>15.458123207092285</v>
      </c>
      <c r="B44" s="45">
        <f>'Raw Data'!E44</f>
        <v>0</v>
      </c>
      <c r="C44" s="45">
        <f t="shared" si="1"/>
        <v>1</v>
      </c>
      <c r="D44" s="117">
        <f t="shared" si="2"/>
        <v>0</v>
      </c>
      <c r="E44" s="108">
        <f>(2*Table!$AC$16*0.147)/A44</f>
        <v>7.0662056241225653</v>
      </c>
      <c r="F44" s="108">
        <f t="shared" si="3"/>
        <v>14.132411248245131</v>
      </c>
      <c r="G44" s="79">
        <f>IF((('Raw Data'!C44)/('Raw Data'!C$136)*100)&lt;0,0,('Raw Data'!C44)/('Raw Data'!C$136)*100)</f>
        <v>0</v>
      </c>
      <c r="H44" s="79">
        <f t="shared" si="4"/>
        <v>0</v>
      </c>
      <c r="I44" s="96">
        <f t="shared" si="5"/>
        <v>3.7926415261312796E-2</v>
      </c>
      <c r="J44" s="108">
        <f>'Raw Data'!F44/I44</f>
        <v>0</v>
      </c>
      <c r="K44" s="145">
        <f t="shared" si="6"/>
        <v>4.3274883096433214E-3</v>
      </c>
      <c r="L44" s="79">
        <f>A44*Table!$AC$9/$AC$16</f>
        <v>2.9124541648977966</v>
      </c>
      <c r="M44" s="79">
        <f>A44*Table!$AD$9/$AC$16</f>
        <v>0.99855571367924456</v>
      </c>
      <c r="N44" s="79">
        <f>ABS(A44*Table!$AE$9/$AC$16)</f>
        <v>1.2611296470796423</v>
      </c>
      <c r="O44" s="79">
        <f>($L44*(Table!$AC$10/Table!$AC$9)/(Table!$AC$12-Table!$AC$14))</f>
        <v>6.2472204309262054</v>
      </c>
      <c r="P44" s="79">
        <f>$N44*(Table!$AE$10/Table!$AE$9)/(Table!$AC$12-Table!$AC$13)</f>
        <v>10.354102192772102</v>
      </c>
      <c r="Q44" s="79">
        <f>'Raw Data'!C44</f>
        <v>0</v>
      </c>
      <c r="R44" s="79">
        <f>'Raw Data'!C44/'Raw Data'!I$30*100</f>
        <v>0</v>
      </c>
      <c r="S44" s="52">
        <f t="shared" si="7"/>
        <v>0</v>
      </c>
      <c r="T44" s="52">
        <f t="shared" si="8"/>
        <v>1</v>
      </c>
      <c r="U44" s="91">
        <f t="shared" si="9"/>
        <v>0</v>
      </c>
      <c r="V44" s="91">
        <f t="shared" si="10"/>
        <v>0</v>
      </c>
      <c r="W44" s="91">
        <f t="shared" si="11"/>
        <v>0</v>
      </c>
      <c r="X44" s="85">
        <f t="shared" si="12"/>
        <v>0</v>
      </c>
      <c r="AS44" s="62"/>
      <c r="AT44" s="62"/>
    </row>
    <row r="45" spans="1:46" ht="12.4" customHeight="1" x14ac:dyDescent="0.2">
      <c r="A45" s="79">
        <f>'Raw Data'!A45</f>
        <v>16.863029479980469</v>
      </c>
      <c r="B45" s="45">
        <f>'Raw Data'!E45</f>
        <v>0</v>
      </c>
      <c r="C45" s="45">
        <f t="shared" si="1"/>
        <v>1</v>
      </c>
      <c r="D45" s="117">
        <f t="shared" si="2"/>
        <v>0</v>
      </c>
      <c r="E45" s="108">
        <f>(2*Table!$AC$16*0.147)/A45</f>
        <v>6.4775002186891486</v>
      </c>
      <c r="F45" s="108">
        <f t="shared" si="3"/>
        <v>12.955000437378297</v>
      </c>
      <c r="G45" s="79">
        <f>IF((('Raw Data'!C45)/('Raw Data'!C$136)*100)&lt;0,0,('Raw Data'!C45)/('Raw Data'!C$136)*100)</f>
        <v>0</v>
      </c>
      <c r="H45" s="79">
        <f t="shared" si="4"/>
        <v>0</v>
      </c>
      <c r="I45" s="96">
        <f t="shared" si="5"/>
        <v>3.7778834780640258E-2</v>
      </c>
      <c r="J45" s="108">
        <f>'Raw Data'!F45/I45</f>
        <v>0</v>
      </c>
      <c r="K45" s="145">
        <f t="shared" si="6"/>
        <v>4.720790613591758E-3</v>
      </c>
      <c r="L45" s="79">
        <f>A45*Table!$AC$9/$AC$16</f>
        <v>3.1771515716235315</v>
      </c>
      <c r="M45" s="79">
        <f>A45*Table!$AD$9/$AC$16</f>
        <v>1.0893091102709251</v>
      </c>
      <c r="N45" s="79">
        <f>ABS(A45*Table!$AE$9/$AC$16)</f>
        <v>1.3757469863498166</v>
      </c>
      <c r="O45" s="79">
        <f>($L45*(Table!$AC$10/Table!$AC$9)/(Table!$AC$12-Table!$AC$14))</f>
        <v>6.814996936129412</v>
      </c>
      <c r="P45" s="79">
        <f>$N45*(Table!$AE$10/Table!$AE$9)/(Table!$AC$12-Table!$AC$13)</f>
        <v>11.295131250819511</v>
      </c>
      <c r="Q45" s="79">
        <f>'Raw Data'!C45</f>
        <v>0</v>
      </c>
      <c r="R45" s="79">
        <f>'Raw Data'!C45/'Raw Data'!I$30*100</f>
        <v>0</v>
      </c>
      <c r="S45" s="52">
        <f t="shared" si="7"/>
        <v>0</v>
      </c>
      <c r="T45" s="52">
        <f t="shared" si="8"/>
        <v>1</v>
      </c>
      <c r="U45" s="91">
        <f t="shared" si="9"/>
        <v>0</v>
      </c>
      <c r="V45" s="91">
        <f t="shared" si="10"/>
        <v>0</v>
      </c>
      <c r="W45" s="91">
        <f t="shared" si="11"/>
        <v>0</v>
      </c>
      <c r="X45" s="85">
        <f t="shared" si="12"/>
        <v>0</v>
      </c>
      <c r="AS45" s="62"/>
      <c r="AT45" s="62"/>
    </row>
    <row r="46" spans="1:46" ht="12.4" customHeight="1" x14ac:dyDescent="0.2">
      <c r="A46" s="79">
        <f>'Raw Data'!A46</f>
        <v>18.45722770690918</v>
      </c>
      <c r="B46" s="45">
        <f>'Raw Data'!E46</f>
        <v>0</v>
      </c>
      <c r="C46" s="45">
        <f t="shared" si="1"/>
        <v>1</v>
      </c>
      <c r="D46" s="117">
        <f t="shared" si="2"/>
        <v>0</v>
      </c>
      <c r="E46" s="108">
        <f>(2*Table!$AC$16*0.147)/A46</f>
        <v>5.9180218654097425</v>
      </c>
      <c r="F46" s="108">
        <f t="shared" si="3"/>
        <v>11.836043730819485</v>
      </c>
      <c r="G46" s="79">
        <f>IF((('Raw Data'!C46)/('Raw Data'!C$136)*100)&lt;0,0,('Raw Data'!C46)/('Raw Data'!C$136)*100)</f>
        <v>0</v>
      </c>
      <c r="H46" s="79">
        <f t="shared" si="4"/>
        <v>0</v>
      </c>
      <c r="I46" s="96">
        <f t="shared" si="5"/>
        <v>3.9230870897905334E-2</v>
      </c>
      <c r="J46" s="108">
        <f>'Raw Data'!F46/I46</f>
        <v>0</v>
      </c>
      <c r="K46" s="145">
        <f t="shared" si="6"/>
        <v>5.1670850374273027E-3</v>
      </c>
      <c r="L46" s="79">
        <f>A46*Table!$AC$9/$AC$16</f>
        <v>3.4775133428093734</v>
      </c>
      <c r="M46" s="79">
        <f>A46*Table!$AD$9/$AC$16</f>
        <v>1.1922902889632139</v>
      </c>
      <c r="N46" s="79">
        <f>ABS(A46*Table!$AE$9/$AC$16)</f>
        <v>1.5058074484361306</v>
      </c>
      <c r="O46" s="79">
        <f>($L46*(Table!$AC$10/Table!$AC$9)/(Table!$AC$12-Table!$AC$14))</f>
        <v>7.4592735795996861</v>
      </c>
      <c r="P46" s="79">
        <f>$N46*(Table!$AE$10/Table!$AE$9)/(Table!$AC$12-Table!$AC$13)</f>
        <v>12.362951136585634</v>
      </c>
      <c r="Q46" s="79">
        <f>'Raw Data'!C46</f>
        <v>0</v>
      </c>
      <c r="R46" s="79">
        <f>'Raw Data'!C46/'Raw Data'!I$30*100</f>
        <v>0</v>
      </c>
      <c r="S46" s="52">
        <f t="shared" si="7"/>
        <v>0</v>
      </c>
      <c r="T46" s="52">
        <f t="shared" si="8"/>
        <v>1</v>
      </c>
      <c r="U46" s="91">
        <f t="shared" si="9"/>
        <v>0</v>
      </c>
      <c r="V46" s="91">
        <f t="shared" si="10"/>
        <v>0</v>
      </c>
      <c r="W46" s="91">
        <f t="shared" si="11"/>
        <v>0</v>
      </c>
      <c r="X46" s="85">
        <f t="shared" si="12"/>
        <v>0</v>
      </c>
      <c r="AS46" s="62"/>
      <c r="AT46" s="62"/>
    </row>
    <row r="47" spans="1:46" ht="12.4" customHeight="1" x14ac:dyDescent="0.2">
      <c r="A47" s="79">
        <f>'Raw Data'!A47</f>
        <v>20.289402008056641</v>
      </c>
      <c r="B47" s="45">
        <f>'Raw Data'!E47</f>
        <v>0</v>
      </c>
      <c r="C47" s="45">
        <f t="shared" si="1"/>
        <v>1</v>
      </c>
      <c r="D47" s="117">
        <f t="shared" si="2"/>
        <v>0</v>
      </c>
      <c r="E47" s="108">
        <f>(2*Table!$AC$16*0.147)/A47</f>
        <v>5.383612444613262</v>
      </c>
      <c r="F47" s="108">
        <f t="shared" si="3"/>
        <v>10.767224889226524</v>
      </c>
      <c r="G47" s="79">
        <f>IF((('Raw Data'!C47)/('Raw Data'!C$136)*100)&lt;0,0,('Raw Data'!C47)/('Raw Data'!C$136)*100)</f>
        <v>0</v>
      </c>
      <c r="H47" s="79">
        <f t="shared" si="4"/>
        <v>0</v>
      </c>
      <c r="I47" s="96">
        <f t="shared" si="5"/>
        <v>4.1102777063761531E-2</v>
      </c>
      <c r="J47" s="108">
        <f>'Raw Data'!F47/I47</f>
        <v>0</v>
      </c>
      <c r="K47" s="145">
        <f t="shared" si="6"/>
        <v>5.68000065876268E-3</v>
      </c>
      <c r="L47" s="79">
        <f>A47*Table!$AC$9/$AC$16</f>
        <v>3.8227120194344497</v>
      </c>
      <c r="M47" s="79">
        <f>A47*Table!$AD$9/$AC$16</f>
        <v>1.3106441209489541</v>
      </c>
      <c r="N47" s="79">
        <f>ABS(A47*Table!$AE$9/$AC$16)</f>
        <v>1.6552828600911729</v>
      </c>
      <c r="O47" s="79">
        <f>($L47*(Table!$AC$10/Table!$AC$9)/(Table!$AC$12-Table!$AC$14))</f>
        <v>8.1997254814123774</v>
      </c>
      <c r="P47" s="79">
        <f>$N47*(Table!$AE$10/Table!$AE$9)/(Table!$AC$12-Table!$AC$13)</f>
        <v>13.590171265116361</v>
      </c>
      <c r="Q47" s="79">
        <f>'Raw Data'!C47</f>
        <v>0</v>
      </c>
      <c r="R47" s="79">
        <f>'Raw Data'!C47/'Raw Data'!I$30*100</f>
        <v>0</v>
      </c>
      <c r="S47" s="52">
        <f t="shared" si="7"/>
        <v>0</v>
      </c>
      <c r="T47" s="52">
        <f t="shared" si="8"/>
        <v>1</v>
      </c>
      <c r="U47" s="91">
        <f t="shared" si="9"/>
        <v>0</v>
      </c>
      <c r="V47" s="91">
        <f t="shared" si="10"/>
        <v>0</v>
      </c>
      <c r="W47" s="91">
        <f t="shared" si="11"/>
        <v>0</v>
      </c>
      <c r="X47" s="85">
        <f t="shared" si="12"/>
        <v>0</v>
      </c>
      <c r="AS47" s="62"/>
      <c r="AT47" s="62"/>
    </row>
    <row r="48" spans="1:46" ht="12.4" customHeight="1" x14ac:dyDescent="0.2">
      <c r="A48" s="79">
        <f>'Raw Data'!A48</f>
        <v>22.192638397216797</v>
      </c>
      <c r="B48" s="45">
        <f>'Raw Data'!E48</f>
        <v>0</v>
      </c>
      <c r="C48" s="45">
        <f t="shared" si="1"/>
        <v>1</v>
      </c>
      <c r="D48" s="117">
        <f t="shared" si="2"/>
        <v>0</v>
      </c>
      <c r="E48" s="108">
        <f>(2*Table!$AC$16*0.147)/A48</f>
        <v>4.9219148795770824</v>
      </c>
      <c r="F48" s="108">
        <f t="shared" si="3"/>
        <v>9.8438297591541648</v>
      </c>
      <c r="G48" s="79">
        <f>IF((('Raw Data'!C48)/('Raw Data'!C$136)*100)&lt;0,0,('Raw Data'!C48)/('Raw Data'!C$136)*100)</f>
        <v>0</v>
      </c>
      <c r="H48" s="79">
        <f t="shared" si="4"/>
        <v>0</v>
      </c>
      <c r="I48" s="96">
        <f t="shared" si="5"/>
        <v>3.8939689688575529E-2</v>
      </c>
      <c r="J48" s="108">
        <f>'Raw Data'!F48/I48</f>
        <v>0</v>
      </c>
      <c r="K48" s="145">
        <f t="shared" si="6"/>
        <v>6.21281005057808E-3</v>
      </c>
      <c r="L48" s="79">
        <f>A48*Table!$AC$9/$AC$16</f>
        <v>4.1812994542823834</v>
      </c>
      <c r="M48" s="79">
        <f>A48*Table!$AD$9/$AC$16</f>
        <v>1.4335883843253887</v>
      </c>
      <c r="N48" s="79">
        <f>ABS(A48*Table!$AE$9/$AC$16)</f>
        <v>1.810555774119277</v>
      </c>
      <c r="O48" s="79">
        <f>($L48*(Table!$AC$10/Table!$AC$9)/(Table!$AC$12-Table!$AC$14))</f>
        <v>8.9688962983320124</v>
      </c>
      <c r="P48" s="79">
        <f>$N48*(Table!$AE$10/Table!$AE$9)/(Table!$AC$12-Table!$AC$13)</f>
        <v>14.864989935297837</v>
      </c>
      <c r="Q48" s="79">
        <f>'Raw Data'!C48</f>
        <v>0</v>
      </c>
      <c r="R48" s="79">
        <f>'Raw Data'!C48/'Raw Data'!I$30*100</f>
        <v>0</v>
      </c>
      <c r="S48" s="52">
        <f t="shared" si="7"/>
        <v>0</v>
      </c>
      <c r="T48" s="52">
        <f t="shared" si="8"/>
        <v>1</v>
      </c>
      <c r="U48" s="91">
        <f t="shared" si="9"/>
        <v>0</v>
      </c>
      <c r="V48" s="91">
        <f t="shared" si="10"/>
        <v>0</v>
      </c>
      <c r="W48" s="91">
        <f t="shared" si="11"/>
        <v>0</v>
      </c>
      <c r="X48" s="85">
        <f t="shared" si="12"/>
        <v>0</v>
      </c>
      <c r="AS48" s="62"/>
      <c r="AT48" s="62"/>
    </row>
    <row r="49" spans="1:46" ht="12.4" customHeight="1" x14ac:dyDescent="0.2">
      <c r="A49" s="79">
        <f>'Raw Data'!A49</f>
        <v>24.259510040283203</v>
      </c>
      <c r="B49" s="45">
        <f>'Raw Data'!E49</f>
        <v>0</v>
      </c>
      <c r="C49" s="45">
        <f t="shared" si="1"/>
        <v>1</v>
      </c>
      <c r="D49" s="117">
        <f t="shared" si="2"/>
        <v>0</v>
      </c>
      <c r="E49" s="108">
        <f>(2*Table!$AC$16*0.147)/A49</f>
        <v>4.5025755657454285</v>
      </c>
      <c r="F49" s="108">
        <f t="shared" si="3"/>
        <v>9.005151131490857</v>
      </c>
      <c r="G49" s="79">
        <f>IF((('Raw Data'!C49)/('Raw Data'!C$136)*100)&lt;0,0,('Raw Data'!C49)/('Raw Data'!C$136)*100)</f>
        <v>0</v>
      </c>
      <c r="H49" s="79">
        <f t="shared" si="4"/>
        <v>0</v>
      </c>
      <c r="I49" s="96">
        <f t="shared" si="5"/>
        <v>3.8673088447518267E-2</v>
      </c>
      <c r="J49" s="108">
        <f>'Raw Data'!F49/I49</f>
        <v>0</v>
      </c>
      <c r="K49" s="145">
        <f t="shared" si="6"/>
        <v>6.7914289911231648E-3</v>
      </c>
      <c r="L49" s="79">
        <f>A49*Table!$AC$9/$AC$16</f>
        <v>4.5707172926908681</v>
      </c>
      <c r="M49" s="79">
        <f>A49*Table!$AD$9/$AC$16</f>
        <v>1.5671030717797261</v>
      </c>
      <c r="N49" s="79">
        <f>ABS(A49*Table!$AE$9/$AC$16)</f>
        <v>1.9791786444935626</v>
      </c>
      <c r="O49" s="79">
        <f>($L49*(Table!$AC$10/Table!$AC$9)/(Table!$AC$12-Table!$AC$14))</f>
        <v>9.8041983970203113</v>
      </c>
      <c r="P49" s="79">
        <f>$N49*(Table!$AE$10/Table!$AE$9)/(Table!$AC$12-Table!$AC$13)</f>
        <v>16.249414158403631</v>
      </c>
      <c r="Q49" s="79">
        <f>'Raw Data'!C49</f>
        <v>0</v>
      </c>
      <c r="R49" s="79">
        <f>'Raw Data'!C49/'Raw Data'!I$30*100</f>
        <v>0</v>
      </c>
      <c r="S49" s="52">
        <f t="shared" si="7"/>
        <v>0</v>
      </c>
      <c r="T49" s="52">
        <f t="shared" si="8"/>
        <v>1</v>
      </c>
      <c r="U49" s="91">
        <f t="shared" si="9"/>
        <v>0</v>
      </c>
      <c r="V49" s="91">
        <f t="shared" si="10"/>
        <v>0</v>
      </c>
      <c r="W49" s="91">
        <f t="shared" si="11"/>
        <v>0</v>
      </c>
      <c r="X49" s="85">
        <f t="shared" si="12"/>
        <v>0</v>
      </c>
      <c r="AS49" s="62"/>
      <c r="AT49" s="62"/>
    </row>
    <row r="50" spans="1:46" ht="12.4" customHeight="1" x14ac:dyDescent="0.2">
      <c r="A50" s="79">
        <f>'Raw Data'!A50</f>
        <v>26.577785491943359</v>
      </c>
      <c r="B50" s="45">
        <f>'Raw Data'!E50</f>
        <v>0</v>
      </c>
      <c r="C50" s="45">
        <f t="shared" si="1"/>
        <v>1</v>
      </c>
      <c r="D50" s="117">
        <f t="shared" si="2"/>
        <v>0</v>
      </c>
      <c r="E50" s="108">
        <f>(2*Table!$AC$16*0.147)/A50</f>
        <v>4.1098336495132939</v>
      </c>
      <c r="F50" s="108">
        <f t="shared" si="3"/>
        <v>8.2196672990265878</v>
      </c>
      <c r="G50" s="79">
        <f>IF((('Raw Data'!C50)/('Raw Data'!C$136)*100)&lt;0,0,('Raw Data'!C50)/('Raw Data'!C$136)*100)</f>
        <v>0</v>
      </c>
      <c r="H50" s="79">
        <f t="shared" si="4"/>
        <v>0</v>
      </c>
      <c r="I50" s="96">
        <f t="shared" si="5"/>
        <v>3.9636766584970617E-2</v>
      </c>
      <c r="J50" s="108">
        <f>'Raw Data'!F50/I50</f>
        <v>0</v>
      </c>
      <c r="K50" s="145">
        <f t="shared" si="6"/>
        <v>7.4404282118687689E-3</v>
      </c>
      <c r="L50" s="79">
        <f>A50*Table!$AC$9/$AC$16</f>
        <v>5.0075019465659345</v>
      </c>
      <c r="M50" s="79">
        <f>A50*Table!$AD$9/$AC$16</f>
        <v>1.7168578102511776</v>
      </c>
      <c r="N50" s="79">
        <f>ABS(A50*Table!$AE$9/$AC$16)</f>
        <v>2.1683119476130632</v>
      </c>
      <c r="O50" s="79">
        <f>($L50*(Table!$AC$10/Table!$AC$9)/(Table!$AC$12-Table!$AC$14))</f>
        <v>10.741102416486347</v>
      </c>
      <c r="P50" s="79">
        <f>$N50*(Table!$AE$10/Table!$AE$9)/(Table!$AC$12-Table!$AC$13)</f>
        <v>17.802232739023502</v>
      </c>
      <c r="Q50" s="79">
        <f>'Raw Data'!C50</f>
        <v>0</v>
      </c>
      <c r="R50" s="79">
        <f>'Raw Data'!C50/'Raw Data'!I$30*100</f>
        <v>0</v>
      </c>
      <c r="S50" s="52">
        <f t="shared" si="7"/>
        <v>0</v>
      </c>
      <c r="T50" s="52">
        <f t="shared" si="8"/>
        <v>1</v>
      </c>
      <c r="U50" s="91">
        <f t="shared" si="9"/>
        <v>0</v>
      </c>
      <c r="V50" s="91">
        <f t="shared" si="10"/>
        <v>0</v>
      </c>
      <c r="W50" s="91">
        <f t="shared" si="11"/>
        <v>0</v>
      </c>
      <c r="X50" s="85">
        <f t="shared" si="12"/>
        <v>0</v>
      </c>
      <c r="AS50" s="62"/>
      <c r="AT50" s="62"/>
    </row>
    <row r="51" spans="1:46" ht="12.4" customHeight="1" x14ac:dyDescent="0.2">
      <c r="A51" s="79">
        <f>'Raw Data'!A51</f>
        <v>28.987348556518555</v>
      </c>
      <c r="B51" s="45">
        <f>'Raw Data'!E51</f>
        <v>0</v>
      </c>
      <c r="C51" s="45">
        <f t="shared" si="1"/>
        <v>1</v>
      </c>
      <c r="D51" s="117">
        <f t="shared" si="2"/>
        <v>0</v>
      </c>
      <c r="E51" s="108">
        <f>(2*Table!$AC$16*0.147)/A51</f>
        <v>3.7682051854919236</v>
      </c>
      <c r="F51" s="108">
        <f t="shared" si="3"/>
        <v>7.5364103709838473</v>
      </c>
      <c r="G51" s="79">
        <f>IF((('Raw Data'!C51)/('Raw Data'!C$136)*100)&lt;0,0,('Raw Data'!C51)/('Raw Data'!C$136)*100)</f>
        <v>0</v>
      </c>
      <c r="H51" s="79">
        <f t="shared" si="4"/>
        <v>0</v>
      </c>
      <c r="I51" s="96">
        <f t="shared" si="5"/>
        <v>3.7689700763808953E-2</v>
      </c>
      <c r="J51" s="108">
        <f>'Raw Data'!F51/I51</f>
        <v>0</v>
      </c>
      <c r="K51" s="145">
        <f t="shared" si="6"/>
        <v>8.114983321412297E-3</v>
      </c>
      <c r="L51" s="79">
        <f>A51*Table!$AC$9/$AC$16</f>
        <v>5.4614860356425527</v>
      </c>
      <c r="M51" s="79">
        <f>A51*Table!$AD$9/$AC$16</f>
        <v>1.8725094979345895</v>
      </c>
      <c r="N51" s="79">
        <f>ABS(A51*Table!$AE$9/$AC$16)</f>
        <v>2.3648928246402074</v>
      </c>
      <c r="O51" s="79">
        <f>($L51*(Table!$AC$10/Table!$AC$9)/(Table!$AC$12-Table!$AC$14))</f>
        <v>11.714899261352539</v>
      </c>
      <c r="P51" s="79">
        <f>$N51*(Table!$AE$10/Table!$AE$9)/(Table!$AC$12-Table!$AC$13)</f>
        <v>19.416197246635523</v>
      </c>
      <c r="Q51" s="79">
        <f>'Raw Data'!C51</f>
        <v>0</v>
      </c>
      <c r="R51" s="79">
        <f>'Raw Data'!C51/'Raw Data'!I$30*100</f>
        <v>0</v>
      </c>
      <c r="S51" s="52">
        <f t="shared" si="7"/>
        <v>0</v>
      </c>
      <c r="T51" s="52">
        <f t="shared" si="8"/>
        <v>1</v>
      </c>
      <c r="U51" s="91">
        <f t="shared" si="9"/>
        <v>0</v>
      </c>
      <c r="V51" s="91">
        <f t="shared" si="10"/>
        <v>0</v>
      </c>
      <c r="W51" s="91">
        <f t="shared" si="11"/>
        <v>0</v>
      </c>
      <c r="X51" s="85">
        <f t="shared" si="12"/>
        <v>0</v>
      </c>
      <c r="AS51" s="62"/>
      <c r="AT51" s="62"/>
    </row>
    <row r="52" spans="1:46" ht="12.4" customHeight="1" x14ac:dyDescent="0.2">
      <c r="A52" s="79">
        <f>'Raw Data'!A52</f>
        <v>31.239780426025391</v>
      </c>
      <c r="B52" s="45">
        <f>'Raw Data'!E52</f>
        <v>0</v>
      </c>
      <c r="C52" s="45">
        <f t="shared" si="1"/>
        <v>1</v>
      </c>
      <c r="D52" s="117">
        <f t="shared" si="2"/>
        <v>0</v>
      </c>
      <c r="E52" s="108">
        <f>(2*Table!$AC$16*0.147)/A52</f>
        <v>3.4965123203406687</v>
      </c>
      <c r="F52" s="108">
        <f t="shared" si="3"/>
        <v>6.9930246406813374</v>
      </c>
      <c r="G52" s="79">
        <f>IF((('Raw Data'!C52)/('Raw Data'!C$136)*100)&lt;0,0,('Raw Data'!C52)/('Raw Data'!C$136)*100)</f>
        <v>0</v>
      </c>
      <c r="H52" s="79">
        <f t="shared" si="4"/>
        <v>0</v>
      </c>
      <c r="I52" s="96">
        <f t="shared" si="5"/>
        <v>3.2499480010991344E-2</v>
      </c>
      <c r="J52" s="108">
        <f>'Raw Data'!F52/I52</f>
        <v>0</v>
      </c>
      <c r="K52" s="145">
        <f t="shared" si="6"/>
        <v>8.7455496879092799E-3</v>
      </c>
      <c r="L52" s="79">
        <f>A52*Table!$AC$9/$AC$16</f>
        <v>5.8858651463281175</v>
      </c>
      <c r="M52" s="79">
        <f>A52*Table!$AD$9/$AC$16</f>
        <v>2.0180109073124974</v>
      </c>
      <c r="N52" s="79">
        <f>ABS(A52*Table!$AE$9/$AC$16)</f>
        <v>2.5486543699847815</v>
      </c>
      <c r="O52" s="79">
        <f>($L52*(Table!$AC$10/Table!$AC$9)/(Table!$AC$12-Table!$AC$14))</f>
        <v>12.625193364067178</v>
      </c>
      <c r="P52" s="79">
        <f>$N52*(Table!$AE$10/Table!$AE$9)/(Table!$AC$12-Table!$AC$13)</f>
        <v>20.924912725655016</v>
      </c>
      <c r="Q52" s="79">
        <f>'Raw Data'!C52</f>
        <v>0</v>
      </c>
      <c r="R52" s="79">
        <f>'Raw Data'!C52/'Raw Data'!I$30*100</f>
        <v>0</v>
      </c>
      <c r="S52" s="52">
        <f t="shared" si="7"/>
        <v>0</v>
      </c>
      <c r="T52" s="52">
        <f t="shared" si="8"/>
        <v>1</v>
      </c>
      <c r="U52" s="91">
        <f t="shared" si="9"/>
        <v>0</v>
      </c>
      <c r="V52" s="91">
        <f t="shared" si="10"/>
        <v>0</v>
      </c>
      <c r="W52" s="91">
        <f t="shared" si="11"/>
        <v>0</v>
      </c>
      <c r="X52" s="85">
        <f t="shared" si="12"/>
        <v>0</v>
      </c>
      <c r="AS52" s="62"/>
      <c r="AT52" s="62"/>
    </row>
    <row r="53" spans="1:46" ht="12.4" customHeight="1" x14ac:dyDescent="0.2">
      <c r="A53" s="79">
        <f>'Raw Data'!A53</f>
        <v>33.817226409912109</v>
      </c>
      <c r="B53" s="45">
        <f>'Raw Data'!E53</f>
        <v>0</v>
      </c>
      <c r="C53" s="45">
        <f t="shared" si="1"/>
        <v>1</v>
      </c>
      <c r="D53" s="117">
        <f t="shared" si="2"/>
        <v>0</v>
      </c>
      <c r="E53" s="108">
        <f>(2*Table!$AC$16*0.147)/A53</f>
        <v>3.2300188022610499</v>
      </c>
      <c r="F53" s="108">
        <f t="shared" si="3"/>
        <v>6.4600376045220997</v>
      </c>
      <c r="G53" s="79">
        <f>IF((('Raw Data'!C53)/('Raw Data'!C$136)*100)&lt;0,0,('Raw Data'!C53)/('Raw Data'!C$136)*100)</f>
        <v>0</v>
      </c>
      <c r="H53" s="79">
        <f t="shared" si="4"/>
        <v>0</v>
      </c>
      <c r="I53" s="96">
        <f t="shared" si="5"/>
        <v>3.4430012452817516E-2</v>
      </c>
      <c r="J53" s="108">
        <f>'Raw Data'!F53/I53</f>
        <v>0</v>
      </c>
      <c r="K53" s="145">
        <f t="shared" si="6"/>
        <v>9.4671034764629552E-3</v>
      </c>
      <c r="L53" s="79">
        <f>A53*Table!$AC$9/$AC$16</f>
        <v>6.3714799386287675</v>
      </c>
      <c r="M53" s="79">
        <f>A53*Table!$AD$9/$AC$16</f>
        <v>2.1845074075298632</v>
      </c>
      <c r="N53" s="79">
        <f>ABS(A53*Table!$AE$9/$AC$16)</f>
        <v>2.7589317432777145</v>
      </c>
      <c r="O53" s="79">
        <f>($L53*(Table!$AC$10/Table!$AC$9)/(Table!$AC$12-Table!$AC$14))</f>
        <v>13.666838135196844</v>
      </c>
      <c r="P53" s="79">
        <f>$N53*(Table!$AE$10/Table!$AE$9)/(Table!$AC$12-Table!$AC$13)</f>
        <v>22.651327941524745</v>
      </c>
      <c r="Q53" s="79">
        <f>'Raw Data'!C53</f>
        <v>0</v>
      </c>
      <c r="R53" s="79">
        <f>'Raw Data'!C53/'Raw Data'!I$30*100</f>
        <v>0</v>
      </c>
      <c r="S53" s="52">
        <f t="shared" si="7"/>
        <v>0</v>
      </c>
      <c r="T53" s="52">
        <f t="shared" si="8"/>
        <v>1</v>
      </c>
      <c r="U53" s="91">
        <f t="shared" si="9"/>
        <v>0</v>
      </c>
      <c r="V53" s="91">
        <f t="shared" si="10"/>
        <v>0</v>
      </c>
      <c r="W53" s="91">
        <f t="shared" si="11"/>
        <v>0</v>
      </c>
      <c r="X53" s="85">
        <f t="shared" si="12"/>
        <v>0</v>
      </c>
      <c r="Z53" s="45"/>
      <c r="AS53" s="62"/>
      <c r="AT53" s="62"/>
    </row>
    <row r="54" spans="1:46" ht="12.4" customHeight="1" x14ac:dyDescent="0.2">
      <c r="A54" s="79">
        <f>'Raw Data'!A54</f>
        <v>36.967498779296875</v>
      </c>
      <c r="B54" s="45">
        <f>'Raw Data'!E54</f>
        <v>0</v>
      </c>
      <c r="C54" s="45">
        <f t="shared" si="1"/>
        <v>1</v>
      </c>
      <c r="D54" s="117">
        <f t="shared" si="2"/>
        <v>0</v>
      </c>
      <c r="E54" s="108">
        <f>(2*Table!$AC$16*0.147)/A54</f>
        <v>2.9547651518557139</v>
      </c>
      <c r="F54" s="108">
        <f t="shared" si="3"/>
        <v>5.9095303037114277</v>
      </c>
      <c r="G54" s="79">
        <f>IF((('Raw Data'!C54)/('Raw Data'!C$136)*100)&lt;0,0,('Raw Data'!C54)/('Raw Data'!C$136)*100)</f>
        <v>0</v>
      </c>
      <c r="H54" s="79">
        <f t="shared" si="4"/>
        <v>0</v>
      </c>
      <c r="I54" s="96">
        <f t="shared" si="5"/>
        <v>3.8682082047535149E-2</v>
      </c>
      <c r="J54" s="108">
        <f>'Raw Data'!F54/I54</f>
        <v>0</v>
      </c>
      <c r="K54" s="145">
        <f t="shared" si="6"/>
        <v>1.0349019519443526E-2</v>
      </c>
      <c r="L54" s="79">
        <f>A54*Table!$AC$9/$AC$16</f>
        <v>6.9650205489512125</v>
      </c>
      <c r="M54" s="79">
        <f>A54*Table!$AD$9/$AC$16</f>
        <v>2.3880070453547018</v>
      </c>
      <c r="N54" s="79">
        <f>ABS(A54*Table!$AE$9/$AC$16)</f>
        <v>3.0159423666361933</v>
      </c>
      <c r="O54" s="79">
        <f>($L54*(Table!$AC$10/Table!$AC$9)/(Table!$AC$12-Table!$AC$14))</f>
        <v>14.93998401748437</v>
      </c>
      <c r="P54" s="79">
        <f>$N54*(Table!$AE$10/Table!$AE$9)/(Table!$AC$12-Table!$AC$13)</f>
        <v>24.761431581577938</v>
      </c>
      <c r="Q54" s="79">
        <f>'Raw Data'!C54</f>
        <v>0</v>
      </c>
      <c r="R54" s="79">
        <f>'Raw Data'!C54/'Raw Data'!I$30*100</f>
        <v>0</v>
      </c>
      <c r="S54" s="52">
        <f t="shared" si="7"/>
        <v>0</v>
      </c>
      <c r="T54" s="52">
        <f t="shared" si="8"/>
        <v>1</v>
      </c>
      <c r="U54" s="91">
        <f t="shared" si="9"/>
        <v>0</v>
      </c>
      <c r="V54" s="91">
        <f t="shared" si="10"/>
        <v>0</v>
      </c>
      <c r="W54" s="91">
        <f t="shared" si="11"/>
        <v>0</v>
      </c>
      <c r="X54" s="85">
        <f t="shared" si="12"/>
        <v>0</v>
      </c>
      <c r="Z54" s="45"/>
      <c r="AS54" s="62"/>
      <c r="AT54" s="62"/>
    </row>
    <row r="55" spans="1:46" ht="12.4" customHeight="1" x14ac:dyDescent="0.2">
      <c r="A55" s="79">
        <f>'Raw Data'!A55</f>
        <v>40.262863159179688</v>
      </c>
      <c r="B55" s="45">
        <f>'Raw Data'!E55</f>
        <v>0</v>
      </c>
      <c r="C55" s="45">
        <f t="shared" si="1"/>
        <v>1</v>
      </c>
      <c r="D55" s="117">
        <f t="shared" si="2"/>
        <v>0</v>
      </c>
      <c r="E55" s="108">
        <f>(2*Table!$AC$16*0.147)/A55</f>
        <v>2.7129287033684593</v>
      </c>
      <c r="F55" s="108">
        <f t="shared" si="3"/>
        <v>5.4258574067369185</v>
      </c>
      <c r="G55" s="79">
        <f>IF((('Raw Data'!C55)/('Raw Data'!C$136)*100)&lt;0,0,('Raw Data'!C55)/('Raw Data'!C$136)*100)</f>
        <v>0</v>
      </c>
      <c r="H55" s="79">
        <f t="shared" si="4"/>
        <v>0</v>
      </c>
      <c r="I55" s="96">
        <f t="shared" si="5"/>
        <v>3.7084587848269956E-2</v>
      </c>
      <c r="J55" s="108">
        <f>'Raw Data'!F55/I55</f>
        <v>0</v>
      </c>
      <c r="K55" s="145">
        <f t="shared" si="6"/>
        <v>1.1271553946094684E-2</v>
      </c>
      <c r="L55" s="79">
        <f>A55*Table!$AC$9/$AC$16</f>
        <v>7.585897843333373</v>
      </c>
      <c r="M55" s="79">
        <f>A55*Table!$AD$9/$AC$16</f>
        <v>2.6008792605714421</v>
      </c>
      <c r="N55" s="79">
        <f>ABS(A55*Table!$AE$9/$AC$16)</f>
        <v>3.2847901214201438</v>
      </c>
      <c r="O55" s="79">
        <f>($L55*(Table!$AC$10/Table!$AC$9)/(Table!$AC$12-Table!$AC$14))</f>
        <v>16.271767145717234</v>
      </c>
      <c r="P55" s="79">
        <f>$N55*(Table!$AE$10/Table!$AE$9)/(Table!$AC$12-Table!$AC$13)</f>
        <v>26.968720208703964</v>
      </c>
      <c r="Q55" s="79">
        <f>'Raw Data'!C55</f>
        <v>0</v>
      </c>
      <c r="R55" s="79">
        <f>'Raw Data'!C55/'Raw Data'!I$30*100</f>
        <v>0</v>
      </c>
      <c r="S55" s="52">
        <f t="shared" si="7"/>
        <v>0</v>
      </c>
      <c r="T55" s="52">
        <f t="shared" si="8"/>
        <v>1</v>
      </c>
      <c r="U55" s="91">
        <f t="shared" si="9"/>
        <v>0</v>
      </c>
      <c r="V55" s="91">
        <f t="shared" si="10"/>
        <v>0</v>
      </c>
      <c r="W55" s="91">
        <f t="shared" si="11"/>
        <v>0</v>
      </c>
      <c r="X55" s="85">
        <f t="shared" si="12"/>
        <v>0</v>
      </c>
      <c r="Z55" s="45"/>
      <c r="AS55" s="62"/>
      <c r="AT55" s="62"/>
    </row>
    <row r="56" spans="1:46" ht="12.4" customHeight="1" x14ac:dyDescent="0.2">
      <c r="A56" s="79">
        <f>'Raw Data'!A56</f>
        <v>44.694664001464844</v>
      </c>
      <c r="B56" s="45">
        <f>'Raw Data'!E56</f>
        <v>0</v>
      </c>
      <c r="C56" s="45">
        <f t="shared" si="1"/>
        <v>1</v>
      </c>
      <c r="D56" s="117">
        <f t="shared" si="2"/>
        <v>0</v>
      </c>
      <c r="E56" s="108">
        <f>(2*Table!$AC$16*0.147)/A56</f>
        <v>2.4439221008743925</v>
      </c>
      <c r="F56" s="108">
        <f t="shared" si="3"/>
        <v>4.8878442017487851</v>
      </c>
      <c r="G56" s="79">
        <f>IF((('Raw Data'!C56)/('Raw Data'!C$136)*100)&lt;0,0,('Raw Data'!C56)/('Raw Data'!C$136)*100)</f>
        <v>0</v>
      </c>
      <c r="H56" s="79">
        <f t="shared" si="4"/>
        <v>0</v>
      </c>
      <c r="I56" s="96">
        <f t="shared" si="5"/>
        <v>4.535102170115729E-2</v>
      </c>
      <c r="J56" s="108">
        <f>'Raw Data'!F56/I56</f>
        <v>0</v>
      </c>
      <c r="K56" s="145">
        <f t="shared" si="6"/>
        <v>1.2512232783927806E-2</v>
      </c>
      <c r="L56" s="79">
        <f>A56*Table!$AC$9/$AC$16</f>
        <v>8.4208903355130804</v>
      </c>
      <c r="M56" s="79">
        <f>A56*Table!$AD$9/$AC$16</f>
        <v>2.887162400747342</v>
      </c>
      <c r="N56" s="79">
        <f>ABS(A56*Table!$AE$9/$AC$16)</f>
        <v>3.6463524765185968</v>
      </c>
      <c r="O56" s="79">
        <f>($L56*(Table!$AC$10/Table!$AC$9)/(Table!$AC$12-Table!$AC$14))</f>
        <v>18.062827832503391</v>
      </c>
      <c r="P56" s="79">
        <f>$N56*(Table!$AE$10/Table!$AE$9)/(Table!$AC$12-Table!$AC$13)</f>
        <v>29.937212450891593</v>
      </c>
      <c r="Q56" s="79">
        <f>'Raw Data'!C56</f>
        <v>0</v>
      </c>
      <c r="R56" s="79">
        <f>'Raw Data'!C56/'Raw Data'!I$30*100</f>
        <v>0</v>
      </c>
      <c r="S56" s="52">
        <f t="shared" si="7"/>
        <v>0</v>
      </c>
      <c r="T56" s="52">
        <f t="shared" si="8"/>
        <v>1</v>
      </c>
      <c r="U56" s="91">
        <f t="shared" si="9"/>
        <v>0</v>
      </c>
      <c r="V56" s="91">
        <f t="shared" si="10"/>
        <v>0</v>
      </c>
      <c r="W56" s="91">
        <f t="shared" si="11"/>
        <v>0</v>
      </c>
      <c r="X56" s="85">
        <f t="shared" si="12"/>
        <v>0</v>
      </c>
      <c r="Z56" s="45"/>
      <c r="AS56" s="62"/>
      <c r="AT56" s="62"/>
    </row>
    <row r="57" spans="1:46" ht="12.4" customHeight="1" x14ac:dyDescent="0.2">
      <c r="A57" s="79">
        <f>'Raw Data'!A57</f>
        <v>48.893833160400391</v>
      </c>
      <c r="B57" s="45">
        <f>'Raw Data'!E57</f>
        <v>5.748177465255787E-4</v>
      </c>
      <c r="C57" s="45">
        <f t="shared" si="1"/>
        <v>0.99942518225347443</v>
      </c>
      <c r="D57" s="117">
        <f t="shared" si="2"/>
        <v>5.748177465255787E-4</v>
      </c>
      <c r="E57" s="108">
        <f>(2*Table!$AC$16*0.147)/A57</f>
        <v>2.234029735120088</v>
      </c>
      <c r="F57" s="108">
        <f t="shared" si="3"/>
        <v>4.4680594702401759</v>
      </c>
      <c r="G57" s="79">
        <f>IF((('Raw Data'!C57)/('Raw Data'!C$136)*100)&lt;0,0,('Raw Data'!C57)/('Raw Data'!C$136)*100)</f>
        <v>6.4319717180714567E-2</v>
      </c>
      <c r="H57" s="79">
        <f t="shared" si="4"/>
        <v>6.4319717180714567E-2</v>
      </c>
      <c r="I57" s="96">
        <f t="shared" si="5"/>
        <v>3.8998409499474362E-2</v>
      </c>
      <c r="J57" s="108">
        <f>'Raw Data'!F57/I57</f>
        <v>1.4739517685543723E-2</v>
      </c>
      <c r="K57" s="145">
        <f t="shared" si="6"/>
        <v>1.3687786581892816E-2</v>
      </c>
      <c r="L57" s="79">
        <f>A57*Table!$AC$9/$AC$16</f>
        <v>9.2120528551934164</v>
      </c>
      <c r="M57" s="79">
        <f>A57*Table!$AD$9/$AC$16</f>
        <v>3.1584181217806</v>
      </c>
      <c r="N57" s="79">
        <f>ABS(A57*Table!$AE$9/$AC$16)</f>
        <v>3.9889358968012352</v>
      </c>
      <c r="O57" s="79">
        <f>($L57*(Table!$AC$10/Table!$AC$9)/(Table!$AC$12-Table!$AC$14))</f>
        <v>19.759873134263017</v>
      </c>
      <c r="P57" s="79">
        <f>$N57*(Table!$AE$10/Table!$AE$9)/(Table!$AC$12-Table!$AC$13)</f>
        <v>32.749884210190757</v>
      </c>
      <c r="Q57" s="79">
        <f>'Raw Data'!C57</f>
        <v>9.0813985164277244E-4</v>
      </c>
      <c r="R57" s="79">
        <f>'Raw Data'!C57/'Raw Data'!I$30*100</f>
        <v>8.5454206346929195E-3</v>
      </c>
      <c r="S57" s="52">
        <f t="shared" si="7"/>
        <v>2.3184568525305264E-2</v>
      </c>
      <c r="T57" s="52">
        <f t="shared" si="8"/>
        <v>0.94628625354424556</v>
      </c>
      <c r="U57" s="91">
        <f t="shared" si="9"/>
        <v>1.7477501930885514E-4</v>
      </c>
      <c r="V57" s="91">
        <f t="shared" si="10"/>
        <v>1.7660601512858062E-4</v>
      </c>
      <c r="W57" s="91">
        <f t="shared" si="11"/>
        <v>1.4463950589573714E-2</v>
      </c>
      <c r="X57" s="85">
        <f t="shared" si="12"/>
        <v>1.4463950589573714E-2</v>
      </c>
      <c r="Z57" s="45"/>
      <c r="AS57" s="62"/>
      <c r="AT57" s="62"/>
    </row>
    <row r="58" spans="1:46" ht="12.4" customHeight="1" x14ac:dyDescent="0.2">
      <c r="A58" s="79">
        <f>'Raw Data'!A58</f>
        <v>53.189075469970703</v>
      </c>
      <c r="B58" s="45">
        <f>'Raw Data'!E58</f>
        <v>1.4150665420085871E-3</v>
      </c>
      <c r="C58" s="45">
        <f t="shared" si="1"/>
        <v>0.99858493345799137</v>
      </c>
      <c r="D58" s="117">
        <f t="shared" si="2"/>
        <v>8.4024879548300839E-4</v>
      </c>
      <c r="E58" s="108">
        <f>(2*Table!$AC$16*0.147)/A58</f>
        <v>2.0536224060898349</v>
      </c>
      <c r="F58" s="108">
        <f t="shared" si="3"/>
        <v>4.1072448121796699</v>
      </c>
      <c r="G58" s="79">
        <f>IF((('Raw Data'!C58)/('Raw Data'!C$136)*100)&lt;0,0,('Raw Data'!C58)/('Raw Data'!C$136)*100)</f>
        <v>0.15834006574087903</v>
      </c>
      <c r="H58" s="79">
        <f t="shared" si="4"/>
        <v>9.402034856016446E-2</v>
      </c>
      <c r="I58" s="96">
        <f t="shared" si="5"/>
        <v>3.6568355245260309E-2</v>
      </c>
      <c r="J58" s="108">
        <f>'Raw Data'!F58/I58</f>
        <v>2.2977483943358776E-2</v>
      </c>
      <c r="K58" s="145">
        <f t="shared" si="6"/>
        <v>1.4890235975828475E-2</v>
      </c>
      <c r="L58" s="79">
        <f>A58*Table!$AC$9/$AC$16</f>
        <v>10.021316449884768</v>
      </c>
      <c r="M58" s="79">
        <f>A58*Table!$AD$9/$AC$16</f>
        <v>3.4358799256747776</v>
      </c>
      <c r="N58" s="79">
        <f>ABS(A58*Table!$AE$9/$AC$16)</f>
        <v>4.339357312481547</v>
      </c>
      <c r="O58" s="79">
        <f>($L58*(Table!$AC$10/Table!$AC$9)/(Table!$AC$12-Table!$AC$14))</f>
        <v>21.49574528074811</v>
      </c>
      <c r="P58" s="79">
        <f>$N58*(Table!$AE$10/Table!$AE$9)/(Table!$AC$12-Table!$AC$13)</f>
        <v>35.626907327434701</v>
      </c>
      <c r="Q58" s="79">
        <f>'Raw Data'!C58</f>
        <v>2.2356274267658592E-3</v>
      </c>
      <c r="R58" s="79">
        <f>'Raw Data'!C58/'Raw Data'!I$30*100</f>
        <v>2.1036822367845324E-2</v>
      </c>
      <c r="S58" s="52">
        <f t="shared" si="7"/>
        <v>3.3890404210605116E-2</v>
      </c>
      <c r="T58" s="52">
        <f t="shared" si="8"/>
        <v>0.8799384629701239</v>
      </c>
      <c r="U58" s="91">
        <f t="shared" si="9"/>
        <v>3.9551020922937863E-4</v>
      </c>
      <c r="V58" s="91">
        <f t="shared" si="10"/>
        <v>7.0269451497678216E-4</v>
      </c>
      <c r="W58" s="91">
        <f t="shared" si="11"/>
        <v>1.7866025513263606E-2</v>
      </c>
      <c r="X58" s="85">
        <f t="shared" si="12"/>
        <v>3.2329976102837318E-2</v>
      </c>
      <c r="Z58" s="45"/>
      <c r="AS58" s="62"/>
      <c r="AT58" s="62"/>
    </row>
    <row r="59" spans="1:46" ht="12.4" customHeight="1" x14ac:dyDescent="0.2">
      <c r="A59" s="79">
        <f>'Raw Data'!A59</f>
        <v>58.711719512939453</v>
      </c>
      <c r="B59" s="45">
        <f>'Raw Data'!E59</f>
        <v>2.2008394895062637E-3</v>
      </c>
      <c r="C59" s="45">
        <f t="shared" si="1"/>
        <v>0.99779916051049378</v>
      </c>
      <c r="D59" s="117">
        <f t="shared" si="2"/>
        <v>7.8577294749767657E-4</v>
      </c>
      <c r="E59" s="108">
        <f>(2*Table!$AC$16*0.147)/A59</f>
        <v>1.8604509976966666</v>
      </c>
      <c r="F59" s="108">
        <f t="shared" si="3"/>
        <v>3.7209019953933331</v>
      </c>
      <c r="G59" s="79">
        <f>IF((('Raw Data'!C59)/('Raw Data'!C$136)*100)&lt;0,0,('Raw Data'!C59)/('Raw Data'!C$136)*100)</f>
        <v>0.24626479328590453</v>
      </c>
      <c r="H59" s="79">
        <f t="shared" si="4"/>
        <v>8.7924727545025505E-2</v>
      </c>
      <c r="I59" s="96">
        <f t="shared" si="5"/>
        <v>4.2902358415388753E-2</v>
      </c>
      <c r="J59" s="108">
        <f>'Raw Data'!F59/I59</f>
        <v>1.8315378839775524E-2</v>
      </c>
      <c r="K59" s="145">
        <f t="shared" si="6"/>
        <v>1.6436295430400781E-2</v>
      </c>
      <c r="L59" s="79">
        <f>A59*Table!$AC$9/$AC$16</f>
        <v>11.061833945360071</v>
      </c>
      <c r="M59" s="79">
        <f>A59*Table!$AD$9/$AC$16</f>
        <v>3.7926287812663104</v>
      </c>
      <c r="N59" s="79">
        <f>ABS(A59*Table!$AE$9/$AC$16)</f>
        <v>4.7899146045634335</v>
      </c>
      <c r="O59" s="79">
        <f>($L59*(Table!$AC$10/Table!$AC$9)/(Table!$AC$12-Table!$AC$14))</f>
        <v>23.727657540454896</v>
      </c>
      <c r="P59" s="79">
        <f>$N59*(Table!$AE$10/Table!$AE$9)/(Table!$AC$12-Table!$AC$13)</f>
        <v>39.326064076875468</v>
      </c>
      <c r="Q59" s="79">
        <f>'Raw Data'!C59</f>
        <v>3.4770500033628228E-3</v>
      </c>
      <c r="R59" s="79">
        <f>'Raw Data'!C59/'Raw Data'!I$30*100</f>
        <v>3.2718369084725127E-2</v>
      </c>
      <c r="S59" s="52">
        <f t="shared" si="7"/>
        <v>3.1693187722032702E-2</v>
      </c>
      <c r="T59" s="52">
        <f t="shared" si="8"/>
        <v>0.82901582158761622</v>
      </c>
      <c r="U59" s="91">
        <f t="shared" si="9"/>
        <v>5.5727151846599108E-4</v>
      </c>
      <c r="V59" s="91">
        <f t="shared" si="10"/>
        <v>1.2547925585645109E-3</v>
      </c>
      <c r="W59" s="91">
        <f t="shared" si="11"/>
        <v>1.3712366339106207E-2</v>
      </c>
      <c r="X59" s="85">
        <f t="shared" si="12"/>
        <v>4.6042342441943523E-2</v>
      </c>
      <c r="Z59" s="45"/>
      <c r="AS59" s="62"/>
      <c r="AT59" s="62"/>
    </row>
    <row r="60" spans="1:46" ht="12.4" customHeight="1" x14ac:dyDescent="0.2">
      <c r="A60" s="79">
        <f>'Raw Data'!A60</f>
        <v>64.258491516113281</v>
      </c>
      <c r="B60" s="45">
        <f>'Raw Data'!E60</f>
        <v>3.2531513525277038E-3</v>
      </c>
      <c r="C60" s="45">
        <f t="shared" si="1"/>
        <v>0.99674684864747232</v>
      </c>
      <c r="D60" s="117">
        <f t="shared" si="2"/>
        <v>1.0523118630214401E-3</v>
      </c>
      <c r="E60" s="108">
        <f>(2*Table!$AC$16*0.147)/A60</f>
        <v>1.6998574751314348</v>
      </c>
      <c r="F60" s="108">
        <f t="shared" si="3"/>
        <v>3.3997149502628696</v>
      </c>
      <c r="G60" s="79">
        <f>IF((('Raw Data'!C60)/('Raw Data'!C$136)*100)&lt;0,0,('Raw Data'!C60)/('Raw Data'!C$136)*100)</f>
        <v>0.36401411787541249</v>
      </c>
      <c r="H60" s="79">
        <f t="shared" si="4"/>
        <v>0.11774932458950796</v>
      </c>
      <c r="I60" s="96">
        <f t="shared" si="5"/>
        <v>3.9205726250282902E-2</v>
      </c>
      <c r="J60" s="108">
        <f>'Raw Data'!F60/I60</f>
        <v>2.6840769542276922E-2</v>
      </c>
      <c r="K60" s="145">
        <f t="shared" si="6"/>
        <v>1.7989109486700877E-2</v>
      </c>
      <c r="L60" s="79">
        <f>A60*Table!$AC$9/$AC$16</f>
        <v>12.106897372915768</v>
      </c>
      <c r="M60" s="79">
        <f>A60*Table!$AD$9/$AC$16</f>
        <v>4.1509362421425493</v>
      </c>
      <c r="N60" s="79">
        <f>ABS(A60*Table!$AE$9/$AC$16)</f>
        <v>5.2424403429780684</v>
      </c>
      <c r="O60" s="79">
        <f>($L60*(Table!$AC$10/Table!$AC$9)/(Table!$AC$12-Table!$AC$14))</f>
        <v>25.969320834225158</v>
      </c>
      <c r="P60" s="79">
        <f>$N60*(Table!$AE$10/Table!$AE$9)/(Table!$AC$12-Table!$AC$13)</f>
        <v>43.041382126256714</v>
      </c>
      <c r="Q60" s="79">
        <f>'Raw Data'!C60</f>
        <v>5.1395705934846776E-3</v>
      </c>
      <c r="R60" s="79">
        <f>'Raw Data'!C60/'Raw Data'!I$30*100</f>
        <v>4.83623667913885E-2</v>
      </c>
      <c r="S60" s="52">
        <f t="shared" si="7"/>
        <v>4.2443707845973004E-2</v>
      </c>
      <c r="T60" s="52">
        <f t="shared" si="8"/>
        <v>0.7720850770413088</v>
      </c>
      <c r="U60" s="91">
        <f t="shared" si="9"/>
        <v>7.5262219280795416E-4</v>
      </c>
      <c r="V60" s="91">
        <f t="shared" si="10"/>
        <v>2.0857614535255945E-3</v>
      </c>
      <c r="W60" s="91">
        <f t="shared" si="11"/>
        <v>1.5330218621479501E-2</v>
      </c>
      <c r="X60" s="85">
        <f t="shared" si="12"/>
        <v>6.1372561063423023E-2</v>
      </c>
      <c r="Z60" s="45"/>
      <c r="AS60" s="62"/>
      <c r="AT60" s="62"/>
    </row>
    <row r="61" spans="1:46" ht="12.4" customHeight="1" x14ac:dyDescent="0.2">
      <c r="A61" s="79">
        <f>'Raw Data'!A61</f>
        <v>70.012466430664063</v>
      </c>
      <c r="B61" s="45">
        <f>'Raw Data'!E61</f>
        <v>4.2865442634163085E-3</v>
      </c>
      <c r="C61" s="45">
        <f t="shared" si="1"/>
        <v>0.99571345573658365</v>
      </c>
      <c r="D61" s="117">
        <f t="shared" si="2"/>
        <v>1.0333929108886047E-3</v>
      </c>
      <c r="E61" s="108">
        <f>(2*Table!$AC$16*0.147)/A61</f>
        <v>1.5601546797742061</v>
      </c>
      <c r="F61" s="108">
        <f t="shared" si="3"/>
        <v>3.1203093595484122</v>
      </c>
      <c r="G61" s="79">
        <f>IF((('Raw Data'!C61)/('Raw Data'!C$136)*100)&lt;0,0,('Raw Data'!C61)/('Raw Data'!C$136)*100)</f>
        <v>0.47964649033897333</v>
      </c>
      <c r="H61" s="79">
        <f t="shared" si="4"/>
        <v>0.11563237246356084</v>
      </c>
      <c r="I61" s="96">
        <f t="shared" si="5"/>
        <v>3.7244851277399182E-2</v>
      </c>
      <c r="J61" s="108">
        <f>'Raw Data'!F61/I61</f>
        <v>2.7745926630016786E-2</v>
      </c>
      <c r="K61" s="145">
        <f t="shared" si="6"/>
        <v>1.9599929820004663E-2</v>
      </c>
      <c r="L61" s="79">
        <f>A61*Table!$AC$9/$AC$16</f>
        <v>13.190999755856543</v>
      </c>
      <c r="M61" s="79">
        <f>A61*Table!$AD$9/$AC$16</f>
        <v>4.522628487722244</v>
      </c>
      <c r="N61" s="79">
        <f>ABS(A61*Table!$AE$9/$AC$16)</f>
        <v>5.711870444943048</v>
      </c>
      <c r="O61" s="79">
        <f>($L61*(Table!$AC$10/Table!$AC$9)/(Table!$AC$12-Table!$AC$14))</f>
        <v>28.294722771035058</v>
      </c>
      <c r="P61" s="79">
        <f>$N61*(Table!$AE$10/Table!$AE$9)/(Table!$AC$12-Table!$AC$13)</f>
        <v>46.895488053719589</v>
      </c>
      <c r="Q61" s="79">
        <f>'Raw Data'!C61</f>
        <v>6.772201615152882E-3</v>
      </c>
      <c r="R61" s="79">
        <f>'Raw Data'!C61/'Raw Data'!I$30*100</f>
        <v>6.3725109430824239E-2</v>
      </c>
      <c r="S61" s="52">
        <f t="shared" si="7"/>
        <v>4.1680635124572298E-2</v>
      </c>
      <c r="T61" s="52">
        <f t="shared" si="8"/>
        <v>0.72498971144458602</v>
      </c>
      <c r="U61" s="91">
        <f t="shared" si="9"/>
        <v>9.1019660754179503E-4</v>
      </c>
      <c r="V61" s="91">
        <f t="shared" si="10"/>
        <v>2.8765408111775682E-3</v>
      </c>
      <c r="W61" s="91">
        <f t="shared" si="11"/>
        <v>1.2681763718530015E-2</v>
      </c>
      <c r="X61" s="85">
        <f t="shared" si="12"/>
        <v>7.4054324781953035E-2</v>
      </c>
      <c r="Z61" s="45"/>
      <c r="AS61" s="62"/>
      <c r="AT61" s="62"/>
    </row>
    <row r="62" spans="1:46" ht="12.4" customHeight="1" x14ac:dyDescent="0.2">
      <c r="A62" s="79">
        <f>'Raw Data'!A62</f>
        <v>76.806266784667969</v>
      </c>
      <c r="B62" s="45">
        <f>'Raw Data'!E62</f>
        <v>5.7258515061210727E-3</v>
      </c>
      <c r="C62" s="45">
        <f t="shared" si="1"/>
        <v>0.99427414849387896</v>
      </c>
      <c r="D62" s="117">
        <f t="shared" si="2"/>
        <v>1.4393072427047642E-3</v>
      </c>
      <c r="E62" s="108">
        <f>(2*Table!$AC$16*0.147)/A62</f>
        <v>1.4221531877154006</v>
      </c>
      <c r="F62" s="108">
        <f t="shared" si="3"/>
        <v>2.8443063754308011</v>
      </c>
      <c r="G62" s="79">
        <f>IF((('Raw Data'!C62)/('Raw Data'!C$136)*100)&lt;0,0,('Raw Data'!C62)/('Raw Data'!C$136)*100)</f>
        <v>0.64069898975550799</v>
      </c>
      <c r="H62" s="79">
        <f t="shared" si="4"/>
        <v>0.16105249941653466</v>
      </c>
      <c r="I62" s="96">
        <f t="shared" si="5"/>
        <v>4.0221279033552465E-2</v>
      </c>
      <c r="J62" s="108">
        <f>'Raw Data'!F62/I62</f>
        <v>3.5784720856442645E-2</v>
      </c>
      <c r="K62" s="145">
        <f t="shared" si="6"/>
        <v>2.1501848391627488E-2</v>
      </c>
      <c r="L62" s="79">
        <f>A62*Table!$AC$9/$AC$16</f>
        <v>14.471014921437872</v>
      </c>
      <c r="M62" s="79">
        <f>A62*Table!$AD$9/$AC$16</f>
        <v>4.9614908302072704</v>
      </c>
      <c r="N62" s="79">
        <f>ABS(A62*Table!$AE$9/$AC$16)</f>
        <v>6.2661332702544348</v>
      </c>
      <c r="O62" s="79">
        <f>($L62*(Table!$AC$10/Table!$AC$9)/(Table!$AC$12-Table!$AC$14))</f>
        <v>31.040358046842289</v>
      </c>
      <c r="P62" s="79">
        <f>$N62*(Table!$AE$10/Table!$AE$9)/(Table!$AC$12-Table!$AC$13)</f>
        <v>51.446085962680073</v>
      </c>
      <c r="Q62" s="79">
        <f>'Raw Data'!C62</f>
        <v>9.0461263047764105E-3</v>
      </c>
      <c r="R62" s="79">
        <f>'Raw Data'!C62/'Raw Data'!I$30*100</f>
        <v>8.5122301646644166E-2</v>
      </c>
      <c r="S62" s="52">
        <f t="shared" si="7"/>
        <v>5.8052691656018431E-2</v>
      </c>
      <c r="T62" s="52">
        <f t="shared" si="8"/>
        <v>0.67048630486975069</v>
      </c>
      <c r="U62" s="91">
        <f t="shared" si="9"/>
        <v>1.1082728690002706E-3</v>
      </c>
      <c r="V62" s="91">
        <f t="shared" si="10"/>
        <v>4.0130120903597265E-3</v>
      </c>
      <c r="W62" s="91">
        <f t="shared" si="11"/>
        <v>1.4676588986605876E-2</v>
      </c>
      <c r="X62" s="85">
        <f t="shared" si="12"/>
        <v>8.8730913768558906E-2</v>
      </c>
      <c r="Z62" s="45"/>
      <c r="AS62" s="62"/>
      <c r="AT62" s="62"/>
    </row>
    <row r="63" spans="1:46" x14ac:dyDescent="0.2">
      <c r="A63" s="79">
        <f>'Raw Data'!A63</f>
        <v>83.978050231933594</v>
      </c>
      <c r="B63" s="45">
        <f>'Raw Data'!E63</f>
        <v>7.2178068889570453E-3</v>
      </c>
      <c r="C63" s="45">
        <f t="shared" si="1"/>
        <v>0.99278219311104299</v>
      </c>
      <c r="D63" s="117">
        <f t="shared" si="2"/>
        <v>1.4919553828359727E-3</v>
      </c>
      <c r="E63" s="108">
        <f>(2*Table!$AC$16*0.147)/A63</f>
        <v>1.3007003239853623</v>
      </c>
      <c r="F63" s="108">
        <f t="shared" si="3"/>
        <v>2.6014006479707246</v>
      </c>
      <c r="G63" s="79">
        <f>IF((('Raw Data'!C63)/('Raw Data'!C$136)*100)&lt;0,0,('Raw Data'!C63)/('Raw Data'!C$136)*100)</f>
        <v>0.80764259727334631</v>
      </c>
      <c r="H63" s="79">
        <f t="shared" si="4"/>
        <v>0.16694360751783832</v>
      </c>
      <c r="I63" s="96">
        <f t="shared" si="5"/>
        <v>3.8769130670716925E-2</v>
      </c>
      <c r="J63" s="108">
        <f>'Raw Data'!F63/I63</f>
        <v>3.8483075504266474E-2</v>
      </c>
      <c r="K63" s="145">
        <f t="shared" si="6"/>
        <v>2.3509583005432096E-2</v>
      </c>
      <c r="L63" s="79">
        <f>A63*Table!$AC$9/$AC$16</f>
        <v>15.822245616840179</v>
      </c>
      <c r="M63" s="79">
        <f>A63*Table!$AD$9/$AC$16</f>
        <v>5.4247699257737754</v>
      </c>
      <c r="N63" s="79">
        <f>ABS(A63*Table!$AE$9/$AC$16)</f>
        <v>6.8512333245502912</v>
      </c>
      <c r="O63" s="79">
        <f>($L63*(Table!$AC$10/Table!$AC$9)/(Table!$AC$12-Table!$AC$14))</f>
        <v>33.938750786872973</v>
      </c>
      <c r="P63" s="79">
        <f>$N63*(Table!$AE$10/Table!$AE$9)/(Table!$AC$12-Table!$AC$13)</f>
        <v>56.24986309154589</v>
      </c>
      <c r="Q63" s="79">
        <f>'Raw Data'!C63</f>
        <v>1.1403228444047269E-2</v>
      </c>
      <c r="R63" s="79">
        <f>'Raw Data'!C63/'Raw Data'!I$30*100</f>
        <v>0.10730217760139664</v>
      </c>
      <c r="S63" s="52">
        <f t="shared" si="7"/>
        <v>6.0176189790826909E-2</v>
      </c>
      <c r="T63" s="52">
        <f t="shared" si="8"/>
        <v>0.62322695847534293</v>
      </c>
      <c r="U63" s="91">
        <f t="shared" si="9"/>
        <v>1.2777407585082725E-3</v>
      </c>
      <c r="V63" s="91">
        <f t="shared" si="10"/>
        <v>5.1046689634359861E-3</v>
      </c>
      <c r="W63" s="91">
        <f t="shared" si="11"/>
        <v>1.272592020196036E-2</v>
      </c>
      <c r="X63" s="85">
        <f t="shared" si="12"/>
        <v>0.10145683397051927</v>
      </c>
      <c r="AS63" s="62"/>
      <c r="AT63" s="62"/>
    </row>
    <row r="64" spans="1:46" x14ac:dyDescent="0.2">
      <c r="A64" s="79">
        <f>'Raw Data'!A64</f>
        <v>92.704200744628906</v>
      </c>
      <c r="B64" s="45">
        <f>'Raw Data'!E64</f>
        <v>8.8627711556996357E-3</v>
      </c>
      <c r="C64" s="45">
        <f t="shared" si="1"/>
        <v>0.99113722884430033</v>
      </c>
      <c r="D64" s="117">
        <f t="shared" si="2"/>
        <v>1.6449642667425903E-3</v>
      </c>
      <c r="E64" s="108">
        <f>(2*Table!$AC$16*0.147)/A64</f>
        <v>1.1782667480757461</v>
      </c>
      <c r="F64" s="108">
        <f t="shared" si="3"/>
        <v>2.3565334961514921</v>
      </c>
      <c r="G64" s="79">
        <f>IF((('Raw Data'!C64)/('Raw Data'!C$136)*100)&lt;0,0,('Raw Data'!C64)/('Raw Data'!C$136)*100)</f>
        <v>0.99170726307182444</v>
      </c>
      <c r="H64" s="79">
        <f t="shared" si="4"/>
        <v>0.18406466579847813</v>
      </c>
      <c r="I64" s="96">
        <f t="shared" si="5"/>
        <v>4.2933626812693138E-2</v>
      </c>
      <c r="J64" s="108">
        <f>'Raw Data'!F64/I64</f>
        <v>3.8314123191108183E-2</v>
      </c>
      <c r="K64" s="145">
        <f t="shared" si="6"/>
        <v>2.5952461343634981E-2</v>
      </c>
      <c r="L64" s="79">
        <f>A64*Table!$AC$9/$AC$16</f>
        <v>17.466333522192375</v>
      </c>
      <c r="M64" s="79">
        <f>A64*Table!$AD$9/$AC$16</f>
        <v>5.9884572076088141</v>
      </c>
      <c r="N64" s="79">
        <f>ABS(A64*Table!$AE$9/$AC$16)</f>
        <v>7.5631442705951635</v>
      </c>
      <c r="O64" s="79">
        <f>($L64*(Table!$AC$10/Table!$AC$9)/(Table!$AC$12-Table!$AC$14))</f>
        <v>37.465322870425517</v>
      </c>
      <c r="P64" s="79">
        <f>$N64*(Table!$AE$10/Table!$AE$9)/(Table!$AC$12-Table!$AC$13)</f>
        <v>62.094780546758308</v>
      </c>
      <c r="Q64" s="79">
        <f>'Raw Data'!C64</f>
        <v>1.4002065404434685E-2</v>
      </c>
      <c r="R64" s="79">
        <f>'Raw Data'!C64/'Raw Data'!I$30*100</f>
        <v>0.13175673154187617</v>
      </c>
      <c r="S64" s="52">
        <f t="shared" si="7"/>
        <v>6.6347615386775513E-2</v>
      </c>
      <c r="T64" s="52">
        <f t="shared" si="8"/>
        <v>0.58046859350506752</v>
      </c>
      <c r="U64" s="91">
        <f t="shared" si="9"/>
        <v>1.4212595597995045E-3</v>
      </c>
      <c r="V64" s="91">
        <f t="shared" si="10"/>
        <v>6.1114408563247135E-3</v>
      </c>
      <c r="W64" s="91">
        <f t="shared" si="11"/>
        <v>1.1513903218991884E-2</v>
      </c>
      <c r="X64" s="85">
        <f t="shared" si="12"/>
        <v>0.11297073718951116</v>
      </c>
      <c r="AS64" s="62"/>
      <c r="AT64" s="62"/>
    </row>
    <row r="65" spans="1:46" x14ac:dyDescent="0.2">
      <c r="A65" s="79">
        <f>'Raw Data'!A65</f>
        <v>101.15297698974609</v>
      </c>
      <c r="B65" s="45">
        <f>'Raw Data'!E65</f>
        <v>1.1409321223172472E-2</v>
      </c>
      <c r="C65" s="45">
        <f t="shared" si="1"/>
        <v>0.98859067877682749</v>
      </c>
      <c r="D65" s="117">
        <f t="shared" si="2"/>
        <v>2.5465500674728362E-3</v>
      </c>
      <c r="E65" s="108">
        <f>(2*Table!$AC$16*0.147)/A65</f>
        <v>1.0798523226400718</v>
      </c>
      <c r="F65" s="108">
        <f t="shared" si="3"/>
        <v>2.1597046452801436</v>
      </c>
      <c r="G65" s="79">
        <f>IF((('Raw Data'!C65)/('Raw Data'!C$136)*100)&lt;0,0,('Raw Data'!C65)/('Raw Data'!C$136)*100)</f>
        <v>1.2766556334316699</v>
      </c>
      <c r="H65" s="79">
        <f t="shared" si="4"/>
        <v>0.28494837035984544</v>
      </c>
      <c r="I65" s="96">
        <f t="shared" si="5"/>
        <v>3.787925486916937E-2</v>
      </c>
      <c r="J65" s="108">
        <f>'Raw Data'!F65/I65</f>
        <v>6.7228092956641575E-2</v>
      </c>
      <c r="K65" s="145">
        <f t="shared" si="6"/>
        <v>2.8317688993959436E-2</v>
      </c>
      <c r="L65" s="79">
        <f>A65*Table!$AC$9/$AC$16</f>
        <v>19.058161536093273</v>
      </c>
      <c r="M65" s="79">
        <f>A65*Table!$AD$9/$AC$16</f>
        <v>6.5342268123748362</v>
      </c>
      <c r="N65" s="79">
        <f>ABS(A65*Table!$AE$9/$AC$16)</f>
        <v>8.2524260198421171</v>
      </c>
      <c r="O65" s="79">
        <f>($L65*(Table!$AC$10/Table!$AC$9)/(Table!$AC$12-Table!$AC$14))</f>
        <v>40.879797374717448</v>
      </c>
      <c r="P65" s="79">
        <f>$N65*(Table!$AE$10/Table!$AE$9)/(Table!$AC$12-Table!$AC$13)</f>
        <v>67.753908208884368</v>
      </c>
      <c r="Q65" s="79">
        <f>'Raw Data'!C65</f>
        <v>1.8025294705294074E-2</v>
      </c>
      <c r="R65" s="79">
        <f>'Raw Data'!C65/'Raw Data'!I$30*100</f>
        <v>0.16961454234433487</v>
      </c>
      <c r="S65" s="52">
        <f t="shared" si="7"/>
        <v>0.10271197244571759</v>
      </c>
      <c r="T65" s="52">
        <f t="shared" si="8"/>
        <v>0.52487070079324205</v>
      </c>
      <c r="U65" s="91">
        <f t="shared" si="9"/>
        <v>1.6768121650194115E-3</v>
      </c>
      <c r="V65" s="91">
        <f t="shared" si="10"/>
        <v>8.0830644796859932E-3</v>
      </c>
      <c r="W65" s="91">
        <f t="shared" si="11"/>
        <v>1.4971310439696772E-2</v>
      </c>
      <c r="X65" s="85">
        <f t="shared" si="12"/>
        <v>0.12794204762920794</v>
      </c>
      <c r="AS65" s="62"/>
      <c r="AT65" s="62"/>
    </row>
    <row r="66" spans="1:46" x14ac:dyDescent="0.2">
      <c r="A66" s="79">
        <f>'Raw Data'!A66</f>
        <v>110.56392669677734</v>
      </c>
      <c r="B66" s="45">
        <f>'Raw Data'!E66</f>
        <v>1.4796798223764661E-2</v>
      </c>
      <c r="C66" s="45">
        <f t="shared" si="1"/>
        <v>0.98520320177623533</v>
      </c>
      <c r="D66" s="117">
        <f t="shared" si="2"/>
        <v>3.3874770005921893E-3</v>
      </c>
      <c r="E66" s="108">
        <f>(2*Table!$AC$16*0.147)/A66</f>
        <v>0.98793775155888008</v>
      </c>
      <c r="F66" s="108">
        <f t="shared" si="3"/>
        <v>1.9758755031177602</v>
      </c>
      <c r="G66" s="79">
        <f>IF((('Raw Data'!C66)/('Raw Data'!C$136)*100)&lt;0,0,('Raw Data'!C66)/('Raw Data'!C$136)*100)</f>
        <v>1.6557002331351858</v>
      </c>
      <c r="H66" s="79">
        <f t="shared" si="4"/>
        <v>0.37904459970351589</v>
      </c>
      <c r="I66" s="96">
        <f t="shared" si="5"/>
        <v>3.8634785517910011E-2</v>
      </c>
      <c r="J66" s="108">
        <f>'Raw Data'!F66/I66</f>
        <v>8.7679456613570406E-2</v>
      </c>
      <c r="K66" s="145">
        <f t="shared" si="6"/>
        <v>3.095227627821227E-2</v>
      </c>
      <c r="L66" s="79">
        <f>A66*Table!$AC$9/$AC$16</f>
        <v>20.831271977942478</v>
      </c>
      <c r="M66" s="79">
        <f>A66*Table!$AD$9/$AC$16</f>
        <v>7.1421503924374212</v>
      </c>
      <c r="N66" s="79">
        <f>ABS(A66*Table!$AE$9/$AC$16)</f>
        <v>9.0202053630205494</v>
      </c>
      <c r="O66" s="79">
        <f>($L66*(Table!$AC$10/Table!$AC$9)/(Table!$AC$12-Table!$AC$14))</f>
        <v>44.683123075809696</v>
      </c>
      <c r="P66" s="79">
        <f>$N66*(Table!$AE$10/Table!$AE$9)/(Table!$AC$12-Table!$AC$13)</f>
        <v>74.0575152957352</v>
      </c>
      <c r="Q66" s="79">
        <f>'Raw Data'!C66</f>
        <v>2.3377082953578789E-2</v>
      </c>
      <c r="R66" s="79">
        <f>'Raw Data'!C66/'Raw Data'!I$30*100</f>
        <v>0.21997383628641923</v>
      </c>
      <c r="S66" s="52">
        <f t="shared" si="7"/>
        <v>0.13662972850583405</v>
      </c>
      <c r="T66" s="52">
        <f t="shared" si="8"/>
        <v>0.46296752983355394</v>
      </c>
      <c r="U66" s="91">
        <f t="shared" si="9"/>
        <v>1.989562444627167E-3</v>
      </c>
      <c r="V66" s="91">
        <f t="shared" si="10"/>
        <v>1.0793740040533349E-2</v>
      </c>
      <c r="W66" s="91">
        <f t="shared" si="11"/>
        <v>1.6669185547062936E-2</v>
      </c>
      <c r="X66" s="85">
        <f t="shared" si="12"/>
        <v>0.14461123317627086</v>
      </c>
      <c r="AS66" s="62"/>
      <c r="AT66" s="62"/>
    </row>
    <row r="67" spans="1:46" x14ac:dyDescent="0.2">
      <c r="A67" s="79">
        <f>'Raw Data'!A67</f>
        <v>121.10307312011719</v>
      </c>
      <c r="B67" s="45">
        <f>'Raw Data'!E67</f>
        <v>1.8991478409084547E-2</v>
      </c>
      <c r="C67" s="45">
        <f t="shared" si="1"/>
        <v>0.98100852159091545</v>
      </c>
      <c r="D67" s="117">
        <f t="shared" si="2"/>
        <v>4.1946801853198854E-3</v>
      </c>
      <c r="E67" s="108">
        <f>(2*Table!$AC$16*0.147)/A67</f>
        <v>0.90196123294075292</v>
      </c>
      <c r="F67" s="108">
        <f t="shared" si="3"/>
        <v>1.8039224658815058</v>
      </c>
      <c r="G67" s="79">
        <f>IF((('Raw Data'!C67)/('Raw Data'!C$136)*100)&lt;0,0,('Raw Data'!C67)/('Raw Data'!C$136)*100)</f>
        <v>2.125067514876402</v>
      </c>
      <c r="H67" s="79">
        <f t="shared" si="4"/>
        <v>0.46936728174121622</v>
      </c>
      <c r="I67" s="96">
        <f t="shared" si="5"/>
        <v>3.9541709623392714E-2</v>
      </c>
      <c r="J67" s="108">
        <f>'Raw Data'!F67/I67</f>
        <v>0.10608241842022759</v>
      </c>
      <c r="K67" s="145">
        <f t="shared" si="6"/>
        <v>3.3902701263808011E-2</v>
      </c>
      <c r="L67" s="79">
        <f>A67*Table!$AC$9/$AC$16</f>
        <v>22.816945172799723</v>
      </c>
      <c r="M67" s="79">
        <f>A67*Table!$AD$9/$AC$16</f>
        <v>7.822952630674191</v>
      </c>
      <c r="N67" s="79">
        <f>ABS(A67*Table!$AE$9/$AC$16)</f>
        <v>9.880027078200639</v>
      </c>
      <c r="O67" s="79">
        <f>($L67*(Table!$AC$10/Table!$AC$9)/(Table!$AC$12-Table!$AC$14))</f>
        <v>48.942396338051751</v>
      </c>
      <c r="P67" s="79">
        <f>$N67*(Table!$AE$10/Table!$AE$9)/(Table!$AC$12-Table!$AC$13)</f>
        <v>81.116806881778629</v>
      </c>
      <c r="Q67" s="79">
        <f>'Raw Data'!C67</f>
        <v>3.0004150861990635E-2</v>
      </c>
      <c r="R67" s="79">
        <f>'Raw Data'!C67/'Raw Data'!I$30*100</f>
        <v>0.28233326556332133</v>
      </c>
      <c r="S67" s="52">
        <f t="shared" si="7"/>
        <v>0.16918727855240545</v>
      </c>
      <c r="T67" s="52">
        <f t="shared" si="8"/>
        <v>0.39907472168804992</v>
      </c>
      <c r="U67" s="91">
        <f t="shared" si="9"/>
        <v>2.331346829516758E-3</v>
      </c>
      <c r="V67" s="91">
        <f t="shared" si="10"/>
        <v>1.4112246128023226E-2</v>
      </c>
      <c r="W67" s="91">
        <f t="shared" si="11"/>
        <v>1.7204951823774323E-2</v>
      </c>
      <c r="X67" s="85">
        <f t="shared" si="12"/>
        <v>0.16181618500004519</v>
      </c>
      <c r="AS67" s="62"/>
      <c r="AT67" s="62"/>
    </row>
    <row r="68" spans="1:46" x14ac:dyDescent="0.2">
      <c r="A68" s="79">
        <f>'Raw Data'!A68</f>
        <v>132.95259094238281</v>
      </c>
      <c r="B68" s="45">
        <f>'Raw Data'!E68</f>
        <v>2.3079440763588803E-2</v>
      </c>
      <c r="C68" s="45">
        <f t="shared" si="1"/>
        <v>0.97692055923641119</v>
      </c>
      <c r="D68" s="117">
        <f t="shared" si="2"/>
        <v>4.0879623545042564E-3</v>
      </c>
      <c r="E68" s="108">
        <f>(2*Table!$AC$16*0.147)/A68</f>
        <v>0.82157313648495789</v>
      </c>
      <c r="F68" s="108">
        <f t="shared" si="3"/>
        <v>1.6431462729699158</v>
      </c>
      <c r="G68" s="79">
        <f>IF((('Raw Data'!C68)/('Raw Data'!C$136)*100)&lt;0,0,('Raw Data'!C68)/('Raw Data'!C$136)*100)</f>
        <v>2.5824935148153609</v>
      </c>
      <c r="H68" s="79">
        <f t="shared" si="4"/>
        <v>0.45742599993895894</v>
      </c>
      <c r="I68" s="96">
        <f t="shared" si="5"/>
        <v>4.0541641187475733E-2</v>
      </c>
      <c r="J68" s="108">
        <f>'Raw Data'!F68/I68</f>
        <v>0.10083366718185854</v>
      </c>
      <c r="K68" s="145">
        <f t="shared" si="6"/>
        <v>3.7219963596614211E-2</v>
      </c>
      <c r="L68" s="79">
        <f>A68*Table!$AC$9/$AC$16</f>
        <v>25.04950452500195</v>
      </c>
      <c r="M68" s="79">
        <f>A68*Table!$AD$9/$AC$16</f>
        <v>8.5884015514292411</v>
      </c>
      <c r="N68" s="79">
        <f>ABS(A68*Table!$AE$9/$AC$16)</f>
        <v>10.846753635432471</v>
      </c>
      <c r="O68" s="79">
        <f>($L68*(Table!$AC$10/Table!$AC$9)/(Table!$AC$12-Table!$AC$14))</f>
        <v>53.731240937370124</v>
      </c>
      <c r="P68" s="79">
        <f>$N68*(Table!$AE$10/Table!$AE$9)/(Table!$AC$12-Table!$AC$13)</f>
        <v>89.053806530644238</v>
      </c>
      <c r="Q68" s="79">
        <f>'Raw Data'!C68</f>
        <v>3.6462617999757641E-2</v>
      </c>
      <c r="R68" s="79">
        <f>'Raw Data'!C68/'Raw Data'!I$30*100</f>
        <v>0.34310619414664933</v>
      </c>
      <c r="S68" s="52">
        <f t="shared" si="7"/>
        <v>0.16488294578541635</v>
      </c>
      <c r="T68" s="52">
        <f t="shared" si="8"/>
        <v>0.34741206600202101</v>
      </c>
      <c r="U68" s="91">
        <f t="shared" si="9"/>
        <v>2.5806657223802435E-3</v>
      </c>
      <c r="V68" s="91">
        <f t="shared" si="10"/>
        <v>1.6757579584403496E-2</v>
      </c>
      <c r="W68" s="91">
        <f t="shared" si="11"/>
        <v>1.3911636191387423E-2</v>
      </c>
      <c r="X68" s="85">
        <f t="shared" si="12"/>
        <v>0.1757278211914326</v>
      </c>
      <c r="AS68" s="62"/>
      <c r="AT68" s="62"/>
    </row>
    <row r="69" spans="1:46" x14ac:dyDescent="0.2">
      <c r="A69" s="79">
        <f>'Raw Data'!A69</f>
        <v>144.81080627441406</v>
      </c>
      <c r="B69" s="45">
        <f>'Raw Data'!E69</f>
        <v>2.6106182992485003E-2</v>
      </c>
      <c r="C69" s="45">
        <f t="shared" si="1"/>
        <v>0.97389381700751498</v>
      </c>
      <c r="D69" s="117">
        <f t="shared" si="2"/>
        <v>3.0267422288961995E-3</v>
      </c>
      <c r="E69" s="108">
        <f>(2*Table!$AC$16*0.147)/A69</f>
        <v>0.75429645034463444</v>
      </c>
      <c r="F69" s="108">
        <f t="shared" si="3"/>
        <v>1.5085929006892689</v>
      </c>
      <c r="G69" s="79">
        <f>IF((('Raw Data'!C69)/('Raw Data'!C$136)*100)&lt;0,0,('Raw Data'!C69)/('Raw Data'!C$136)*100)</f>
        <v>2.9211733925996599</v>
      </c>
      <c r="H69" s="79">
        <f t="shared" si="4"/>
        <v>0.33867987778429898</v>
      </c>
      <c r="I69" s="96">
        <f t="shared" si="5"/>
        <v>3.7104166442588987E-2</v>
      </c>
      <c r="J69" s="108">
        <f>'Raw Data'!F69/I69</f>
        <v>8.1574187458959793E-2</v>
      </c>
      <c r="K69" s="145">
        <f t="shared" si="6"/>
        <v>4.0539660789806087E-2</v>
      </c>
      <c r="L69" s="79">
        <f>A69*Table!$AC$9/$AC$16</f>
        <v>27.28370256892644</v>
      </c>
      <c r="M69" s="79">
        <f>A69*Table!$AD$9/$AC$16</f>
        <v>9.3544123093462073</v>
      </c>
      <c r="N69" s="79">
        <f>ABS(A69*Table!$AE$9/$AC$16)</f>
        <v>11.814189766994524</v>
      </c>
      <c r="O69" s="79">
        <f>($L69*(Table!$AC$10/Table!$AC$9)/(Table!$AC$12-Table!$AC$14))</f>
        <v>58.523600533947757</v>
      </c>
      <c r="P69" s="79">
        <f>$N69*(Table!$AE$10/Table!$AE$9)/(Table!$AC$12-Table!$AC$13)</f>
        <v>96.9966319129271</v>
      </c>
      <c r="Q69" s="79">
        <f>'Raw Data'!C69</f>
        <v>4.1244490611250503E-2</v>
      </c>
      <c r="R69" s="79">
        <f>'Raw Data'!C69/'Raw Data'!I$30*100</f>
        <v>0.38810269200191361</v>
      </c>
      <c r="S69" s="52">
        <f t="shared" si="7"/>
        <v>0.12207993409813155</v>
      </c>
      <c r="T69" s="52">
        <f t="shared" si="8"/>
        <v>0.3151689547019596</v>
      </c>
      <c r="U69" s="91">
        <f t="shared" si="9"/>
        <v>2.6800671993115312E-3</v>
      </c>
      <c r="V69" s="91">
        <f t="shared" si="10"/>
        <v>1.7863528474177808E-2</v>
      </c>
      <c r="W69" s="91">
        <f t="shared" si="11"/>
        <v>8.6823727531716785E-3</v>
      </c>
      <c r="X69" s="85">
        <f t="shared" si="12"/>
        <v>0.18441019394460428</v>
      </c>
      <c r="AS69" s="62"/>
      <c r="AT69" s="62"/>
    </row>
    <row r="70" spans="1:46" x14ac:dyDescent="0.2">
      <c r="A70" s="79">
        <f>'Raw Data'!A70</f>
        <v>158.7789306640625</v>
      </c>
      <c r="B70" s="45">
        <f>'Raw Data'!E70</f>
        <v>2.9598729623060094E-2</v>
      </c>
      <c r="C70" s="45">
        <f t="shared" si="1"/>
        <v>0.97040127037693991</v>
      </c>
      <c r="D70" s="117">
        <f t="shared" si="2"/>
        <v>3.4925466305750913E-3</v>
      </c>
      <c r="E70" s="108">
        <f>(2*Table!$AC$16*0.147)/A70</f>
        <v>0.687939367569112</v>
      </c>
      <c r="F70" s="108">
        <f t="shared" si="3"/>
        <v>1.375878735138224</v>
      </c>
      <c r="G70" s="79">
        <f>IF((('Raw Data'!C70)/('Raw Data'!C$136)*100)&lt;0,0,('Raw Data'!C70)/('Raw Data'!C$136)*100)</f>
        <v>3.3119748472813502</v>
      </c>
      <c r="H70" s="79">
        <f t="shared" si="4"/>
        <v>0.39080145468169025</v>
      </c>
      <c r="I70" s="96">
        <f t="shared" si="5"/>
        <v>3.9991901154402307E-2</v>
      </c>
      <c r="J70" s="108">
        <f>'Raw Data'!F70/I70</f>
        <v>8.7331347841927531E-2</v>
      </c>
      <c r="K70" s="145">
        <f t="shared" si="6"/>
        <v>4.4450025210767227E-2</v>
      </c>
      <c r="L70" s="79">
        <f>A70*Table!$AC$9/$AC$16</f>
        <v>29.915427100386839</v>
      </c>
      <c r="M70" s="79">
        <f>A70*Table!$AD$9/$AC$16</f>
        <v>10.256717862989774</v>
      </c>
      <c r="N70" s="79">
        <f>ABS(A70*Table!$AE$9/$AC$16)</f>
        <v>12.953759916998226</v>
      </c>
      <c r="O70" s="79">
        <f>($L70*(Table!$AC$10/Table!$AC$9)/(Table!$AC$12-Table!$AC$14))</f>
        <v>64.168655298985087</v>
      </c>
      <c r="P70" s="79">
        <f>$N70*(Table!$AE$10/Table!$AE$9)/(Table!$AC$12-Table!$AC$13)</f>
        <v>106.35270867814634</v>
      </c>
      <c r="Q70" s="79">
        <f>'Raw Data'!C70</f>
        <v>4.6762275679851875E-2</v>
      </c>
      <c r="R70" s="79">
        <f>'Raw Data'!C70/'Raw Data'!I$30*100</f>
        <v>0.4400239839678281</v>
      </c>
      <c r="S70" s="52">
        <f t="shared" si="7"/>
        <v>0.14086758311451855</v>
      </c>
      <c r="T70" s="52">
        <f t="shared" si="8"/>
        <v>0.28422185761754015</v>
      </c>
      <c r="U70" s="91">
        <f t="shared" si="9"/>
        <v>2.7712995806654698E-3</v>
      </c>
      <c r="V70" s="91">
        <f t="shared" si="10"/>
        <v>1.8903867025101696E-2</v>
      </c>
      <c r="W70" s="91">
        <f t="shared" si="11"/>
        <v>8.3333841456860458E-3</v>
      </c>
      <c r="X70" s="85">
        <f t="shared" si="12"/>
        <v>0.19274357809029033</v>
      </c>
      <c r="AS70" s="62"/>
      <c r="AT70" s="62"/>
    </row>
    <row r="71" spans="1:46" x14ac:dyDescent="0.2">
      <c r="A71" s="79">
        <f>'Raw Data'!A71</f>
        <v>174.09222412109375</v>
      </c>
      <c r="B71" s="45">
        <f>'Raw Data'!E71</f>
        <v>3.3694844134818443E-2</v>
      </c>
      <c r="C71" s="45">
        <f t="shared" si="1"/>
        <v>0.96630515586518151</v>
      </c>
      <c r="D71" s="117">
        <f t="shared" si="2"/>
        <v>4.0961145117583489E-3</v>
      </c>
      <c r="E71" s="108">
        <f>(2*Table!$AC$16*0.147)/A71</f>
        <v>0.62742766195207822</v>
      </c>
      <c r="F71" s="108">
        <f t="shared" si="3"/>
        <v>1.2548553239041564</v>
      </c>
      <c r="G71" s="79">
        <f>IF((('Raw Data'!C71)/('Raw Data'!C$136)*100)&lt;0,0,('Raw Data'!C71)/('Raw Data'!C$136)*100)</f>
        <v>3.7703130397407478</v>
      </c>
      <c r="H71" s="79">
        <f t="shared" si="4"/>
        <v>0.45833819245939766</v>
      </c>
      <c r="I71" s="96">
        <f t="shared" si="5"/>
        <v>3.998650090873937E-2</v>
      </c>
      <c r="J71" s="108">
        <f>'Raw Data'!F71/I71</f>
        <v>0.1024374331004069</v>
      </c>
      <c r="K71" s="145">
        <f t="shared" si="6"/>
        <v>4.8736968556323958E-2</v>
      </c>
      <c r="L71" s="79">
        <f>A71*Table!$AC$9/$AC$16</f>
        <v>32.800593993530143</v>
      </c>
      <c r="M71" s="79">
        <f>A71*Table!$AD$9/$AC$16</f>
        <v>11.245917940638906</v>
      </c>
      <c r="N71" s="79">
        <f>ABS(A71*Table!$AE$9/$AC$16)</f>
        <v>14.203073828808188</v>
      </c>
      <c r="O71" s="79">
        <f>($L71*(Table!$AC$10/Table!$AC$9)/(Table!$AC$12-Table!$AC$14))</f>
        <v>70.35734447346664</v>
      </c>
      <c r="P71" s="79">
        <f>$N71*(Table!$AE$10/Table!$AE$9)/(Table!$AC$12-Table!$AC$13)</f>
        <v>116.6098015501493</v>
      </c>
      <c r="Q71" s="79">
        <f>'Raw Data'!C71</f>
        <v>5.3233622202300462E-2</v>
      </c>
      <c r="R71" s="79">
        <f>'Raw Data'!C71/'Raw Data'!I$30*100</f>
        <v>0.50091810507389478</v>
      </c>
      <c r="S71" s="52">
        <f t="shared" si="7"/>
        <v>0.16521175304585495</v>
      </c>
      <c r="T71" s="52">
        <f t="shared" si="8"/>
        <v>0.25403090673547291</v>
      </c>
      <c r="U71" s="91">
        <f t="shared" si="9"/>
        <v>2.877314639426227E-3</v>
      </c>
      <c r="V71" s="91">
        <f t="shared" si="10"/>
        <v>2.0142831213742711E-2</v>
      </c>
      <c r="W71" s="91">
        <f t="shared" si="11"/>
        <v>8.1297703218332473E-3</v>
      </c>
      <c r="X71" s="85">
        <f t="shared" si="12"/>
        <v>0.20087334841212356</v>
      </c>
      <c r="AS71" s="62"/>
      <c r="AT71" s="62"/>
    </row>
    <row r="72" spans="1:46" x14ac:dyDescent="0.2">
      <c r="A72" s="79">
        <f>'Raw Data'!A72</f>
        <v>189.58242797851563</v>
      </c>
      <c r="B72" s="45">
        <f>'Raw Data'!E72</f>
        <v>3.7751945787262042E-2</v>
      </c>
      <c r="C72" s="45">
        <f t="shared" si="1"/>
        <v>0.96224805421273796</v>
      </c>
      <c r="D72" s="117">
        <f t="shared" si="2"/>
        <v>4.0571016524435996E-3</v>
      </c>
      <c r="E72" s="108">
        <f>(2*Table!$AC$16*0.147)/A72</f>
        <v>0.57616245508108765</v>
      </c>
      <c r="F72" s="108">
        <f t="shared" si="3"/>
        <v>1.1523249101621753</v>
      </c>
      <c r="G72" s="79">
        <f>IF((('Raw Data'!C72)/('Raw Data'!C$136)*100)&lt;0,0,('Raw Data'!C72)/('Raw Data'!C$136)*100)</f>
        <v>4.2242858553607858</v>
      </c>
      <c r="H72" s="79">
        <f t="shared" si="4"/>
        <v>0.45397281562003799</v>
      </c>
      <c r="I72" s="96">
        <f t="shared" si="5"/>
        <v>3.7018707304682985E-2</v>
      </c>
      <c r="J72" s="108">
        <f>'Raw Data'!F72/I72</f>
        <v>0.10959598397241611</v>
      </c>
      <c r="K72" s="145">
        <f t="shared" si="6"/>
        <v>5.3073437816462191E-2</v>
      </c>
      <c r="L72" s="79">
        <f>A72*Table!$AC$9/$AC$16</f>
        <v>35.719092451283764</v>
      </c>
      <c r="M72" s="79">
        <f>A72*Table!$AD$9/$AC$16</f>
        <v>12.24654598329729</v>
      </c>
      <c r="N72" s="79">
        <f>ABS(A72*Table!$AE$9/$AC$16)</f>
        <v>15.466820731468358</v>
      </c>
      <c r="O72" s="79">
        <f>($L72*(Table!$AC$10/Table!$AC$9)/(Table!$AC$12-Table!$AC$14))</f>
        <v>76.617529925533603</v>
      </c>
      <c r="P72" s="79">
        <f>$N72*(Table!$AE$10/Table!$AE$9)/(Table!$AC$12-Table!$AC$13)</f>
        <v>126.98539188397663</v>
      </c>
      <c r="Q72" s="79">
        <f>'Raw Data'!C72</f>
        <v>5.964333330641966E-2</v>
      </c>
      <c r="R72" s="79">
        <f>'Raw Data'!C72/'Raw Data'!I$30*100</f>
        <v>0.56123224879578759</v>
      </c>
      <c r="S72" s="52">
        <f t="shared" si="7"/>
        <v>0.16363821723277677</v>
      </c>
      <c r="T72" s="52">
        <f t="shared" si="8"/>
        <v>0.22881450139539938</v>
      </c>
      <c r="U72" s="91">
        <f t="shared" si="9"/>
        <v>2.9603600649074349E-3</v>
      </c>
      <c r="V72" s="91">
        <f t="shared" si="10"/>
        <v>2.1135693758954695E-2</v>
      </c>
      <c r="W72" s="91">
        <f t="shared" si="11"/>
        <v>6.7902327607314477E-3</v>
      </c>
      <c r="X72" s="85">
        <f t="shared" si="12"/>
        <v>0.20766358117285502</v>
      </c>
      <c r="AS72" s="62"/>
      <c r="AT72" s="62"/>
    </row>
    <row r="73" spans="1:46" x14ac:dyDescent="0.2">
      <c r="A73" s="79">
        <f>'Raw Data'!A73</f>
        <v>207.97232055664062</v>
      </c>
      <c r="B73" s="45">
        <f>'Raw Data'!E73</f>
        <v>4.1815005622253897E-2</v>
      </c>
      <c r="C73" s="45">
        <f t="shared" si="1"/>
        <v>0.95818499437774607</v>
      </c>
      <c r="D73" s="117">
        <f t="shared" si="2"/>
        <v>4.0630598349918542E-3</v>
      </c>
      <c r="E73" s="108">
        <f>(2*Table!$AC$16*0.147)/A73</f>
        <v>0.52521545584517593</v>
      </c>
      <c r="F73" s="108">
        <f t="shared" si="3"/>
        <v>1.0504309116903519</v>
      </c>
      <c r="G73" s="79">
        <f>IF((('Raw Data'!C73)/('Raw Data'!C$136)*100)&lt;0,0,('Raw Data'!C73)/('Raw Data'!C$136)*100)</f>
        <v>4.6789253668487412</v>
      </c>
      <c r="H73" s="79">
        <f t="shared" si="4"/>
        <v>0.45463951148795534</v>
      </c>
      <c r="I73" s="96">
        <f t="shared" si="5"/>
        <v>4.0207456737741398E-2</v>
      </c>
      <c r="J73" s="108">
        <f>'Raw Data'!F73/I73</f>
        <v>0.10105239586511811</v>
      </c>
      <c r="K73" s="145">
        <f t="shared" si="6"/>
        <v>5.8221672442443147E-2</v>
      </c>
      <c r="L73" s="79">
        <f>A73*Table!$AC$9/$AC$16</f>
        <v>39.183919229647756</v>
      </c>
      <c r="M73" s="79">
        <f>A73*Table!$AD$9/$AC$16</f>
        <v>13.434486593022086</v>
      </c>
      <c r="N73" s="79">
        <f>ABS(A73*Table!$AE$9/$AC$16)</f>
        <v>16.967134736356265</v>
      </c>
      <c r="O73" s="79">
        <f>($L73*(Table!$AC$10/Table!$AC$9)/(Table!$AC$12-Table!$AC$14))</f>
        <v>84.049590797185246</v>
      </c>
      <c r="P73" s="79">
        <f>$N73*(Table!$AE$10/Table!$AE$9)/(Table!$AC$12-Table!$AC$13)</f>
        <v>139.30324085678376</v>
      </c>
      <c r="Q73" s="79">
        <f>'Raw Data'!C73</f>
        <v>6.6062457590713164E-2</v>
      </c>
      <c r="R73" s="79">
        <f>'Raw Data'!C73/'Raw Data'!I$30*100</f>
        <v>0.62163496872535806</v>
      </c>
      <c r="S73" s="52">
        <f t="shared" si="7"/>
        <v>0.16387853321538384</v>
      </c>
      <c r="T73" s="52">
        <f t="shared" si="8"/>
        <v>0.20782966478018305</v>
      </c>
      <c r="U73" s="91">
        <f t="shared" si="9"/>
        <v>2.9890274199063796E-3</v>
      </c>
      <c r="V73" s="91">
        <f t="shared" si="10"/>
        <v>2.1482951847609337E-2</v>
      </c>
      <c r="W73" s="91">
        <f t="shared" si="11"/>
        <v>5.650762792775741E-3</v>
      </c>
      <c r="X73" s="85">
        <f t="shared" si="12"/>
        <v>0.21331434396563076</v>
      </c>
      <c r="AS73" s="62"/>
      <c r="AT73" s="62"/>
    </row>
    <row r="74" spans="1:46" x14ac:dyDescent="0.2">
      <c r="A74" s="79">
        <f>'Raw Data'!A74</f>
        <v>228.11825561523437</v>
      </c>
      <c r="B74" s="45">
        <f>'Raw Data'!E74</f>
        <v>4.5851603583810185E-2</v>
      </c>
      <c r="C74" s="45">
        <f t="shared" si="1"/>
        <v>0.95414839641618987</v>
      </c>
      <c r="D74" s="117">
        <f t="shared" si="2"/>
        <v>4.0365979615562889E-3</v>
      </c>
      <c r="E74" s="108">
        <f>(2*Table!$AC$16*0.147)/A74</f>
        <v>0.47883180962322047</v>
      </c>
      <c r="F74" s="108">
        <f t="shared" si="3"/>
        <v>0.95766361924644094</v>
      </c>
      <c r="G74" s="79">
        <f>IF((('Raw Data'!C74)/('Raw Data'!C$136)*100)&lt;0,0,('Raw Data'!C74)/('Raw Data'!C$136)*100)</f>
        <v>5.130603904661589</v>
      </c>
      <c r="H74" s="79">
        <f t="shared" si="4"/>
        <v>0.45167853781284784</v>
      </c>
      <c r="I74" s="96">
        <f t="shared" si="5"/>
        <v>4.0154504237622235E-2</v>
      </c>
      <c r="J74" s="108">
        <f>'Raw Data'!F74/I74</f>
        <v>0.10052665418725931</v>
      </c>
      <c r="K74" s="145">
        <f t="shared" si="6"/>
        <v>6.386150965197572E-2</v>
      </c>
      <c r="L74" s="79">
        <f>A74*Table!$AC$9/$AC$16</f>
        <v>42.979600741633753</v>
      </c>
      <c r="M74" s="79">
        <f>A74*Table!$AD$9/$AC$16</f>
        <v>14.735863111417286</v>
      </c>
      <c r="N74" s="79">
        <f>ABS(A74*Table!$AE$9/$AC$16)</f>
        <v>18.610713043383665</v>
      </c>
      <c r="O74" s="79">
        <f>($L74*(Table!$AC$10/Table!$AC$9)/(Table!$AC$12-Table!$AC$14))</f>
        <v>92.191335782140186</v>
      </c>
      <c r="P74" s="79">
        <f>$N74*(Table!$AE$10/Table!$AE$9)/(Table!$AC$12-Table!$AC$13)</f>
        <v>152.79731562712365</v>
      </c>
      <c r="Q74" s="79">
        <f>'Raw Data'!C74</f>
        <v>7.243977543816435E-2</v>
      </c>
      <c r="R74" s="79">
        <f>'Raw Data'!C74/'Raw Data'!I$30*100</f>
        <v>0.68164429815740879</v>
      </c>
      <c r="S74" s="52">
        <f t="shared" si="7"/>
        <v>0.16281122601813203</v>
      </c>
      <c r="T74" s="52">
        <f t="shared" si="8"/>
        <v>0.19050124890744147</v>
      </c>
      <c r="U74" s="91">
        <f t="shared" si="9"/>
        <v>2.9881181421408639E-3</v>
      </c>
      <c r="V74" s="91">
        <f t="shared" si="10"/>
        <v>2.1471901941558499E-2</v>
      </c>
      <c r="W74" s="91">
        <f t="shared" si="11"/>
        <v>4.6661677413504426E-3</v>
      </c>
      <c r="X74" s="85">
        <f t="shared" si="12"/>
        <v>0.21798051170698121</v>
      </c>
      <c r="AS74" s="62"/>
      <c r="AT74" s="62"/>
    </row>
    <row r="75" spans="1:46" x14ac:dyDescent="0.2">
      <c r="A75" s="79">
        <f>'Raw Data'!A75</f>
        <v>249.79278564453125</v>
      </c>
      <c r="B75" s="45">
        <f>'Raw Data'!E75</f>
        <v>5.070305825673331E-2</v>
      </c>
      <c r="C75" s="45">
        <f t="shared" si="1"/>
        <v>0.94929694174326673</v>
      </c>
      <c r="D75" s="117">
        <f t="shared" si="2"/>
        <v>4.851454672923125E-3</v>
      </c>
      <c r="E75" s="108">
        <f>(2*Table!$AC$16*0.147)/A75</f>
        <v>0.43728355429678295</v>
      </c>
      <c r="F75" s="108">
        <f t="shared" si="3"/>
        <v>0.8745671085935659</v>
      </c>
      <c r="G75" s="79">
        <f>IF((('Raw Data'!C75)/('Raw Data'!C$136)*100)&lt;0,0,('Raw Data'!C75)/('Raw Data'!C$136)*100)</f>
        <v>5.6734615223388216</v>
      </c>
      <c r="H75" s="79">
        <f t="shared" si="4"/>
        <v>0.54285761767723262</v>
      </c>
      <c r="I75" s="96">
        <f t="shared" si="5"/>
        <v>3.9419849260274809E-2</v>
      </c>
      <c r="J75" s="108">
        <f>'Raw Data'!F75/I75</f>
        <v>0.12307136541519348</v>
      </c>
      <c r="K75" s="145">
        <f t="shared" si="6"/>
        <v>6.9929275710132188E-2</v>
      </c>
      <c r="L75" s="79">
        <f>A75*Table!$AC$9/$AC$16</f>
        <v>47.063283761255782</v>
      </c>
      <c r="M75" s="79">
        <f>A75*Table!$AD$9/$AC$16</f>
        <v>16.135983003859128</v>
      </c>
      <c r="N75" s="79">
        <f>ABS(A75*Table!$AE$9/$AC$16)</f>
        <v>20.378999661381581</v>
      </c>
      <c r="O75" s="79">
        <f>($L75*(Table!$AC$10/Table!$AC$9)/(Table!$AC$12-Table!$AC$14))</f>
        <v>100.95084461873829</v>
      </c>
      <c r="P75" s="79">
        <f>$N75*(Table!$AE$10/Table!$AE$9)/(Table!$AC$12-Table!$AC$13)</f>
        <v>167.31526815584218</v>
      </c>
      <c r="Q75" s="79">
        <f>'Raw Data'!C75</f>
        <v>8.0104464556672611E-2</v>
      </c>
      <c r="R75" s="79">
        <f>'Raw Data'!C75/'Raw Data'!I$30*100</f>
        <v>0.75376754264813861</v>
      </c>
      <c r="S75" s="52">
        <f t="shared" si="7"/>
        <v>0.19567747167108984</v>
      </c>
      <c r="T75" s="52">
        <f t="shared" si="8"/>
        <v>0.17313221570763293</v>
      </c>
      <c r="U75" s="91">
        <f t="shared" si="9"/>
        <v>3.0175713069663704E-3</v>
      </c>
      <c r="V75" s="91">
        <f t="shared" si="10"/>
        <v>2.1831008483154165E-2</v>
      </c>
      <c r="W75" s="91">
        <f t="shared" si="11"/>
        <v>4.6771051093529217E-3</v>
      </c>
      <c r="X75" s="85">
        <f t="shared" si="12"/>
        <v>0.22265761681633414</v>
      </c>
      <c r="AS75" s="62"/>
      <c r="AT75" s="62"/>
    </row>
    <row r="76" spans="1:46" x14ac:dyDescent="0.2">
      <c r="A76" s="79">
        <f>'Raw Data'!A76</f>
        <v>272.95736694335937</v>
      </c>
      <c r="B76" s="45">
        <f>'Raw Data'!E76</f>
        <v>5.5371357745370227E-2</v>
      </c>
      <c r="C76" s="45">
        <f t="shared" si="1"/>
        <v>0.94462864225462972</v>
      </c>
      <c r="D76" s="117">
        <f t="shared" si="2"/>
        <v>4.6682994886369164E-3</v>
      </c>
      <c r="E76" s="108">
        <f>(2*Table!$AC$16*0.147)/A76</f>
        <v>0.40017339838642685</v>
      </c>
      <c r="F76" s="108">
        <f t="shared" si="3"/>
        <v>0.8003467967728537</v>
      </c>
      <c r="G76" s="79">
        <f>IF((('Raw Data'!C76)/('Raw Data'!C$136)*100)&lt;0,0,('Raw Data'!C76)/('Raw Data'!C$136)*100)</f>
        <v>6.1958248359959098</v>
      </c>
      <c r="H76" s="79">
        <f t="shared" si="4"/>
        <v>0.52236331365708821</v>
      </c>
      <c r="I76" s="96">
        <f t="shared" si="5"/>
        <v>3.8514928924448022E-2</v>
      </c>
      <c r="J76" s="108">
        <f>'Raw Data'!F76/I76</f>
        <v>0.12120753222196996</v>
      </c>
      <c r="K76" s="145">
        <f t="shared" si="6"/>
        <v>7.6414180340887636E-2</v>
      </c>
      <c r="L76" s="79">
        <f>A76*Table!$AC$9/$AC$16</f>
        <v>51.427706296776257</v>
      </c>
      <c r="M76" s="79">
        <f>A76*Table!$AD$9/$AC$16</f>
        <v>17.632356444609002</v>
      </c>
      <c r="N76" s="79">
        <f>ABS(A76*Table!$AE$9/$AC$16)</f>
        <v>22.268850055686588</v>
      </c>
      <c r="O76" s="79">
        <f>($L76*(Table!$AC$10/Table!$AC$9)/(Table!$AC$12-Table!$AC$14))</f>
        <v>110.31254031912542</v>
      </c>
      <c r="P76" s="79">
        <f>$N76*(Table!$AE$10/Table!$AE$9)/(Table!$AC$12-Table!$AC$13)</f>
        <v>182.83128124537424</v>
      </c>
      <c r="Q76" s="79">
        <f>'Raw Data'!C76</f>
        <v>8.7479791485355229E-2</v>
      </c>
      <c r="R76" s="79">
        <f>'Raw Data'!C76/'Raw Data'!I$30*100</f>
        <v>0.82316794481082511</v>
      </c>
      <c r="S76" s="52">
        <f t="shared" si="7"/>
        <v>0.18829013203776215</v>
      </c>
      <c r="T76" s="52">
        <f t="shared" si="8"/>
        <v>0.15913529445725549</v>
      </c>
      <c r="U76" s="91">
        <f t="shared" si="9"/>
        <v>3.0157381499860323E-3</v>
      </c>
      <c r="V76" s="91">
        <f t="shared" si="10"/>
        <v>2.1808586792711391E-2</v>
      </c>
      <c r="W76" s="91">
        <f t="shared" si="11"/>
        <v>3.7690682689277225E-3</v>
      </c>
      <c r="X76" s="85">
        <f t="shared" si="12"/>
        <v>0.22642668508526187</v>
      </c>
      <c r="AS76" s="62"/>
      <c r="AT76" s="62"/>
    </row>
    <row r="77" spans="1:46" x14ac:dyDescent="0.2">
      <c r="A77" s="79">
        <f>'Raw Data'!A77</f>
        <v>298.9415283203125</v>
      </c>
      <c r="B77" s="45">
        <f>'Raw Data'!E77</f>
        <v>6.0599849691295282E-2</v>
      </c>
      <c r="C77" s="45">
        <f t="shared" si="1"/>
        <v>0.93940015030870472</v>
      </c>
      <c r="D77" s="117">
        <f t="shared" si="2"/>
        <v>5.2284919459250553E-3</v>
      </c>
      <c r="E77" s="108">
        <f>(2*Table!$AC$16*0.147)/A77</f>
        <v>0.36539010741691275</v>
      </c>
      <c r="F77" s="108">
        <f t="shared" si="3"/>
        <v>0.73078021483382549</v>
      </c>
      <c r="G77" s="79">
        <f>IF((('Raw Data'!C77)/('Raw Data'!C$136)*100)&lt;0,0,('Raw Data'!C77)/('Raw Data'!C$136)*100)</f>
        <v>6.7808713577434414</v>
      </c>
      <c r="H77" s="79">
        <f t="shared" si="4"/>
        <v>0.58504652174753158</v>
      </c>
      <c r="I77" s="96">
        <f t="shared" si="5"/>
        <v>3.9491430366273894E-2</v>
      </c>
      <c r="J77" s="108">
        <f>'Raw Data'!F77/I77</f>
        <v>0.13239560829861061</v>
      </c>
      <c r="K77" s="145">
        <f t="shared" si="6"/>
        <v>8.368842399182834E-2</v>
      </c>
      <c r="L77" s="79">
        <f>A77*Table!$AC$9/$AC$16</f>
        <v>56.323363939675765</v>
      </c>
      <c r="M77" s="79">
        <f>A77*Table!$AD$9/$AC$16</f>
        <v>19.310867636460262</v>
      </c>
      <c r="N77" s="79">
        <f>ABS(A77*Table!$AE$9/$AC$16)</f>
        <v>24.388731999177804</v>
      </c>
      <c r="O77" s="79">
        <f>($L77*(Table!$AC$10/Table!$AC$9)/(Table!$AC$12-Table!$AC$14))</f>
        <v>120.81373646434101</v>
      </c>
      <c r="P77" s="79">
        <f>$N77*(Table!$AE$10/Table!$AE$9)/(Table!$AC$12-Table!$AC$13)</f>
        <v>200.23589490293759</v>
      </c>
      <c r="Q77" s="79">
        <f>'Raw Data'!C77</f>
        <v>9.574015214538667E-2</v>
      </c>
      <c r="R77" s="79">
        <f>'Raw Data'!C77/'Raw Data'!I$30*100</f>
        <v>0.90089634347822001</v>
      </c>
      <c r="S77" s="52">
        <f t="shared" si="7"/>
        <v>0.21088480746638177</v>
      </c>
      <c r="T77" s="52">
        <f t="shared" si="8"/>
        <v>0.14606554110087733</v>
      </c>
      <c r="U77" s="91">
        <f t="shared" si="9"/>
        <v>3.0136205850694645E-3</v>
      </c>
      <c r="V77" s="91">
        <f t="shared" si="10"/>
        <v>2.1782698175486538E-2</v>
      </c>
      <c r="W77" s="91">
        <f t="shared" si="11"/>
        <v>3.5194020011299234E-3</v>
      </c>
      <c r="X77" s="85">
        <f t="shared" si="12"/>
        <v>0.2299460870863918</v>
      </c>
      <c r="AS77" s="62"/>
      <c r="AT77" s="62"/>
    </row>
    <row r="78" spans="1:46" x14ac:dyDescent="0.2">
      <c r="A78" s="79">
        <f>'Raw Data'!A78</f>
        <v>327.3248291015625</v>
      </c>
      <c r="B78" s="45">
        <f>'Raw Data'!E78</f>
        <v>6.6411714071896458E-2</v>
      </c>
      <c r="C78" s="45">
        <f t="shared" si="1"/>
        <v>0.9335882859281035</v>
      </c>
      <c r="D78" s="117">
        <f t="shared" si="2"/>
        <v>5.8118643806011755E-3</v>
      </c>
      <c r="E78" s="108">
        <f>(2*Table!$AC$16*0.147)/A78</f>
        <v>0.33370605414856269</v>
      </c>
      <c r="F78" s="108">
        <f t="shared" si="3"/>
        <v>0.66741210829712538</v>
      </c>
      <c r="G78" s="79">
        <f>IF((('Raw Data'!C78)/('Raw Data'!C$136)*100)&lt;0,0,('Raw Data'!C78)/('Raw Data'!C$136)*100)</f>
        <v>7.431194830726719</v>
      </c>
      <c r="H78" s="79">
        <f t="shared" si="4"/>
        <v>0.65032347298327764</v>
      </c>
      <c r="I78" s="96">
        <f t="shared" si="5"/>
        <v>3.9392699307270462E-2</v>
      </c>
      <c r="J78" s="108">
        <f>'Raw Data'!F78/I78</f>
        <v>0.14753658629147345</v>
      </c>
      <c r="K78" s="145">
        <f t="shared" si="6"/>
        <v>9.1634304657574037E-2</v>
      </c>
      <c r="L78" s="79">
        <f>A78*Table!$AC$9/$AC$16</f>
        <v>61.671041757120719</v>
      </c>
      <c r="M78" s="79">
        <f>A78*Table!$AD$9/$AC$16</f>
        <v>21.14435717386996</v>
      </c>
      <c r="N78" s="79">
        <f>ABS(A78*Table!$AE$9/$AC$16)</f>
        <v>26.704344419758726</v>
      </c>
      <c r="O78" s="79">
        <f>($L78*(Table!$AC$10/Table!$AC$9)/(Table!$AC$12-Table!$AC$14))</f>
        <v>132.28451685354079</v>
      </c>
      <c r="P78" s="79">
        <f>$N78*(Table!$AE$10/Table!$AE$9)/(Table!$AC$12-Table!$AC$13)</f>
        <v>219.24749113102396</v>
      </c>
      <c r="Q78" s="79">
        <f>'Raw Data'!C78</f>
        <v>0.10492216799000742</v>
      </c>
      <c r="R78" s="79">
        <f>'Raw Data'!C78/'Raw Data'!I$30*100</f>
        <v>0.98729733945341291</v>
      </c>
      <c r="S78" s="52">
        <f t="shared" si="7"/>
        <v>0.23441441884194292</v>
      </c>
      <c r="T78" s="52">
        <f t="shared" si="8"/>
        <v>0.13394781807898481</v>
      </c>
      <c r="U78" s="91">
        <f t="shared" si="9"/>
        <v>3.0162616815941996E-3</v>
      </c>
      <c r="V78" s="91">
        <f t="shared" si="10"/>
        <v>2.181498924655256E-2</v>
      </c>
      <c r="W78" s="91">
        <f t="shared" si="11"/>
        <v>3.2630408156535677E-3</v>
      </c>
      <c r="X78" s="85">
        <f t="shared" si="12"/>
        <v>0.23320912790204537</v>
      </c>
      <c r="AS78" s="62"/>
      <c r="AT78" s="62"/>
    </row>
    <row r="79" spans="1:46" x14ac:dyDescent="0.2">
      <c r="A79" s="79">
        <f>'Raw Data'!A79</f>
        <v>357.56301879882813</v>
      </c>
      <c r="B79" s="45">
        <f>'Raw Data'!E79</f>
        <v>7.3201924356696493E-2</v>
      </c>
      <c r="C79" s="45">
        <f t="shared" si="1"/>
        <v>0.92679807564330352</v>
      </c>
      <c r="D79" s="117">
        <f t="shared" si="2"/>
        <v>6.7902102848000356E-3</v>
      </c>
      <c r="E79" s="108">
        <f>(2*Table!$AC$16*0.147)/A79</f>
        <v>0.3054853869152227</v>
      </c>
      <c r="F79" s="108">
        <f t="shared" si="3"/>
        <v>0.6109707738304454</v>
      </c>
      <c r="G79" s="79">
        <f>IF((('Raw Data'!C79)/('Raw Data'!C$136)*100)&lt;0,0,('Raw Data'!C79)/('Raw Data'!C$136)*100)</f>
        <v>8.1909911448728465</v>
      </c>
      <c r="H79" s="79">
        <f t="shared" si="4"/>
        <v>0.75979631414612747</v>
      </c>
      <c r="I79" s="96">
        <f t="shared" si="5"/>
        <v>3.8373645439210957E-2</v>
      </c>
      <c r="J79" s="108">
        <f>'Raw Data'!F79/I79</f>
        <v>0.17694983645889589</v>
      </c>
      <c r="K79" s="145">
        <f t="shared" si="6"/>
        <v>0.10009945988157024</v>
      </c>
      <c r="L79" s="79">
        <f>A79*Table!$AC$9/$AC$16</f>
        <v>67.368197895866274</v>
      </c>
      <c r="M79" s="79">
        <f>A79*Table!$AD$9/$AC$16</f>
        <v>23.097667850011295</v>
      </c>
      <c r="N79" s="79">
        <f>ABS(A79*Table!$AE$9/$AC$16)</f>
        <v>29.171285392498781</v>
      </c>
      <c r="O79" s="79">
        <f>($L79*(Table!$AC$10/Table!$AC$9)/(Table!$AC$12-Table!$AC$14))</f>
        <v>144.50492899156217</v>
      </c>
      <c r="P79" s="79">
        <f>$N79*(Table!$AE$10/Table!$AE$9)/(Table!$AC$12-Table!$AC$13)</f>
        <v>239.50152210590127</v>
      </c>
      <c r="Q79" s="79">
        <f>'Raw Data'!C79</f>
        <v>0.11564984749874566</v>
      </c>
      <c r="R79" s="79">
        <f>'Raw Data'!C79/'Raw Data'!I$30*100</f>
        <v>1.0882427320276005</v>
      </c>
      <c r="S79" s="52">
        <f t="shared" si="7"/>
        <v>0.2738748004923916</v>
      </c>
      <c r="T79" s="52">
        <f t="shared" si="8"/>
        <v>0.12208353546823381</v>
      </c>
      <c r="U79" s="91">
        <f t="shared" si="9"/>
        <v>3.0434991171160988E-3</v>
      </c>
      <c r="V79" s="91">
        <f t="shared" si="10"/>
        <v>2.2149143825577845E-2</v>
      </c>
      <c r="W79" s="91">
        <f t="shared" si="11"/>
        <v>3.1947947925024547E-3</v>
      </c>
      <c r="X79" s="85">
        <f t="shared" si="12"/>
        <v>0.23640392269454782</v>
      </c>
      <c r="AS79" s="62"/>
      <c r="AT79" s="62"/>
    </row>
    <row r="80" spans="1:46" x14ac:dyDescent="0.2">
      <c r="A80" s="79">
        <f>'Raw Data'!A80</f>
        <v>391.5322265625</v>
      </c>
      <c r="B80" s="45">
        <f>'Raw Data'!E80</f>
        <v>8.1498557564975399E-2</v>
      </c>
      <c r="C80" s="45">
        <f t="shared" si="1"/>
        <v>0.91850144243502463</v>
      </c>
      <c r="D80" s="117">
        <f t="shared" si="2"/>
        <v>8.2966332082789057E-3</v>
      </c>
      <c r="E80" s="108">
        <f>(2*Table!$AC$16*0.147)/A80</f>
        <v>0.27898157478206637</v>
      </c>
      <c r="F80" s="108">
        <f t="shared" si="3"/>
        <v>0.55796314956413273</v>
      </c>
      <c r="G80" s="79">
        <f>IF((('Raw Data'!C80)/('Raw Data'!C$136)*100)&lt;0,0,('Raw Data'!C80)/('Raw Data'!C$136)*100)</f>
        <v>9.1193499242148786</v>
      </c>
      <c r="H80" s="79">
        <f t="shared" si="4"/>
        <v>0.92835877934203204</v>
      </c>
      <c r="I80" s="96">
        <f t="shared" si="5"/>
        <v>3.9414918898203144E-2</v>
      </c>
      <c r="J80" s="108">
        <f>'Raw Data'!F80/I80</f>
        <v>0.21049474260511886</v>
      </c>
      <c r="K80" s="145">
        <f t="shared" si="6"/>
        <v>0.10960911040743031</v>
      </c>
      <c r="L80" s="79">
        <f>A80*Table!$AC$9/$AC$16</f>
        <v>73.768312534892644</v>
      </c>
      <c r="M80" s="79">
        <f>A80*Table!$AD$9/$AC$16</f>
        <v>25.29199286910605</v>
      </c>
      <c r="N80" s="79">
        <f>ABS(A80*Table!$AE$9/$AC$16)</f>
        <v>31.942616324763538</v>
      </c>
      <c r="O80" s="79">
        <f>($L80*(Table!$AC$10/Table!$AC$9)/(Table!$AC$12-Table!$AC$14))</f>
        <v>158.23318862053335</v>
      </c>
      <c r="P80" s="79">
        <f>$N80*(Table!$AE$10/Table!$AE$9)/(Table!$AC$12-Table!$AC$13)</f>
        <v>262.25464962860042</v>
      </c>
      <c r="Q80" s="79">
        <f>'Raw Data'!C80</f>
        <v>0.12875748604407999</v>
      </c>
      <c r="R80" s="79">
        <f>'Raw Data'!C80/'Raw Data'!I$30*100</f>
        <v>1.2115830795465166</v>
      </c>
      <c r="S80" s="52">
        <f t="shared" si="7"/>
        <v>0.33463452078389516</v>
      </c>
      <c r="T80" s="52">
        <f t="shared" si="8"/>
        <v>0.10999342381076149</v>
      </c>
      <c r="U80" s="91">
        <f t="shared" si="9"/>
        <v>3.0944657868491252E-3</v>
      </c>
      <c r="V80" s="91">
        <f t="shared" si="10"/>
        <v>2.2779977442214279E-2</v>
      </c>
      <c r="W80" s="91">
        <f t="shared" si="11"/>
        <v>3.2556056721933201E-3</v>
      </c>
      <c r="X80" s="85">
        <f t="shared" si="12"/>
        <v>0.23965952836674115</v>
      </c>
      <c r="AS80" s="62"/>
      <c r="AT80" s="62"/>
    </row>
    <row r="81" spans="1:46" x14ac:dyDescent="0.2">
      <c r="A81" s="79">
        <f>'Raw Data'!A81</f>
        <v>428.71188354492187</v>
      </c>
      <c r="B81" s="45">
        <f>'Raw Data'!E81</f>
        <v>9.0962595648220512E-2</v>
      </c>
      <c r="C81" s="45">
        <f t="shared" si="1"/>
        <v>0.90903740435177949</v>
      </c>
      <c r="D81" s="117">
        <f t="shared" si="2"/>
        <v>9.4640380832451132E-3</v>
      </c>
      <c r="E81" s="108">
        <f>(2*Table!$AC$16*0.147)/A81</f>
        <v>0.25478714571925209</v>
      </c>
      <c r="F81" s="108">
        <f t="shared" si="3"/>
        <v>0.50957429143850419</v>
      </c>
      <c r="G81" s="79">
        <f>IF((('Raw Data'!C81)/('Raw Data'!C$136)*100)&lt;0,0,('Raw Data'!C81)/('Raw Data'!C$136)*100)</f>
        <v>10.178336457913955</v>
      </c>
      <c r="H81" s="79">
        <f t="shared" si="4"/>
        <v>1.0589865336990769</v>
      </c>
      <c r="I81" s="96">
        <f t="shared" si="5"/>
        <v>3.9398007828296278E-2</v>
      </c>
      <c r="J81" s="108">
        <f>'Raw Data'!F81/I81</f>
        <v>0.24021615825071974</v>
      </c>
      <c r="K81" s="145">
        <f t="shared" si="6"/>
        <v>0.12001752343354465</v>
      </c>
      <c r="L81" s="79">
        <f>A81*Table!$AC$9/$AC$16</f>
        <v>80.773305662275973</v>
      </c>
      <c r="M81" s="79">
        <f>A81*Table!$AD$9/$AC$16</f>
        <v>27.693704798494618</v>
      </c>
      <c r="N81" s="79">
        <f>ABS(A81*Table!$AE$9/$AC$16)</f>
        <v>34.975867325588219</v>
      </c>
      <c r="O81" s="79">
        <f>($L81*(Table!$AC$10/Table!$AC$9)/(Table!$AC$12-Table!$AC$14))</f>
        <v>173.25891390449587</v>
      </c>
      <c r="P81" s="79">
        <f>$N81*(Table!$AE$10/Table!$AE$9)/(Table!$AC$12-Table!$AC$13)</f>
        <v>287.15818822322012</v>
      </c>
      <c r="Q81" s="79">
        <f>'Raw Data'!C81</f>
        <v>0.14370947768457698</v>
      </c>
      <c r="R81" s="79">
        <f>'Raw Data'!C81/'Raw Data'!I$30*100</f>
        <v>1.3522784335311793</v>
      </c>
      <c r="S81" s="52">
        <f t="shared" si="7"/>
        <v>0.38172036405165355</v>
      </c>
      <c r="T81" s="52">
        <f t="shared" si="8"/>
        <v>9.8490483006406726E-2</v>
      </c>
      <c r="U81" s="91">
        <f t="shared" si="9"/>
        <v>3.1542825973226913E-3</v>
      </c>
      <c r="V81" s="91">
        <f t="shared" si="10"/>
        <v>2.3529560222093463E-2</v>
      </c>
      <c r="W81" s="91">
        <f t="shared" si="11"/>
        <v>3.0974932565172942E-3</v>
      </c>
      <c r="X81" s="85">
        <f t="shared" si="12"/>
        <v>0.24275702162325843</v>
      </c>
      <c r="AS81" s="62"/>
      <c r="AT81" s="62"/>
    </row>
    <row r="82" spans="1:46" x14ac:dyDescent="0.2">
      <c r="A82" s="79">
        <f>'Raw Data'!A82</f>
        <v>468.73846435546875</v>
      </c>
      <c r="B82" s="45">
        <f>'Raw Data'!E82</f>
        <v>0.1014614862701544</v>
      </c>
      <c r="C82" s="45">
        <f t="shared" si="1"/>
        <v>0.89853851372984561</v>
      </c>
      <c r="D82" s="117">
        <f t="shared" si="2"/>
        <v>1.049889062193389E-2</v>
      </c>
      <c r="E82" s="108">
        <f>(2*Table!$AC$16*0.147)/A82</f>
        <v>0.23303032597192633</v>
      </c>
      <c r="F82" s="108">
        <f t="shared" si="3"/>
        <v>0.46606065194385266</v>
      </c>
      <c r="G82" s="79">
        <f>IF((('Raw Data'!C82)/('Raw Data'!C$136)*100)&lt;0,0,('Raw Data'!C82)/('Raw Data'!C$136)*100)</f>
        <v>11.353118690361951</v>
      </c>
      <c r="H82" s="79">
        <f t="shared" si="4"/>
        <v>1.1747822324479955</v>
      </c>
      <c r="I82" s="96">
        <f t="shared" si="5"/>
        <v>3.8765070921006561E-2</v>
      </c>
      <c r="J82" s="108">
        <f>'Raw Data'!F82/I82</f>
        <v>0.27083377825692573</v>
      </c>
      <c r="K82" s="145">
        <f t="shared" si="6"/>
        <v>0.13122293033916196</v>
      </c>
      <c r="L82" s="79">
        <f>A82*Table!$AC$9/$AC$16</f>
        <v>88.314685713821291</v>
      </c>
      <c r="M82" s="79">
        <f>A82*Table!$AD$9/$AC$16</f>
        <v>30.279320816167296</v>
      </c>
      <c r="N82" s="79">
        <f>ABS(A82*Table!$AE$9/$AC$16)</f>
        <v>38.241380677703944</v>
      </c>
      <c r="O82" s="79">
        <f>($L82*(Table!$AC$10/Table!$AC$9)/(Table!$AC$12-Table!$AC$14))</f>
        <v>189.43519029133697</v>
      </c>
      <c r="P82" s="79">
        <f>$N82*(Table!$AE$10/Table!$AE$9)/(Table!$AC$12-Table!$AC$13)</f>
        <v>313.96864267408813</v>
      </c>
      <c r="Q82" s="79">
        <f>'Raw Data'!C82</f>
        <v>0.16029640637536066</v>
      </c>
      <c r="R82" s="79">
        <f>'Raw Data'!C82/'Raw Data'!I$30*100</f>
        <v>1.5083582294392646</v>
      </c>
      <c r="S82" s="52">
        <f t="shared" si="7"/>
        <v>0.4234598714726347</v>
      </c>
      <c r="T82" s="52">
        <f t="shared" si="8"/>
        <v>8.7816028883489605E-2</v>
      </c>
      <c r="U82" s="91">
        <f t="shared" si="9"/>
        <v>3.2179100802263117E-3</v>
      </c>
      <c r="V82" s="91">
        <f t="shared" si="10"/>
        <v>2.433774675172716E-2</v>
      </c>
      <c r="W82" s="91">
        <f t="shared" si="11"/>
        <v>2.8743997057015108E-3</v>
      </c>
      <c r="X82" s="85">
        <f t="shared" si="12"/>
        <v>0.24563142132895993</v>
      </c>
      <c r="AS82" s="62"/>
      <c r="AT82" s="62"/>
    </row>
    <row r="83" spans="1:46" x14ac:dyDescent="0.2">
      <c r="A83" s="79">
        <f>'Raw Data'!A83</f>
        <v>512.8153076171875</v>
      </c>
      <c r="B83" s="45">
        <f>'Raw Data'!E83</f>
        <v>0.11312405382325684</v>
      </c>
      <c r="C83" s="45">
        <f t="shared" si="1"/>
        <v>0.88687594617674315</v>
      </c>
      <c r="D83" s="117">
        <f t="shared" si="2"/>
        <v>1.1662567553102438E-2</v>
      </c>
      <c r="E83" s="108">
        <f>(2*Table!$AC$16*0.147)/A83</f>
        <v>0.21300120242485931</v>
      </c>
      <c r="F83" s="108">
        <f t="shared" si="3"/>
        <v>0.42600240484971863</v>
      </c>
      <c r="G83" s="79">
        <f>IF((('Raw Data'!C83)/('Raw Data'!C$136)*100)&lt;0,0,('Raw Data'!C83)/('Raw Data'!C$136)*100)</f>
        <v>12.658111535747505</v>
      </c>
      <c r="H83" s="79">
        <f t="shared" si="4"/>
        <v>1.3049928453855539</v>
      </c>
      <c r="I83" s="96">
        <f t="shared" si="5"/>
        <v>3.90303875740029E-2</v>
      </c>
      <c r="J83" s="108">
        <f>'Raw Data'!F83/I83</f>
        <v>0.29880737235800758</v>
      </c>
      <c r="K83" s="145">
        <f t="shared" si="6"/>
        <v>0.14356220473785192</v>
      </c>
      <c r="L83" s="79">
        <f>A83*Table!$AC$9/$AC$16</f>
        <v>96.619172876547637</v>
      </c>
      <c r="M83" s="79">
        <f>A83*Table!$AD$9/$AC$16</f>
        <v>33.126573557673474</v>
      </c>
      <c r="N83" s="79">
        <f>ABS(A83*Table!$AE$9/$AC$16)</f>
        <v>41.837329101865329</v>
      </c>
      <c r="O83" s="79">
        <f>($L83*(Table!$AC$10/Table!$AC$9)/(Table!$AC$12-Table!$AC$14))</f>
        <v>207.24833306852778</v>
      </c>
      <c r="P83" s="79">
        <f>$N83*(Table!$AE$10/Table!$AE$9)/(Table!$AC$12-Table!$AC$13)</f>
        <v>343.49202875094682</v>
      </c>
      <c r="Q83" s="79">
        <f>'Raw Data'!C83</f>
        <v>0.17872179847827646</v>
      </c>
      <c r="R83" s="79">
        <f>'Raw Data'!C83/'Raw Data'!I$30*100</f>
        <v>1.6817376110331257</v>
      </c>
      <c r="S83" s="52">
        <f t="shared" si="7"/>
        <v>0.47039535270136812</v>
      </c>
      <c r="T83" s="52">
        <f t="shared" si="8"/>
        <v>7.7909177204533719E-2</v>
      </c>
      <c r="U83" s="91">
        <f t="shared" si="9"/>
        <v>3.2794216281245045E-3</v>
      </c>
      <c r="V83" s="91">
        <f t="shared" si="10"/>
        <v>2.5129627817954039E-2</v>
      </c>
      <c r="W83" s="91">
        <f t="shared" si="11"/>
        <v>2.6677009636758135E-3</v>
      </c>
      <c r="X83" s="85">
        <f t="shared" si="12"/>
        <v>0.24829912229263573</v>
      </c>
      <c r="AS83" s="62"/>
      <c r="AT83" s="62"/>
    </row>
    <row r="84" spans="1:46" x14ac:dyDescent="0.2">
      <c r="A84" s="79">
        <f>'Raw Data'!A84</f>
        <v>561.565185546875</v>
      </c>
      <c r="B84" s="45">
        <f>'Raw Data'!E84</f>
        <v>0.12623440533951841</v>
      </c>
      <c r="C84" s="45">
        <f t="shared" si="1"/>
        <v>0.87376559466048165</v>
      </c>
      <c r="D84" s="117">
        <f t="shared" si="2"/>
        <v>1.3110351516261567E-2</v>
      </c>
      <c r="E84" s="108">
        <f>(2*Table!$AC$16*0.147)/A84</f>
        <v>0.1945104147401199</v>
      </c>
      <c r="F84" s="108">
        <f t="shared" si="3"/>
        <v>0.3890208294802398</v>
      </c>
      <c r="G84" s="79">
        <f>IF((('Raw Data'!C84)/('Raw Data'!C$136)*100)&lt;0,0,('Raw Data'!C84)/('Raw Data'!C$136)*100)</f>
        <v>14.125105390343421</v>
      </c>
      <c r="H84" s="79">
        <f t="shared" si="4"/>
        <v>1.4669938545959162</v>
      </c>
      <c r="I84" s="96">
        <f t="shared" si="5"/>
        <v>3.9439195237684799E-2</v>
      </c>
      <c r="J84" s="108">
        <f>'Raw Data'!F84/I84</f>
        <v>0.33241934672476309</v>
      </c>
      <c r="K84" s="145">
        <f t="shared" si="6"/>
        <v>0.15720969117659825</v>
      </c>
      <c r="L84" s="79">
        <f>A84*Table!$AC$9/$AC$16</f>
        <v>105.80410322756433</v>
      </c>
      <c r="M84" s="79">
        <f>A84*Table!$AD$9/$AC$16</f>
        <v>36.275692535164914</v>
      </c>
      <c r="N84" s="79">
        <f>ABS(A84*Table!$AE$9/$AC$16)</f>
        <v>45.814520609850916</v>
      </c>
      <c r="O84" s="79">
        <f>($L84*(Table!$AC$10/Table!$AC$9)/(Table!$AC$12-Table!$AC$14))</f>
        <v>226.95002837315388</v>
      </c>
      <c r="P84" s="79">
        <f>$N84*(Table!$AE$10/Table!$AE$9)/(Table!$AC$12-Table!$AC$13)</f>
        <v>376.14548940764291</v>
      </c>
      <c r="Q84" s="79">
        <f>'Raw Data'!C84</f>
        <v>0.1994345074245939</v>
      </c>
      <c r="R84" s="79">
        <f>'Raw Data'!C84/'Raw Data'!I$30*100</f>
        <v>1.8766402024237239</v>
      </c>
      <c r="S84" s="52">
        <f t="shared" si="7"/>
        <v>0.52878994247628075</v>
      </c>
      <c r="T84" s="52">
        <f t="shared" si="8"/>
        <v>6.8622134675190072E-2</v>
      </c>
      <c r="U84" s="91">
        <f t="shared" si="9"/>
        <v>3.3418029655741129E-3</v>
      </c>
      <c r="V84" s="91">
        <f t="shared" si="10"/>
        <v>2.5943256902833316E-2</v>
      </c>
      <c r="W84" s="91">
        <f t="shared" si="11"/>
        <v>2.5007997604178656E-3</v>
      </c>
      <c r="X84" s="85">
        <f t="shared" si="12"/>
        <v>0.25079992205305357</v>
      </c>
      <c r="AS84" s="62"/>
      <c r="AT84" s="62"/>
    </row>
    <row r="85" spans="1:46" x14ac:dyDescent="0.2">
      <c r="A85" s="79">
        <f>'Raw Data'!A85</f>
        <v>613.69580078125</v>
      </c>
      <c r="B85" s="45">
        <f>'Raw Data'!E85</f>
        <v>0.14031789524315638</v>
      </c>
      <c r="C85" s="45">
        <f t="shared" si="1"/>
        <v>0.85968210475684359</v>
      </c>
      <c r="D85" s="117">
        <f t="shared" si="2"/>
        <v>1.4083489903637975E-2</v>
      </c>
      <c r="E85" s="108">
        <f>(2*Table!$AC$16*0.147)/A85</f>
        <v>0.17798765610793196</v>
      </c>
      <c r="F85" s="108">
        <f t="shared" si="3"/>
        <v>0.35597531221586393</v>
      </c>
      <c r="G85" s="79">
        <f>IF((('Raw Data'!C85)/('Raw Data'!C$136)*100)&lt;0,0,('Raw Data'!C85)/('Raw Data'!C$136)*100)</f>
        <v>15.700989386609587</v>
      </c>
      <c r="H85" s="79">
        <f t="shared" si="4"/>
        <v>1.5758839962661657</v>
      </c>
      <c r="I85" s="96">
        <f t="shared" si="5"/>
        <v>3.8552975930216671E-2</v>
      </c>
      <c r="J85" s="108">
        <f>'Raw Data'!F85/I85</f>
        <v>0.36530227729060355</v>
      </c>
      <c r="K85" s="145">
        <f t="shared" si="6"/>
        <v>0.17180361211893927</v>
      </c>
      <c r="L85" s="79">
        <f>A85*Table!$AC$9/$AC$16</f>
        <v>115.62599592592116</v>
      </c>
      <c r="M85" s="79">
        <f>A85*Table!$AD$9/$AC$16</f>
        <v>39.643198603172969</v>
      </c>
      <c r="N85" s="79">
        <f>ABS(A85*Table!$AE$9/$AC$16)</f>
        <v>50.067524904861877</v>
      </c>
      <c r="O85" s="79">
        <f>($L85*(Table!$AC$10/Table!$AC$9)/(Table!$AC$12-Table!$AC$14))</f>
        <v>248.01800927911023</v>
      </c>
      <c r="P85" s="79">
        <f>$N85*(Table!$AE$10/Table!$AE$9)/(Table!$AC$12-Table!$AC$13)</f>
        <v>411.06342286421898</v>
      </c>
      <c r="Q85" s="79">
        <f>'Raw Data'!C85</f>
        <v>0.22168465281242969</v>
      </c>
      <c r="R85" s="79">
        <f>'Raw Data'!C85/'Raw Data'!I$30*100</f>
        <v>2.0860097738374028</v>
      </c>
      <c r="S85" s="52">
        <f t="shared" si="7"/>
        <v>0.56804028532513262</v>
      </c>
      <c r="T85" s="52">
        <f t="shared" si="8"/>
        <v>6.0268654753451112E-2</v>
      </c>
      <c r="U85" s="91">
        <f t="shared" si="9"/>
        <v>3.3990940970784886E-3</v>
      </c>
      <c r="V85" s="91">
        <f t="shared" si="10"/>
        <v>2.6699802288933077E-2</v>
      </c>
      <c r="W85" s="91">
        <f t="shared" si="11"/>
        <v>2.2494115345045741E-3</v>
      </c>
      <c r="X85" s="85">
        <f t="shared" si="12"/>
        <v>0.25304933358755816</v>
      </c>
      <c r="AS85" s="62"/>
      <c r="AT85" s="62"/>
    </row>
    <row r="86" spans="1:46" x14ac:dyDescent="0.2">
      <c r="A86" s="79">
        <f>'Raw Data'!A86</f>
        <v>671.80218505859375</v>
      </c>
      <c r="B86" s="45">
        <f>'Raw Data'!E86</f>
        <v>0.15616449948445202</v>
      </c>
      <c r="C86" s="45">
        <f t="shared" si="1"/>
        <v>0.84383550051554801</v>
      </c>
      <c r="D86" s="117">
        <f t="shared" si="2"/>
        <v>1.5846604241295636E-2</v>
      </c>
      <c r="E86" s="108">
        <f>(2*Table!$AC$16*0.147)/A86</f>
        <v>0.16259291734040449</v>
      </c>
      <c r="F86" s="108">
        <f t="shared" si="3"/>
        <v>0.32518583468080897</v>
      </c>
      <c r="G86" s="79">
        <f>IF((('Raw Data'!C86)/('Raw Data'!C$136)*100)&lt;0,0,('Raw Data'!C86)/('Raw Data'!C$136)*100)</f>
        <v>17.474158550636943</v>
      </c>
      <c r="H86" s="79">
        <f t="shared" si="4"/>
        <v>1.7731691640273564</v>
      </c>
      <c r="I86" s="96">
        <f t="shared" si="5"/>
        <v>3.92882604345558E-2</v>
      </c>
      <c r="J86" s="108">
        <f>'Raw Data'!F86/I86</f>
        <v>0.40334196693925983</v>
      </c>
      <c r="K86" s="145">
        <f t="shared" si="6"/>
        <v>0.18807044447026111</v>
      </c>
      <c r="L86" s="79">
        <f>A86*Table!$AC$9/$AC$16</f>
        <v>126.57377908358528</v>
      </c>
      <c r="M86" s="79">
        <f>A86*Table!$AD$9/$AC$16</f>
        <v>43.396724257229238</v>
      </c>
      <c r="N86" s="79">
        <f>ABS(A86*Table!$AE$9/$AC$16)</f>
        <v>54.808054069692133</v>
      </c>
      <c r="O86" s="79">
        <f>($L86*(Table!$AC$10/Table!$AC$9)/(Table!$AC$12-Table!$AC$14))</f>
        <v>271.50102763531805</v>
      </c>
      <c r="P86" s="79">
        <f>$N86*(Table!$AE$10/Table!$AE$9)/(Table!$AC$12-Table!$AC$13)</f>
        <v>449.98402356069067</v>
      </c>
      <c r="Q86" s="79">
        <f>'Raw Data'!C86</f>
        <v>0.24672029743494933</v>
      </c>
      <c r="R86" s="79">
        <f>'Raw Data'!C86/'Raw Data'!I$30*100</f>
        <v>2.3215903551466726</v>
      </c>
      <c r="S86" s="52">
        <f t="shared" si="7"/>
        <v>0.63915333885635872</v>
      </c>
      <c r="T86" s="52">
        <f t="shared" si="8"/>
        <v>5.2425029478903595E-2</v>
      </c>
      <c r="U86" s="91">
        <f t="shared" si="9"/>
        <v>3.4557648170557621E-3</v>
      </c>
      <c r="V86" s="91">
        <f t="shared" si="10"/>
        <v>2.7456874713647213E-2</v>
      </c>
      <c r="W86" s="91">
        <f t="shared" si="11"/>
        <v>2.1121187014508272E-3</v>
      </c>
      <c r="X86" s="85">
        <f t="shared" si="12"/>
        <v>0.25516145228900899</v>
      </c>
      <c r="AS86" s="62"/>
      <c r="AT86" s="62"/>
    </row>
    <row r="87" spans="1:46" x14ac:dyDescent="0.2">
      <c r="A87" s="79">
        <f>'Raw Data'!A87</f>
        <v>734.7557373046875</v>
      </c>
      <c r="B87" s="45">
        <f>'Raw Data'!E87</f>
        <v>0.17368010561453595</v>
      </c>
      <c r="C87" s="45">
        <f t="shared" si="1"/>
        <v>0.82631989438546405</v>
      </c>
      <c r="D87" s="117">
        <f t="shared" si="2"/>
        <v>1.7515606130083933E-2</v>
      </c>
      <c r="E87" s="108">
        <f>(2*Table!$AC$16*0.147)/A87</f>
        <v>0.14866202684585447</v>
      </c>
      <c r="F87" s="108">
        <f t="shared" si="3"/>
        <v>0.29732405369170894</v>
      </c>
      <c r="G87" s="79">
        <f>IF((('Raw Data'!C87)/('Raw Data'!C$136)*100)&lt;0,0,('Raw Data'!C87)/('Raw Data'!C$136)*100)</f>
        <v>19.434082090481336</v>
      </c>
      <c r="H87" s="79">
        <f t="shared" si="4"/>
        <v>1.959923539844393</v>
      </c>
      <c r="I87" s="96">
        <f t="shared" si="5"/>
        <v>3.8901573860417815E-2</v>
      </c>
      <c r="J87" s="108">
        <f>'Raw Data'!F87/I87</f>
        <v>0.45025443425326261</v>
      </c>
      <c r="K87" s="145">
        <f t="shared" si="6"/>
        <v>0.20569423732957132</v>
      </c>
      <c r="L87" s="79">
        <f>A87*Table!$AC$9/$AC$16</f>
        <v>138.43481376275804</v>
      </c>
      <c r="M87" s="79">
        <f>A87*Table!$AD$9/$AC$16</f>
        <v>47.463364718659896</v>
      </c>
      <c r="N87" s="79">
        <f>ABS(A87*Table!$AE$9/$AC$16)</f>
        <v>59.944032743358044</v>
      </c>
      <c r="O87" s="79">
        <f>($L87*(Table!$AC$10/Table!$AC$9)/(Table!$AC$12-Table!$AC$14))</f>
        <v>296.94297246408848</v>
      </c>
      <c r="P87" s="79">
        <f>$N87*(Table!$AE$10/Table!$AE$9)/(Table!$AC$12-Table!$AC$13)</f>
        <v>492.15133615236482</v>
      </c>
      <c r="Q87" s="79">
        <f>'Raw Data'!C87</f>
        <v>0.27439275544194969</v>
      </c>
      <c r="R87" s="79">
        <f>'Raw Data'!C87/'Raw Data'!I$30*100</f>
        <v>2.5819828412135801</v>
      </c>
      <c r="S87" s="52">
        <f t="shared" si="7"/>
        <v>0.70647048223504583</v>
      </c>
      <c r="T87" s="52">
        <f t="shared" si="8"/>
        <v>4.5177288760184786E-2</v>
      </c>
      <c r="U87" s="91">
        <f t="shared" si="9"/>
        <v>3.5140696562439865E-3</v>
      </c>
      <c r="V87" s="91">
        <f t="shared" si="10"/>
        <v>2.8244781823289357E-2</v>
      </c>
      <c r="W87" s="91">
        <f t="shared" si="11"/>
        <v>1.9516598740313158E-3</v>
      </c>
      <c r="X87" s="85">
        <f t="shared" si="12"/>
        <v>0.25711311216304034</v>
      </c>
      <c r="AS87" s="62"/>
      <c r="AT87" s="62"/>
    </row>
    <row r="88" spans="1:46" x14ac:dyDescent="0.2">
      <c r="A88" s="79">
        <f>'Raw Data'!A88</f>
        <v>804.91033935546875</v>
      </c>
      <c r="B88" s="45">
        <f>'Raw Data'!E88</f>
        <v>0.1932377110918278</v>
      </c>
      <c r="C88" s="45">
        <f t="shared" si="1"/>
        <v>0.80676228890817225</v>
      </c>
      <c r="D88" s="117">
        <f t="shared" si="2"/>
        <v>1.9557605477291851E-2</v>
      </c>
      <c r="E88" s="108">
        <f>(2*Table!$AC$16*0.147)/A88</f>
        <v>0.1357049000411662</v>
      </c>
      <c r="F88" s="108">
        <f t="shared" si="3"/>
        <v>0.2714098000823324</v>
      </c>
      <c r="G88" s="79">
        <f>IF((('Raw Data'!C88)/('Raw Data'!C$136)*100)&lt;0,0,('Raw Data'!C88)/('Raw Data'!C$136)*100)</f>
        <v>21.622496871748755</v>
      </c>
      <c r="H88" s="79">
        <f t="shared" si="4"/>
        <v>2.1884147812674186</v>
      </c>
      <c r="I88" s="96">
        <f t="shared" si="5"/>
        <v>3.9604520166916291E-2</v>
      </c>
      <c r="J88" s="108">
        <f>'Raw Data'!F88/I88</f>
        <v>0.493822558507585</v>
      </c>
      <c r="K88" s="145">
        <f t="shared" si="6"/>
        <v>0.22533395789429972</v>
      </c>
      <c r="L88" s="79">
        <f>A88*Table!$AC$9/$AC$16</f>
        <v>151.65259319123362</v>
      </c>
      <c r="M88" s="79">
        <f>A88*Table!$AD$9/$AC$16</f>
        <v>51.995174808422952</v>
      </c>
      <c r="N88" s="79">
        <f>ABS(A88*Table!$AE$9/$AC$16)</f>
        <v>65.667499126697649</v>
      </c>
      <c r="O88" s="79">
        <f>($L88*(Table!$AC$10/Table!$AC$9)/(Table!$AC$12-Table!$AC$14))</f>
        <v>325.29513769033383</v>
      </c>
      <c r="P88" s="79">
        <f>$N88*(Table!$AE$10/Table!$AE$9)/(Table!$AC$12-Table!$AC$13)</f>
        <v>539.14202895482458</v>
      </c>
      <c r="Q88" s="79">
        <f>'Raw Data'!C88</f>
        <v>0.30529131597524972</v>
      </c>
      <c r="R88" s="79">
        <f>'Raw Data'!C88/'Raw Data'!I$30*100</f>
        <v>2.8727323290660682</v>
      </c>
      <c r="S88" s="52">
        <f t="shared" si="7"/>
        <v>0.78883202044455525</v>
      </c>
      <c r="T88" s="52">
        <f t="shared" si="8"/>
        <v>3.8433808065598374E-2</v>
      </c>
      <c r="U88" s="91">
        <f t="shared" si="9"/>
        <v>3.5690091040033183E-3</v>
      </c>
      <c r="V88" s="91">
        <f t="shared" si="10"/>
        <v>2.89955253344014E-2</v>
      </c>
      <c r="W88" s="91">
        <f t="shared" si="11"/>
        <v>1.8158735520075217E-3</v>
      </c>
      <c r="X88" s="85">
        <f t="shared" si="12"/>
        <v>0.25892898571504785</v>
      </c>
      <c r="AS88" s="62"/>
      <c r="AT88" s="62"/>
    </row>
    <row r="89" spans="1:46" x14ac:dyDescent="0.2">
      <c r="A89" s="79">
        <f>'Raw Data'!A89</f>
        <v>879.7520751953125</v>
      </c>
      <c r="B89" s="45">
        <f>'Raw Data'!E89</f>
        <v>0.2141267437183754</v>
      </c>
      <c r="C89" s="45">
        <f t="shared" si="1"/>
        <v>0.78587325628162463</v>
      </c>
      <c r="D89" s="117">
        <f t="shared" si="2"/>
        <v>2.0889032626547593E-2</v>
      </c>
      <c r="E89" s="108">
        <f>(2*Table!$AC$16*0.147)/A89</f>
        <v>0.12416029495592265</v>
      </c>
      <c r="F89" s="108">
        <f t="shared" si="3"/>
        <v>0.2483205899118453</v>
      </c>
      <c r="G89" s="79">
        <f>IF((('Raw Data'!C89)/('Raw Data'!C$136)*100)&lt;0,0,('Raw Data'!C89)/('Raw Data'!C$136)*100)</f>
        <v>23.959892818271559</v>
      </c>
      <c r="H89" s="79">
        <f t="shared" si="4"/>
        <v>2.337395946522804</v>
      </c>
      <c r="I89" s="96">
        <f t="shared" si="5"/>
        <v>3.8612793847798255E-2</v>
      </c>
      <c r="J89" s="108">
        <f>'Raw Data'!F89/I89</f>
        <v>0.54098733981505742</v>
      </c>
      <c r="K89" s="145">
        <f t="shared" si="6"/>
        <v>0.24628583753592012</v>
      </c>
      <c r="L89" s="79">
        <f>A89*Table!$AC$9/$AC$16</f>
        <v>165.75347221352825</v>
      </c>
      <c r="M89" s="79">
        <f>A89*Table!$AD$9/$AC$16</f>
        <v>56.829761901781119</v>
      </c>
      <c r="N89" s="79">
        <f>ABS(A89*Table!$AE$9/$AC$16)</f>
        <v>71.773358851196775</v>
      </c>
      <c r="O89" s="79">
        <f>($L89*(Table!$AC$10/Table!$AC$9)/(Table!$AC$12-Table!$AC$14))</f>
        <v>355.5415534395716</v>
      </c>
      <c r="P89" s="79">
        <f>$N89*(Table!$AE$10/Table!$AE$9)/(Table!$AC$12-Table!$AC$13)</f>
        <v>589.27224015760885</v>
      </c>
      <c r="Q89" s="79">
        <f>'Raw Data'!C89</f>
        <v>0.33829336419852912</v>
      </c>
      <c r="R89" s="79">
        <f>'Raw Data'!C89/'Raw Data'!I$30*100</f>
        <v>3.1832752298805089</v>
      </c>
      <c r="S89" s="52">
        <f t="shared" si="7"/>
        <v>0.8425335008963214</v>
      </c>
      <c r="T89" s="52">
        <f t="shared" si="8"/>
        <v>3.2404587415857389E-2</v>
      </c>
      <c r="U89" s="91">
        <f t="shared" si="9"/>
        <v>3.6183776311909176E-3</v>
      </c>
      <c r="V89" s="91">
        <f t="shared" si="10"/>
        <v>2.9676992269640396E-2</v>
      </c>
      <c r="W89" s="91">
        <f t="shared" si="11"/>
        <v>1.6235387647615803E-3</v>
      </c>
      <c r="X89" s="85">
        <f t="shared" si="12"/>
        <v>0.26055252447980942</v>
      </c>
      <c r="AS89" s="62"/>
      <c r="AT89" s="62"/>
    </row>
    <row r="90" spans="1:46" x14ac:dyDescent="0.2">
      <c r="A90" s="79">
        <f>'Raw Data'!A90</f>
        <v>962.3004150390625</v>
      </c>
      <c r="B90" s="45">
        <f>'Raw Data'!E90</f>
        <v>0.23675862633438854</v>
      </c>
      <c r="C90" s="45">
        <f t="shared" si="1"/>
        <v>0.7632413736656114</v>
      </c>
      <c r="D90" s="117">
        <f t="shared" si="2"/>
        <v>2.2631882616013149E-2</v>
      </c>
      <c r="E90" s="108">
        <f>(2*Table!$AC$16*0.147)/A90</f>
        <v>0.11350953967935375</v>
      </c>
      <c r="F90" s="108">
        <f t="shared" si="3"/>
        <v>0.22701907935870749</v>
      </c>
      <c r="G90" s="79">
        <f>IF((('Raw Data'!C90)/('Raw Data'!C$136)*100)&lt;0,0,('Raw Data'!C90)/('Raw Data'!C$136)*100)</f>
        <v>26.492306436201357</v>
      </c>
      <c r="H90" s="79">
        <f t="shared" si="4"/>
        <v>2.532413617929798</v>
      </c>
      <c r="I90" s="96">
        <f t="shared" si="5"/>
        <v>3.8950373164775565E-2</v>
      </c>
      <c r="J90" s="108">
        <f>'Raw Data'!F90/I90</f>
        <v>0.58104405111271429</v>
      </c>
      <c r="K90" s="145">
        <f t="shared" si="6"/>
        <v>0.26939517434663945</v>
      </c>
      <c r="L90" s="79">
        <f>A90*Table!$AC$9/$AC$16</f>
        <v>181.30634709765539</v>
      </c>
      <c r="M90" s="79">
        <f>A90*Table!$AD$9/$AC$16</f>
        <v>62.162176147767561</v>
      </c>
      <c r="N90" s="79">
        <f>ABS(A90*Table!$AE$9/$AC$16)</f>
        <v>78.507951226964309</v>
      </c>
      <c r="O90" s="79">
        <f>($L90*(Table!$AC$10/Table!$AC$9)/(Table!$AC$12-Table!$AC$14))</f>
        <v>388.90250342697431</v>
      </c>
      <c r="P90" s="79">
        <f>$N90*(Table!$AE$10/Table!$AE$9)/(Table!$AC$12-Table!$AC$13)</f>
        <v>644.56445999149662</v>
      </c>
      <c r="Q90" s="79">
        <f>'Raw Data'!C90</f>
        <v>0.37404889653122519</v>
      </c>
      <c r="R90" s="79">
        <f>'Raw Data'!C90/'Raw Data'!I$30*100</f>
        <v>3.5197278844441597</v>
      </c>
      <c r="S90" s="52">
        <f t="shared" si="7"/>
        <v>0.91282921680684892</v>
      </c>
      <c r="T90" s="52">
        <f t="shared" si="8"/>
        <v>2.6944962773939984E-2</v>
      </c>
      <c r="U90" s="91">
        <f t="shared" si="9"/>
        <v>3.657618587124151E-3</v>
      </c>
      <c r="V90" s="91">
        <f t="shared" si="10"/>
        <v>3.0223267612577053E-2</v>
      </c>
      <c r="W90" s="91">
        <f t="shared" si="11"/>
        <v>1.470158874942E-3</v>
      </c>
      <c r="X90" s="85">
        <f t="shared" si="12"/>
        <v>0.26202268335475143</v>
      </c>
      <c r="AS90" s="62"/>
      <c r="AT90" s="62"/>
    </row>
    <row r="91" spans="1:46" x14ac:dyDescent="0.2">
      <c r="A91" s="79">
        <f>'Raw Data'!A91</f>
        <v>1048.3892822265625</v>
      </c>
      <c r="B91" s="45">
        <f>'Raw Data'!E91</f>
        <v>0.25944639909613121</v>
      </c>
      <c r="C91" s="45">
        <f t="shared" si="1"/>
        <v>0.74055360090386879</v>
      </c>
      <c r="D91" s="117">
        <f t="shared" si="2"/>
        <v>2.2687772761742664E-2</v>
      </c>
      <c r="E91" s="108">
        <f>(2*Table!$AC$16*0.147)/A91</f>
        <v>0.10418866254751526</v>
      </c>
      <c r="F91" s="108">
        <f t="shared" si="3"/>
        <v>0.20837732509503051</v>
      </c>
      <c r="G91" s="79">
        <f>IF((('Raw Data'!C91)/('Raw Data'!C$136)*100)&lt;0,0,('Raw Data'!C91)/('Raw Data'!C$136)*100)</f>
        <v>29.030973929186761</v>
      </c>
      <c r="H91" s="79">
        <f t="shared" si="4"/>
        <v>2.5386674929854038</v>
      </c>
      <c r="I91" s="96">
        <f t="shared" si="5"/>
        <v>3.7211899362700196E-2</v>
      </c>
      <c r="J91" s="108">
        <f>'Raw Data'!F91/I91</f>
        <v>0.60969133933765363</v>
      </c>
      <c r="K91" s="145">
        <f t="shared" si="6"/>
        <v>0.29349567874509158</v>
      </c>
      <c r="L91" s="79">
        <f>A91*Table!$AC$9/$AC$16</f>
        <v>197.52629025844811</v>
      </c>
      <c r="M91" s="79">
        <f>A91*Table!$AD$9/$AC$16</f>
        <v>67.723299517182213</v>
      </c>
      <c r="N91" s="79">
        <f>ABS(A91*Table!$AE$9/$AC$16)</f>
        <v>85.531392639557382</v>
      </c>
      <c r="O91" s="79">
        <f>($L91*(Table!$AC$10/Table!$AC$9)/(Table!$AC$12-Table!$AC$14))</f>
        <v>423.69431629868751</v>
      </c>
      <c r="P91" s="79">
        <f>$N91*(Table!$AE$10/Table!$AE$9)/(Table!$AC$12-Table!$AC$13)</f>
        <v>702.22818259078292</v>
      </c>
      <c r="Q91" s="79">
        <f>'Raw Data'!C91</f>
        <v>0.40989272827527018</v>
      </c>
      <c r="R91" s="79">
        <f>'Raw Data'!C91/'Raw Data'!I$30*100</f>
        <v>3.8570114194172627</v>
      </c>
      <c r="S91" s="52">
        <f t="shared" si="7"/>
        <v>0.91508347725964023</v>
      </c>
      <c r="T91" s="52">
        <f t="shared" si="8"/>
        <v>2.2333803023449672E-2</v>
      </c>
      <c r="U91" s="91">
        <f t="shared" si="9"/>
        <v>3.678987838587749E-3</v>
      </c>
      <c r="V91" s="91">
        <f t="shared" si="10"/>
        <v>3.0522460422915614E-2</v>
      </c>
      <c r="W91" s="91">
        <f t="shared" si="11"/>
        <v>1.2416856241197352E-3</v>
      </c>
      <c r="X91" s="85">
        <f t="shared" si="12"/>
        <v>0.26326436897887118</v>
      </c>
      <c r="AS91" s="62"/>
      <c r="AT91" s="62"/>
    </row>
    <row r="92" spans="1:46" x14ac:dyDescent="0.2">
      <c r="A92" s="79">
        <f>'Raw Data'!A92</f>
        <v>1148.697509765625</v>
      </c>
      <c r="B92" s="45">
        <f>'Raw Data'!E92</f>
        <v>0.28423951723840685</v>
      </c>
      <c r="C92" s="45">
        <f t="shared" si="1"/>
        <v>0.7157604827615931</v>
      </c>
      <c r="D92" s="117">
        <f t="shared" si="2"/>
        <v>2.4793118142275639E-2</v>
      </c>
      <c r="E92" s="108">
        <f>(2*Table!$AC$16*0.147)/A92</f>
        <v>9.5090549266204902E-2</v>
      </c>
      <c r="F92" s="108">
        <f t="shared" si="3"/>
        <v>0.1901810985324098</v>
      </c>
      <c r="G92" s="79">
        <f>IF((('Raw Data'!C92)/('Raw Data'!C$136)*100)&lt;0,0,('Raw Data'!C92)/('Raw Data'!C$136)*100)</f>
        <v>31.805220821489776</v>
      </c>
      <c r="H92" s="79">
        <f t="shared" si="4"/>
        <v>2.7742468923030152</v>
      </c>
      <c r="I92" s="96">
        <f t="shared" si="5"/>
        <v>3.9683107103987925E-2</v>
      </c>
      <c r="J92" s="108">
        <f>'Raw Data'!F92/I92</f>
        <v>0.62477764347701681</v>
      </c>
      <c r="K92" s="145">
        <f t="shared" si="6"/>
        <v>0.32157688085617164</v>
      </c>
      <c r="L92" s="79">
        <f>A92*Table!$AC$9/$AC$16</f>
        <v>216.42529314229245</v>
      </c>
      <c r="M92" s="79">
        <f>A92*Table!$AD$9/$AC$16</f>
        <v>74.202957648785983</v>
      </c>
      <c r="N92" s="79">
        <f>ABS(A92*Table!$AE$9/$AC$16)</f>
        <v>93.714900941359659</v>
      </c>
      <c r="O92" s="79">
        <f>($L92*(Table!$AC$10/Table!$AC$9)/(Table!$AC$12-Table!$AC$14))</f>
        <v>464.23271802293533</v>
      </c>
      <c r="P92" s="79">
        <f>$N92*(Table!$AE$10/Table!$AE$9)/(Table!$AC$12-Table!$AC$13)</f>
        <v>769.41626388636826</v>
      </c>
      <c r="Q92" s="79">
        <f>'Raw Data'!C92</f>
        <v>0.44906274132302493</v>
      </c>
      <c r="R92" s="79">
        <f>'Raw Data'!C92/'Raw Data'!I$30*100</f>
        <v>4.2255936781453398</v>
      </c>
      <c r="S92" s="52">
        <f t="shared" si="7"/>
        <v>1</v>
      </c>
      <c r="T92" s="52">
        <f t="shared" si="8"/>
        <v>1.8136375168024466E-2</v>
      </c>
      <c r="U92" s="91">
        <f t="shared" si="9"/>
        <v>3.6785956635420154E-3</v>
      </c>
      <c r="V92" s="91">
        <f t="shared" si="10"/>
        <v>3.051695869948156E-2</v>
      </c>
      <c r="W92" s="91">
        <f t="shared" si="11"/>
        <v>1.1302765699685677E-3</v>
      </c>
      <c r="X92" s="85">
        <f t="shared" si="12"/>
        <v>0.26439464554883974</v>
      </c>
      <c r="AS92" s="62"/>
      <c r="AT92" s="62"/>
    </row>
    <row r="93" spans="1:46" x14ac:dyDescent="0.2">
      <c r="A93" s="79">
        <f>'Raw Data'!A93</f>
        <v>1258.5577392578125</v>
      </c>
      <c r="B93" s="45">
        <f>'Raw Data'!E93</f>
        <v>0.30797015689272245</v>
      </c>
      <c r="C93" s="45">
        <f t="shared" si="1"/>
        <v>0.69202984310727755</v>
      </c>
      <c r="D93" s="117">
        <f t="shared" si="2"/>
        <v>2.37306396543156E-2</v>
      </c>
      <c r="E93" s="108">
        <f>(2*Table!$AC$16*0.147)/A93</f>
        <v>8.6790040486143707E-2</v>
      </c>
      <c r="F93" s="108">
        <f t="shared" si="3"/>
        <v>0.17358008097228741</v>
      </c>
      <c r="G93" s="79">
        <f>IF((('Raw Data'!C93)/('Raw Data'!C$136)*100)&lt;0,0,('Raw Data'!C93)/('Raw Data'!C$136)*100)</f>
        <v>34.460580786120083</v>
      </c>
      <c r="H93" s="79">
        <f t="shared" si="4"/>
        <v>2.655359964630307</v>
      </c>
      <c r="I93" s="96">
        <f t="shared" si="5"/>
        <v>3.9667465037373617E-2</v>
      </c>
      <c r="J93" s="108">
        <f>'Raw Data'!F93/I93</f>
        <v>0.59823937909713243</v>
      </c>
      <c r="K93" s="145">
        <f t="shared" si="6"/>
        <v>0.35233215770660126</v>
      </c>
      <c r="L93" s="79">
        <f>A93*Table!$AC$9/$AC$16</f>
        <v>237.1239820228642</v>
      </c>
      <c r="M93" s="79">
        <f>A93*Table!$AD$9/$AC$16</f>
        <v>81.299650979267724</v>
      </c>
      <c r="N93" s="79">
        <f>ABS(A93*Table!$AE$9/$AC$16)</f>
        <v>102.67769613916248</v>
      </c>
      <c r="O93" s="79">
        <f>($L93*(Table!$AC$10/Table!$AC$9)/(Table!$AC$12-Table!$AC$14))</f>
        <v>508.63145007049388</v>
      </c>
      <c r="P93" s="79">
        <f>$N93*(Table!$AE$10/Table!$AE$9)/(Table!$AC$12-Table!$AC$13)</f>
        <v>843.00243135601363</v>
      </c>
      <c r="Q93" s="79">
        <f>'Raw Data'!C93</f>
        <v>0.48655417179001959</v>
      </c>
      <c r="R93" s="79">
        <f>'Raw Data'!C93/'Raw Data'!I$30*100</f>
        <v>4.5783807989365508</v>
      </c>
      <c r="S93" s="52">
        <f t="shared" si="7"/>
        <v>0.95714623381121355</v>
      </c>
      <c r="T93" s="52">
        <f t="shared" si="8"/>
        <v>1.4789599483354454E-2</v>
      </c>
      <c r="U93" s="91">
        <f t="shared" si="9"/>
        <v>3.6377995670158767E-3</v>
      </c>
      <c r="V93" s="91">
        <f t="shared" si="10"/>
        <v>2.9946857122154471E-2</v>
      </c>
      <c r="W93" s="91">
        <f t="shared" si="11"/>
        <v>9.0121433211380511E-4</v>
      </c>
      <c r="X93" s="85">
        <f t="shared" si="12"/>
        <v>0.26529585988095356</v>
      </c>
      <c r="AS93" s="62"/>
      <c r="AT93" s="62"/>
    </row>
    <row r="94" spans="1:46" x14ac:dyDescent="0.2">
      <c r="A94" s="79">
        <f>'Raw Data'!A94</f>
        <v>1379.0098876953125</v>
      </c>
      <c r="B94" s="45">
        <f>'Raw Data'!E94</f>
        <v>0.32931096698844947</v>
      </c>
      <c r="C94" s="45">
        <f t="shared" si="1"/>
        <v>0.67068903301155047</v>
      </c>
      <c r="D94" s="117">
        <f t="shared" si="2"/>
        <v>2.1340810095727025E-2</v>
      </c>
      <c r="E94" s="108">
        <f>(2*Table!$AC$16*0.147)/A94</f>
        <v>7.9209205183356238E-2</v>
      </c>
      <c r="F94" s="108">
        <f t="shared" si="3"/>
        <v>0.15841841036671248</v>
      </c>
      <c r="G94" s="79">
        <f>IF((('Raw Data'!C94)/('Raw Data'!C$136)*100)&lt;0,0,('Raw Data'!C94)/('Raw Data'!C$136)*100)</f>
        <v>36.848528754082508</v>
      </c>
      <c r="H94" s="79">
        <f t="shared" si="4"/>
        <v>2.3879479679624254</v>
      </c>
      <c r="I94" s="96">
        <f t="shared" si="5"/>
        <v>3.96942355307488E-2</v>
      </c>
      <c r="J94" s="108">
        <f>'Raw Data'!F94/I94</f>
        <v>0.53762995584574358</v>
      </c>
      <c r="K94" s="145">
        <f t="shared" si="6"/>
        <v>0.38605263316480876</v>
      </c>
      <c r="L94" s="79">
        <f>A94*Table!$AC$9/$AC$16</f>
        <v>259.81828693219046</v>
      </c>
      <c r="M94" s="79">
        <f>A94*Table!$AD$9/$AC$16</f>
        <v>89.080555519608154</v>
      </c>
      <c r="N94" s="79">
        <f>ABS(A94*Table!$AE$9/$AC$16)</f>
        <v>112.5046184255157</v>
      </c>
      <c r="O94" s="79">
        <f>($L94*(Table!$AC$10/Table!$AC$9)/(Table!$AC$12-Table!$AC$14))</f>
        <v>557.31078278033135</v>
      </c>
      <c r="P94" s="79">
        <f>$N94*(Table!$AE$10/Table!$AE$9)/(Table!$AC$12-Table!$AC$13)</f>
        <v>923.68323830472639</v>
      </c>
      <c r="Q94" s="79">
        <f>'Raw Data'!C94</f>
        <v>0.52026997167861555</v>
      </c>
      <c r="R94" s="79">
        <f>'Raw Data'!C94/'Raw Data'!I$30*100</f>
        <v>4.8956399650903109</v>
      </c>
      <c r="S94" s="52">
        <f t="shared" si="7"/>
        <v>0.86075539080088681</v>
      </c>
      <c r="T94" s="52">
        <f t="shared" si="8"/>
        <v>1.2282684589801862E-2</v>
      </c>
      <c r="U94" s="91">
        <f t="shared" si="9"/>
        <v>3.5501123006972854E-3</v>
      </c>
      <c r="V94" s="91">
        <f t="shared" si="10"/>
        <v>2.8736394166860846E-2</v>
      </c>
      <c r="W94" s="91">
        <f t="shared" si="11"/>
        <v>6.7505797947792039E-4</v>
      </c>
      <c r="X94" s="85">
        <f t="shared" si="12"/>
        <v>0.26597091786043148</v>
      </c>
      <c r="AS94" s="62"/>
      <c r="AT94" s="62"/>
    </row>
    <row r="95" spans="1:46" x14ac:dyDescent="0.2">
      <c r="A95" s="79">
        <f>'Raw Data'!A95</f>
        <v>1508.828369140625</v>
      </c>
      <c r="B95" s="45">
        <f>'Raw Data'!E95</f>
        <v>0.34911922954287794</v>
      </c>
      <c r="C95" s="45">
        <f t="shared" si="1"/>
        <v>0.650880770457122</v>
      </c>
      <c r="D95" s="117">
        <f t="shared" si="2"/>
        <v>1.9808262554428469E-2</v>
      </c>
      <c r="E95" s="108">
        <f>(2*Table!$AC$16*0.147)/A95</f>
        <v>7.2394103516590647E-2</v>
      </c>
      <c r="F95" s="108">
        <f t="shared" si="3"/>
        <v>0.14478820703318129</v>
      </c>
      <c r="G95" s="79">
        <f>IF((('Raw Data'!C95)/('Raw Data'!C$136)*100)&lt;0,0,('Raw Data'!C95)/('Raw Data'!C$136)*100)</f>
        <v>39.064991020675883</v>
      </c>
      <c r="H95" s="79">
        <f t="shared" si="4"/>
        <v>2.2164622665933749</v>
      </c>
      <c r="I95" s="96">
        <f t="shared" si="5"/>
        <v>3.9072460978259782E-2</v>
      </c>
      <c r="J95" s="108">
        <f>'Raw Data'!F95/I95</f>
        <v>0.50696224549177837</v>
      </c>
      <c r="K95" s="145">
        <f t="shared" si="6"/>
        <v>0.42239520550065907</v>
      </c>
      <c r="L95" s="79">
        <f>A95*Table!$AC$9/$AC$16</f>
        <v>284.2772960823205</v>
      </c>
      <c r="M95" s="79">
        <f>A95*Table!$AD$9/$AC$16</f>
        <v>97.466501513938454</v>
      </c>
      <c r="N95" s="79">
        <f>ABS(A95*Table!$AE$9/$AC$16)</f>
        <v>123.09568006322002</v>
      </c>
      <c r="O95" s="79">
        <f>($L95*(Table!$AC$10/Table!$AC$9)/(Table!$AC$12-Table!$AC$14))</f>
        <v>609.77540987198745</v>
      </c>
      <c r="P95" s="79">
        <f>$N95*(Table!$AE$10/Table!$AE$9)/(Table!$AC$12-Table!$AC$13)</f>
        <v>1010.6377673499177</v>
      </c>
      <c r="Q95" s="79">
        <f>'Raw Data'!C95</f>
        <v>0.55156453891529234</v>
      </c>
      <c r="R95" s="79">
        <f>'Raw Data'!C95/'Raw Data'!I$30*100</f>
        <v>5.1901157995494263</v>
      </c>
      <c r="S95" s="52">
        <f t="shared" si="7"/>
        <v>0.79894196610359736</v>
      </c>
      <c r="T95" s="52">
        <f t="shared" si="8"/>
        <v>1.0338980487817007E-2</v>
      </c>
      <c r="U95" s="91">
        <f t="shared" si="9"/>
        <v>3.439831796445829E-3</v>
      </c>
      <c r="V95" s="91">
        <f t="shared" si="10"/>
        <v>2.7243149402286223E-2</v>
      </c>
      <c r="W95" s="91">
        <f t="shared" si="11"/>
        <v>5.2339749034298062E-4</v>
      </c>
      <c r="X95" s="85">
        <f t="shared" si="12"/>
        <v>0.26649431535077445</v>
      </c>
      <c r="Z95" s="41"/>
      <c r="AS95" s="62"/>
      <c r="AT95" s="62"/>
    </row>
    <row r="96" spans="1:46" x14ac:dyDescent="0.2">
      <c r="A96" s="79">
        <f>'Raw Data'!A96</f>
        <v>1648.2332763671875</v>
      </c>
      <c r="B96" s="45">
        <f>'Raw Data'!E96</f>
        <v>0.36919094312942186</v>
      </c>
      <c r="C96" s="45">
        <f t="shared" si="1"/>
        <v>0.6308090568705782</v>
      </c>
      <c r="D96" s="117">
        <f t="shared" si="2"/>
        <v>2.0071713586543916E-2</v>
      </c>
      <c r="E96" s="108">
        <f>(2*Table!$AC$16*0.147)/A96</f>
        <v>6.6271127218767004E-2</v>
      </c>
      <c r="F96" s="108">
        <f t="shared" si="3"/>
        <v>0.13254225443753401</v>
      </c>
      <c r="G96" s="79">
        <f>IF((('Raw Data'!C96)/('Raw Data'!C$136)*100)&lt;0,0,('Raw Data'!C96)/('Raw Data'!C$136)*100)</f>
        <v>41.310932362992048</v>
      </c>
      <c r="H96" s="79">
        <f t="shared" si="4"/>
        <v>2.2459413423161649</v>
      </c>
      <c r="I96" s="96">
        <f t="shared" si="5"/>
        <v>3.837883679497045E-2</v>
      </c>
      <c r="J96" s="108">
        <f>'Raw Data'!F96/I96</f>
        <v>0.5229891070897259</v>
      </c>
      <c r="K96" s="145">
        <f t="shared" si="6"/>
        <v>0.46142148949696438</v>
      </c>
      <c r="L96" s="79">
        <f>A96*Table!$AC$9/$AC$16</f>
        <v>310.54247699852078</v>
      </c>
      <c r="M96" s="79">
        <f>A96*Table!$AD$9/$AC$16</f>
        <v>106.47170639949283</v>
      </c>
      <c r="N96" s="79">
        <f>ABS(A96*Table!$AE$9/$AC$16)</f>
        <v>134.46883701743184</v>
      </c>
      <c r="O96" s="79">
        <f>($L96*(Table!$AC$10/Table!$AC$9)/(Table!$AC$12-Table!$AC$14))</f>
        <v>666.11427927610646</v>
      </c>
      <c r="P96" s="79">
        <f>$N96*(Table!$AE$10/Table!$AE$9)/(Table!$AC$12-Table!$AC$13)</f>
        <v>1104.0134402087997</v>
      </c>
      <c r="Q96" s="79">
        <f>'Raw Data'!C96</f>
        <v>0.5832753256974974</v>
      </c>
      <c r="R96" s="79">
        <f>'Raw Data'!C96/'Raw Data'!I$30*100</f>
        <v>5.4885081795565487</v>
      </c>
      <c r="S96" s="52">
        <f t="shared" si="7"/>
        <v>0.80956794023898571</v>
      </c>
      <c r="T96" s="52">
        <f t="shared" si="8"/>
        <v>8.6884994279828875E-3</v>
      </c>
      <c r="U96" s="91">
        <f t="shared" si="9"/>
        <v>3.3299340926143508E-3</v>
      </c>
      <c r="V96" s="91">
        <f t="shared" si="10"/>
        <v>2.5787637657927891E-2</v>
      </c>
      <c r="W96" s="91">
        <f t="shared" si="11"/>
        <v>4.4443886479103567E-4</v>
      </c>
      <c r="X96" s="85">
        <f t="shared" si="12"/>
        <v>0.26693875421556545</v>
      </c>
      <c r="Z96" s="84"/>
      <c r="AS96" s="62"/>
      <c r="AT96" s="62"/>
    </row>
    <row r="97" spans="1:46" x14ac:dyDescent="0.2">
      <c r="A97" s="79">
        <f>'Raw Data'!A97</f>
        <v>1808.6734619140625</v>
      </c>
      <c r="B97" s="45">
        <f>'Raw Data'!E97</f>
        <v>0.39049081837146365</v>
      </c>
      <c r="C97" s="45">
        <f t="shared" si="1"/>
        <v>0.60950918162853629</v>
      </c>
      <c r="D97" s="117">
        <f t="shared" si="2"/>
        <v>2.1299875242041799E-2</v>
      </c>
      <c r="E97" s="108">
        <f>(2*Table!$AC$16*0.147)/A97</f>
        <v>6.0392480701707239E-2</v>
      </c>
      <c r="F97" s="108">
        <f t="shared" si="3"/>
        <v>0.12078496140341448</v>
      </c>
      <c r="G97" s="79">
        <f>IF((('Raw Data'!C97)/('Raw Data'!C$136)*100)&lt;0,0,('Raw Data'!C97)/('Raw Data'!C$136)*100)</f>
        <v>43.694299890931923</v>
      </c>
      <c r="H97" s="79">
        <f t="shared" si="4"/>
        <v>2.3833675279398747</v>
      </c>
      <c r="I97" s="96">
        <f t="shared" si="5"/>
        <v>4.0341488455136076E-2</v>
      </c>
      <c r="J97" s="108">
        <f>'Raw Data'!F97/I97</f>
        <v>0.52798932458155257</v>
      </c>
      <c r="K97" s="145">
        <f t="shared" si="6"/>
        <v>0.50633658158476436</v>
      </c>
      <c r="L97" s="79">
        <f>A97*Table!$AC$9/$AC$16</f>
        <v>340.77089996765477</v>
      </c>
      <c r="M97" s="79">
        <f>A97*Table!$AD$9/$AC$16</f>
        <v>116.83573713176735</v>
      </c>
      <c r="N97" s="79">
        <f>ABS(A97*Table!$AE$9/$AC$16)</f>
        <v>147.55812812123739</v>
      </c>
      <c r="O97" s="79">
        <f>($L97*(Table!$AC$10/Table!$AC$9)/(Table!$AC$12-Table!$AC$14))</f>
        <v>730.95431138493097</v>
      </c>
      <c r="P97" s="79">
        <f>$N97*(Table!$AE$10/Table!$AE$9)/(Table!$AC$12-Table!$AC$13)</f>
        <v>1211.4788844108157</v>
      </c>
      <c r="Q97" s="79">
        <f>'Raw Data'!C97</f>
        <v>0.61692645365803034</v>
      </c>
      <c r="R97" s="79">
        <f>'Raw Data'!C97/'Raw Data'!I$30*100</f>
        <v>5.8051587953559167</v>
      </c>
      <c r="S97" s="52">
        <f t="shared" si="7"/>
        <v>0.8591043337030938</v>
      </c>
      <c r="T97" s="52">
        <f t="shared" si="8"/>
        <v>7.2339778229015828E-3</v>
      </c>
      <c r="U97" s="91">
        <f t="shared" si="9"/>
        <v>3.2096223655609449E-3</v>
      </c>
      <c r="V97" s="91">
        <f t="shared" si="10"/>
        <v>2.423184622092571E-2</v>
      </c>
      <c r="W97" s="91">
        <f t="shared" si="11"/>
        <v>3.9167122041456758E-4</v>
      </c>
      <c r="X97" s="85">
        <f t="shared" si="12"/>
        <v>0.26733042543598001</v>
      </c>
      <c r="Z97" s="45"/>
      <c r="AS97" s="62"/>
      <c r="AT97" s="62"/>
    </row>
    <row r="98" spans="1:46" x14ac:dyDescent="0.2">
      <c r="A98" s="79">
        <f>'Raw Data'!A98</f>
        <v>1978.3828125</v>
      </c>
      <c r="B98" s="45">
        <f>'Raw Data'!E98</f>
        <v>0.41138735040246033</v>
      </c>
      <c r="C98" s="45">
        <f t="shared" si="1"/>
        <v>0.58861264959753967</v>
      </c>
      <c r="D98" s="117">
        <f t="shared" si="2"/>
        <v>2.0896532030996673E-2</v>
      </c>
      <c r="E98" s="108">
        <f>(2*Table!$AC$16*0.147)/A98</f>
        <v>5.5211901586581867E-2</v>
      </c>
      <c r="F98" s="108">
        <f t="shared" si="3"/>
        <v>0.11042380317316373</v>
      </c>
      <c r="G98" s="79">
        <f>IF((('Raw Data'!C98)/('Raw Data'!C$136)*100)&lt;0,0,('Raw Data'!C98)/('Raw Data'!C$136)*100)</f>
        <v>46.032534989648795</v>
      </c>
      <c r="H98" s="79">
        <f t="shared" si="4"/>
        <v>2.3382350987168721</v>
      </c>
      <c r="I98" s="96">
        <f t="shared" si="5"/>
        <v>3.8950164002569121E-2</v>
      </c>
      <c r="J98" s="108">
        <f>'Raw Data'!F98/I98</f>
        <v>0.53649407046446207</v>
      </c>
      <c r="K98" s="145">
        <f t="shared" si="6"/>
        <v>0.55384656846084579</v>
      </c>
      <c r="L98" s="79">
        <f>A98*Table!$AC$9/$AC$16</f>
        <v>372.74571982866735</v>
      </c>
      <c r="M98" s="79">
        <f>A98*Table!$AD$9/$AC$16</f>
        <v>127.79853251268594</v>
      </c>
      <c r="N98" s="79">
        <f>ABS(A98*Table!$AE$9/$AC$16)</f>
        <v>161.40363126177144</v>
      </c>
      <c r="O98" s="79">
        <f>($L98*(Table!$AC$10/Table!$AC$9)/(Table!$AC$12-Table!$AC$14))</f>
        <v>799.54036857286019</v>
      </c>
      <c r="P98" s="79">
        <f>$N98*(Table!$AE$10/Table!$AE$9)/(Table!$AC$12-Table!$AC$13)</f>
        <v>1325.1529660243957</v>
      </c>
      <c r="Q98" s="79">
        <f>'Raw Data'!C98</f>
        <v>0.64994034999853467</v>
      </c>
      <c r="R98" s="79">
        <f>'Raw Data'!C98/'Raw Data'!I$30*100</f>
        <v>6.115813184665476</v>
      </c>
      <c r="S98" s="52">
        <f t="shared" si="7"/>
        <v>0.8428359801732741</v>
      </c>
      <c r="T98" s="52">
        <f t="shared" si="8"/>
        <v>6.0413168565333075E-3</v>
      </c>
      <c r="U98" s="91">
        <f t="shared" si="9"/>
        <v>3.0913194079649213E-3</v>
      </c>
      <c r="V98" s="91">
        <f t="shared" si="10"/>
        <v>2.2740824029533577E-2</v>
      </c>
      <c r="W98" s="91">
        <f t="shared" si="11"/>
        <v>3.2115781203003992E-4</v>
      </c>
      <c r="X98" s="85">
        <f t="shared" si="12"/>
        <v>0.26765158324801003</v>
      </c>
      <c r="Z98" s="45"/>
      <c r="AS98" s="62"/>
      <c r="AT98" s="62"/>
    </row>
    <row r="99" spans="1:46" x14ac:dyDescent="0.2">
      <c r="A99" s="79">
        <f>'Raw Data'!A99</f>
        <v>2159.028564453125</v>
      </c>
      <c r="B99" s="45">
        <f>'Raw Data'!E99</f>
        <v>0.43186966000899435</v>
      </c>
      <c r="C99" s="45">
        <f t="shared" si="1"/>
        <v>0.5681303399910056</v>
      </c>
      <c r="D99" s="117">
        <f t="shared" si="2"/>
        <v>2.0482309606534022E-2</v>
      </c>
      <c r="E99" s="108">
        <f>(2*Table!$AC$16*0.147)/A99</f>
        <v>5.0592326077910289E-2</v>
      </c>
      <c r="F99" s="108">
        <f t="shared" si="3"/>
        <v>0.10118465215582058</v>
      </c>
      <c r="G99" s="79">
        <f>IF((('Raw Data'!C99)/('Raw Data'!C$136)*100)&lt;0,0,('Raw Data'!C99)/('Raw Data'!C$136)*100)</f>
        <v>48.324420320369839</v>
      </c>
      <c r="H99" s="79">
        <f t="shared" si="4"/>
        <v>2.2918853307210441</v>
      </c>
      <c r="I99" s="96">
        <f t="shared" si="5"/>
        <v>3.7948057819249259E-2</v>
      </c>
      <c r="J99" s="108">
        <f>'Raw Data'!F99/I99</f>
        <v>0.53974592597316828</v>
      </c>
      <c r="K99" s="145">
        <f t="shared" si="6"/>
        <v>0.60441819150271714</v>
      </c>
      <c r="L99" s="79">
        <f>A99*Table!$AC$9/$AC$16</f>
        <v>406.78105941022693</v>
      </c>
      <c r="M99" s="79">
        <f>A99*Table!$AD$9/$AC$16</f>
        <v>139.4677917977921</v>
      </c>
      <c r="N99" s="79">
        <f>ABS(A99*Table!$AE$9/$AC$16)</f>
        <v>176.14136561380175</v>
      </c>
      <c r="O99" s="79">
        <f>($L99*(Table!$AC$10/Table!$AC$9)/(Table!$AC$12-Table!$AC$14))</f>
        <v>872.54624498118199</v>
      </c>
      <c r="P99" s="79">
        <f>$N99*(Table!$AE$10/Table!$AE$9)/(Table!$AC$12-Table!$AC$13)</f>
        <v>1446.1524270427069</v>
      </c>
      <c r="Q99" s="79">
        <f>'Raw Data'!C99</f>
        <v>0.68229982692806512</v>
      </c>
      <c r="R99" s="79">
        <f>'Raw Data'!C99/'Raw Data'!I$30*100</f>
        <v>6.4203096136915345</v>
      </c>
      <c r="S99" s="52">
        <f t="shared" si="7"/>
        <v>0.82612882691866407</v>
      </c>
      <c r="T99" s="52">
        <f t="shared" si="8"/>
        <v>5.0597370851880319E-3</v>
      </c>
      <c r="U99" s="91">
        <f t="shared" si="9"/>
        <v>2.9737029511315329E-3</v>
      </c>
      <c r="V99" s="91">
        <f t="shared" si="10"/>
        <v>2.1297033300779547E-2</v>
      </c>
      <c r="W99" s="91">
        <f t="shared" si="11"/>
        <v>2.6431820994201867E-4</v>
      </c>
      <c r="X99" s="85">
        <f t="shared" si="12"/>
        <v>0.26791590145795202</v>
      </c>
      <c r="Z99" s="45"/>
      <c r="AS99" s="62"/>
      <c r="AT99" s="62"/>
    </row>
    <row r="100" spans="1:46" x14ac:dyDescent="0.2">
      <c r="A100" s="79">
        <f>'Raw Data'!A100</f>
        <v>2368.3857421875</v>
      </c>
      <c r="B100" s="45">
        <f>'Raw Data'!E100</f>
        <v>0.45458261452339388</v>
      </c>
      <c r="C100" s="45">
        <f t="shared" si="1"/>
        <v>0.54541738547660612</v>
      </c>
      <c r="D100" s="117">
        <f t="shared" si="2"/>
        <v>2.271295451439953E-2</v>
      </c>
      <c r="E100" s="108">
        <f>(2*Table!$AC$16*0.147)/A100</f>
        <v>4.6120137948241172E-2</v>
      </c>
      <c r="F100" s="108">
        <f t="shared" si="3"/>
        <v>9.2240275896482343E-2</v>
      </c>
      <c r="G100" s="79">
        <f>IF((('Raw Data'!C100)/('Raw Data'!C$136)*100)&lt;0,0,('Raw Data'!C100)/('Raw Data'!C$136)*100)</f>
        <v>50.865905546834746</v>
      </c>
      <c r="H100" s="79">
        <f t="shared" si="4"/>
        <v>2.541485226464907</v>
      </c>
      <c r="I100" s="96">
        <f t="shared" si="5"/>
        <v>4.019404975129004E-2</v>
      </c>
      <c r="J100" s="108">
        <f>'Raw Data'!F100/I100</f>
        <v>0.5650825098476312</v>
      </c>
      <c r="K100" s="145">
        <f t="shared" si="6"/>
        <v>0.66302755352214737</v>
      </c>
      <c r="L100" s="79">
        <f>A100*Table!$AC$9/$AC$16</f>
        <v>446.22589861062704</v>
      </c>
      <c r="M100" s="79">
        <f>A100*Table!$AD$9/$AC$16</f>
        <v>152.99173666650071</v>
      </c>
      <c r="N100" s="79">
        <f>ABS(A100*Table!$AE$9/$AC$16)</f>
        <v>193.22148201167116</v>
      </c>
      <c r="O100" s="79">
        <f>($L100*(Table!$AC$10/Table!$AC$9)/(Table!$AC$12-Table!$AC$14))</f>
        <v>957.15550967530476</v>
      </c>
      <c r="P100" s="79">
        <f>$N100*(Table!$AE$10/Table!$AE$9)/(Table!$AC$12-Table!$AC$13)</f>
        <v>1586.3832677477103</v>
      </c>
      <c r="Q100" s="79">
        <f>'Raw Data'!C100</f>
        <v>0.71818344267888456</v>
      </c>
      <c r="R100" s="79">
        <f>'Raw Data'!C100/'Raw Data'!I$30*100</f>
        <v>6.7579675084857653</v>
      </c>
      <c r="S100" s="52">
        <f t="shared" si="7"/>
        <v>0.91609915235594563</v>
      </c>
      <c r="T100" s="52">
        <f t="shared" si="8"/>
        <v>4.155187862283527E-3</v>
      </c>
      <c r="U100" s="91">
        <f t="shared" si="9"/>
        <v>2.853406600161314E-3</v>
      </c>
      <c r="V100" s="91">
        <f t="shared" si="10"/>
        <v>1.986062206897975E-2</v>
      </c>
      <c r="W100" s="91">
        <f t="shared" si="11"/>
        <v>2.4357554870434845E-4</v>
      </c>
      <c r="X100" s="85">
        <f t="shared" si="12"/>
        <v>0.26815947700665638</v>
      </c>
      <c r="Z100" s="45"/>
      <c r="AS100" s="62"/>
      <c r="AT100" s="62"/>
    </row>
    <row r="101" spans="1:46" x14ac:dyDescent="0.2">
      <c r="A101" s="79">
        <f>'Raw Data'!A101</f>
        <v>2587.763427734375</v>
      </c>
      <c r="B101" s="45">
        <f>'Raw Data'!E101</f>
        <v>0.47621539369600774</v>
      </c>
      <c r="C101" s="45">
        <f t="shared" si="1"/>
        <v>0.52378460630399226</v>
      </c>
      <c r="D101" s="117">
        <f t="shared" si="2"/>
        <v>2.1632779172613859E-2</v>
      </c>
      <c r="E101" s="108">
        <f>(2*Table!$AC$16*0.147)/A101</f>
        <v>4.2210302523661432E-2</v>
      </c>
      <c r="F101" s="108">
        <f t="shared" si="3"/>
        <v>8.4420605047322864E-2</v>
      </c>
      <c r="G101" s="79">
        <f>IF((('Raw Data'!C101)/('Raw Data'!C$136)*100)&lt;0,0,('Raw Data'!C101)/('Raw Data'!C$136)*100)</f>
        <v>53.286523641223141</v>
      </c>
      <c r="H101" s="79">
        <f t="shared" si="4"/>
        <v>2.420618094388395</v>
      </c>
      <c r="I101" s="96">
        <f t="shared" si="5"/>
        <v>3.847213284774198E-2</v>
      </c>
      <c r="J101" s="108">
        <f>'Raw Data'!F101/I101</f>
        <v>0.56229737140459934</v>
      </c>
      <c r="K101" s="145">
        <f t="shared" si="6"/>
        <v>0.72444214809370189</v>
      </c>
      <c r="L101" s="79">
        <f>A101*Table!$AC$9/$AC$16</f>
        <v>487.55869466852698</v>
      </c>
      <c r="M101" s="79">
        <f>A101*Table!$AD$9/$AC$16</f>
        <v>167.16298102920925</v>
      </c>
      <c r="N101" s="79">
        <f>ABS(A101*Table!$AE$9/$AC$16)</f>
        <v>211.11910770946247</v>
      </c>
      <c r="O101" s="79">
        <f>($L101*(Table!$AC$10/Table!$AC$9)/(Table!$AC$12-Table!$AC$14))</f>
        <v>1045.8144458784363</v>
      </c>
      <c r="P101" s="79">
        <f>$N101*(Table!$AE$10/Table!$AE$9)/(Table!$AC$12-Table!$AC$13)</f>
        <v>1733.3260074668508</v>
      </c>
      <c r="Q101" s="79">
        <f>'Raw Data'!C101</f>
        <v>0.75236051704233975</v>
      </c>
      <c r="R101" s="79">
        <f>'Raw Data'!C101/'Raw Data'!I$30*100</f>
        <v>7.0795671783720611</v>
      </c>
      <c r="S101" s="52">
        <f t="shared" si="7"/>
        <v>0.87253160528150864</v>
      </c>
      <c r="T101" s="52">
        <f t="shared" si="8"/>
        <v>3.4335378472242217E-3</v>
      </c>
      <c r="U101" s="91">
        <f t="shared" si="9"/>
        <v>2.7357860855813728E-3</v>
      </c>
      <c r="V101" s="91">
        <f t="shared" si="10"/>
        <v>1.8496041376603239E-2</v>
      </c>
      <c r="W101" s="91">
        <f t="shared" si="11"/>
        <v>1.9432474644793819E-4</v>
      </c>
      <c r="X101" s="85">
        <f t="shared" si="12"/>
        <v>0.2683538017531043</v>
      </c>
      <c r="Z101" s="45"/>
      <c r="AS101" s="62"/>
      <c r="AT101" s="62"/>
    </row>
    <row r="102" spans="1:46" x14ac:dyDescent="0.2">
      <c r="A102" s="79">
        <f>'Raw Data'!A102</f>
        <v>2827.939208984375</v>
      </c>
      <c r="B102" s="45">
        <f>'Raw Data'!E102</f>
        <v>0.49853054614539594</v>
      </c>
      <c r="C102" s="45">
        <f t="shared" si="1"/>
        <v>0.50146945385460406</v>
      </c>
      <c r="D102" s="117">
        <f t="shared" si="2"/>
        <v>2.2315152449388198E-2</v>
      </c>
      <c r="E102" s="108">
        <f>(2*Table!$AC$16*0.147)/A102</f>
        <v>3.8625397885962323E-2</v>
      </c>
      <c r="F102" s="108">
        <f t="shared" si="3"/>
        <v>7.7250795771924646E-2</v>
      </c>
      <c r="G102" s="79">
        <f>IF((('Raw Data'!C102)/('Raw Data'!C$136)*100)&lt;0,0,('Raw Data'!C102)/('Raw Data'!C$136)*100)</f>
        <v>55.783496469680017</v>
      </c>
      <c r="H102" s="79">
        <f t="shared" si="4"/>
        <v>2.496972828456876</v>
      </c>
      <c r="I102" s="96">
        <f t="shared" si="5"/>
        <v>3.8545498591130212E-2</v>
      </c>
      <c r="J102" s="108">
        <f>'Raw Data'!F102/I102</f>
        <v>0.57893018030705112</v>
      </c>
      <c r="K102" s="145">
        <f t="shared" si="6"/>
        <v>0.7916791516868652</v>
      </c>
      <c r="L102" s="79">
        <f>A102*Table!$AC$9/$AC$16</f>
        <v>532.81004536860485</v>
      </c>
      <c r="M102" s="79">
        <f>A102*Table!$AD$9/$AC$16</f>
        <v>182.67772984066451</v>
      </c>
      <c r="N102" s="79">
        <f>ABS(A102*Table!$AE$9/$AC$16)</f>
        <v>230.71351734037555</v>
      </c>
      <c r="O102" s="79">
        <f>($L102*(Table!$AC$10/Table!$AC$9)/(Table!$AC$12-Table!$AC$14))</f>
        <v>1142.8786901943477</v>
      </c>
      <c r="P102" s="79">
        <f>$N102*(Table!$AE$10/Table!$AE$9)/(Table!$AC$12-Table!$AC$13)</f>
        <v>1894.1996497567773</v>
      </c>
      <c r="Q102" s="79">
        <f>'Raw Data'!C102</f>
        <v>0.78761565548798529</v>
      </c>
      <c r="R102" s="79">
        <f>'Raw Data'!C102/'Raw Data'!I$30*100</f>
        <v>7.4113112230887364</v>
      </c>
      <c r="S102" s="52">
        <f t="shared" si="7"/>
        <v>0.90005429415261118</v>
      </c>
      <c r="T102" s="52">
        <f t="shared" si="8"/>
        <v>2.8102004705096162E-3</v>
      </c>
      <c r="U102" s="91">
        <f t="shared" si="9"/>
        <v>2.6207463015976329E-3</v>
      </c>
      <c r="V102" s="91">
        <f t="shared" si="10"/>
        <v>1.7200043273907794E-2</v>
      </c>
      <c r="W102" s="91">
        <f t="shared" si="11"/>
        <v>1.6785127853376455E-4</v>
      </c>
      <c r="X102" s="85">
        <f t="shared" si="12"/>
        <v>0.26852165303163805</v>
      </c>
      <c r="Z102" s="45"/>
      <c r="AS102" s="62"/>
      <c r="AT102" s="62"/>
    </row>
    <row r="103" spans="1:46" x14ac:dyDescent="0.2">
      <c r="A103" s="79">
        <f>'Raw Data'!A103</f>
        <v>3097.396240234375</v>
      </c>
      <c r="B103" s="45">
        <f>'Raw Data'!E103</f>
        <v>0.52123288254750011</v>
      </c>
      <c r="C103" s="45">
        <f t="shared" si="1"/>
        <v>0.47876711745249989</v>
      </c>
      <c r="D103" s="117">
        <f t="shared" si="2"/>
        <v>2.2702336402104173E-2</v>
      </c>
      <c r="E103" s="108">
        <f>(2*Table!$AC$16*0.147)/A103</f>
        <v>3.5265193301864978E-2</v>
      </c>
      <c r="F103" s="108">
        <f t="shared" si="3"/>
        <v>7.0530386603729955E-2</v>
      </c>
      <c r="G103" s="79">
        <f>IF((('Raw Data'!C103)/('Raw Data'!C$136)*100)&lt;0,0,('Raw Data'!C103)/('Raw Data'!C$136)*100)</f>
        <v>58.323793573502648</v>
      </c>
      <c r="H103" s="79">
        <f t="shared" si="4"/>
        <v>2.5402971038226312</v>
      </c>
      <c r="I103" s="96">
        <f t="shared" si="5"/>
        <v>3.9526697468426519E-2</v>
      </c>
      <c r="J103" s="108">
        <f>'Raw Data'!F103/I103</f>
        <v>0.57435449597676469</v>
      </c>
      <c r="K103" s="145">
        <f t="shared" si="6"/>
        <v>0.86711341605801284</v>
      </c>
      <c r="L103" s="79">
        <f>A103*Table!$AC$9/$AC$16</f>
        <v>583.57825586941101</v>
      </c>
      <c r="M103" s="79">
        <f>A103*Table!$AD$9/$AC$16</f>
        <v>200.08397344094089</v>
      </c>
      <c r="N103" s="79">
        <f>ABS(A103*Table!$AE$9/$AC$16)</f>
        <v>252.69679733956258</v>
      </c>
      <c r="O103" s="79">
        <f>($L103*(Table!$AC$10/Table!$AC$9)/(Table!$AC$12-Table!$AC$14))</f>
        <v>1251.7766106164975</v>
      </c>
      <c r="P103" s="79">
        <f>$N103*(Table!$AE$10/Table!$AE$9)/(Table!$AC$12-Table!$AC$13)</f>
        <v>2074.6863492574921</v>
      </c>
      <c r="Q103" s="79">
        <f>'Raw Data'!C103</f>
        <v>0.82348249595484224</v>
      </c>
      <c r="R103" s="79">
        <f>'Raw Data'!C103/'Raw Data'!I$30*100</f>
        <v>7.7488112657003256</v>
      </c>
      <c r="S103" s="52">
        <f t="shared" si="7"/>
        <v>0.91567088382455619</v>
      </c>
      <c r="T103" s="52">
        <f t="shared" si="8"/>
        <v>2.2815842678248766E-3</v>
      </c>
      <c r="U103" s="91">
        <f t="shared" si="9"/>
        <v>2.5017177863927366E-3</v>
      </c>
      <c r="V103" s="91">
        <f t="shared" si="10"/>
        <v>1.5899881532755396E-2</v>
      </c>
      <c r="W103" s="91">
        <f t="shared" si="11"/>
        <v>1.4234491430934975E-4</v>
      </c>
      <c r="X103" s="85">
        <f t="shared" si="12"/>
        <v>0.26866399794594742</v>
      </c>
      <c r="Z103" s="45"/>
      <c r="AS103" s="62"/>
      <c r="AT103" s="62"/>
    </row>
    <row r="104" spans="1:46" x14ac:dyDescent="0.2">
      <c r="A104" s="79">
        <f>'Raw Data'!A104</f>
        <v>3388.814453125</v>
      </c>
      <c r="B104" s="45">
        <f>'Raw Data'!E104</f>
        <v>0.54427412820598275</v>
      </c>
      <c r="C104" s="45">
        <f t="shared" si="1"/>
        <v>0.45572587179401725</v>
      </c>
      <c r="D104" s="117">
        <f t="shared" si="2"/>
        <v>2.3041245658482645E-2</v>
      </c>
      <c r="E104" s="108">
        <f>(2*Table!$AC$16*0.147)/A104</f>
        <v>3.2232593036661594E-2</v>
      </c>
      <c r="F104" s="108">
        <f t="shared" si="3"/>
        <v>6.4465186073323189E-2</v>
      </c>
      <c r="G104" s="79">
        <f>IF((('Raw Data'!C104)/('Raw Data'!C$136)*100)&lt;0,0,('Raw Data'!C104)/('Raw Data'!C$136)*100)</f>
        <v>60.90201321477641</v>
      </c>
      <c r="H104" s="79">
        <f t="shared" si="4"/>
        <v>2.5782196412737619</v>
      </c>
      <c r="I104" s="96">
        <f t="shared" si="5"/>
        <v>3.9051023827243236E-2</v>
      </c>
      <c r="J104" s="108">
        <f>'Raw Data'!F104/I104</f>
        <v>0.59002923355900183</v>
      </c>
      <c r="K104" s="145">
        <f t="shared" si="6"/>
        <v>0.94869569435960655</v>
      </c>
      <c r="L104" s="79">
        <f>A104*Table!$AC$9/$AC$16</f>
        <v>638.4841572191275</v>
      </c>
      <c r="M104" s="79">
        <f>A104*Table!$AD$9/$AC$16</f>
        <v>218.90885390370087</v>
      </c>
      <c r="N104" s="79">
        <f>ABS(A104*Table!$AE$9/$AC$16)</f>
        <v>276.47175003283098</v>
      </c>
      <c r="O104" s="79">
        <f>($L104*(Table!$AC$10/Table!$AC$9)/(Table!$AC$12-Table!$AC$14))</f>
        <v>1369.5498867849153</v>
      </c>
      <c r="P104" s="79">
        <f>$N104*(Table!$AE$10/Table!$AE$9)/(Table!$AC$12-Table!$AC$13)</f>
        <v>2269.8830051956561</v>
      </c>
      <c r="Q104" s="79">
        <f>'Raw Data'!C104</f>
        <v>0.85988477048522327</v>
      </c>
      <c r="R104" s="79">
        <f>'Raw Data'!C104/'Raw Data'!I$30*100</f>
        <v>8.0913496394529609</v>
      </c>
      <c r="S104" s="52">
        <f t="shared" si="7"/>
        <v>0.92934037285105286</v>
      </c>
      <c r="T104" s="52">
        <f t="shared" si="8"/>
        <v>1.8333822344474004E-3</v>
      </c>
      <c r="U104" s="91">
        <f t="shared" si="9"/>
        <v>2.3876638132227959E-3</v>
      </c>
      <c r="V104" s="91">
        <f t="shared" si="10"/>
        <v>1.4693509520825451E-2</v>
      </c>
      <c r="W104" s="91">
        <f t="shared" si="11"/>
        <v>1.2069111712883663E-4</v>
      </c>
      <c r="X104" s="85">
        <f t="shared" si="12"/>
        <v>0.26878468906307623</v>
      </c>
      <c r="Z104" s="45"/>
      <c r="AS104" s="62"/>
      <c r="AT104" s="62"/>
    </row>
    <row r="105" spans="1:46" x14ac:dyDescent="0.2">
      <c r="A105" s="79">
        <f>'Raw Data'!A105</f>
        <v>3707.537353515625</v>
      </c>
      <c r="B105" s="45">
        <f>'Raw Data'!E105</f>
        <v>0.56645083903823024</v>
      </c>
      <c r="C105" s="45">
        <f t="shared" si="1"/>
        <v>0.43354916096176976</v>
      </c>
      <c r="D105" s="117">
        <f t="shared" si="2"/>
        <v>2.2176710832247482E-2</v>
      </c>
      <c r="E105" s="108">
        <f>(2*Table!$AC$16*0.147)/A105</f>
        <v>2.9461679473238168E-2</v>
      </c>
      <c r="F105" s="108">
        <f t="shared" si="3"/>
        <v>5.8923358946476337E-2</v>
      </c>
      <c r="G105" s="79">
        <f>IF((('Raw Data'!C105)/('Raw Data'!C$136)*100)&lt;0,0,('Raw Data'!C105)/('Raw Data'!C$136)*100)</f>
        <v>63.383495001569457</v>
      </c>
      <c r="H105" s="79">
        <f t="shared" si="4"/>
        <v>2.4814817867930472</v>
      </c>
      <c r="I105" s="96">
        <f t="shared" si="5"/>
        <v>3.9037744572667732E-2</v>
      </c>
      <c r="J105" s="108">
        <f>'Raw Data'!F105/I105</f>
        <v>0.56808381413957254</v>
      </c>
      <c r="K105" s="145">
        <f t="shared" si="6"/>
        <v>1.037921896465644</v>
      </c>
      <c r="L105" s="79">
        <f>A105*Table!$AC$9/$AC$16</f>
        <v>698.53451561354677</v>
      </c>
      <c r="M105" s="79">
        <f>A105*Table!$AD$9/$AC$16</f>
        <v>239.4975482103589</v>
      </c>
      <c r="N105" s="79">
        <f>ABS(A105*Table!$AE$9/$AC$16)</f>
        <v>302.47431797079457</v>
      </c>
      <c r="O105" s="79">
        <f>($L105*(Table!$AC$10/Table!$AC$9)/(Table!$AC$12-Table!$AC$14))</f>
        <v>1498.3580343490923</v>
      </c>
      <c r="P105" s="79">
        <f>$N105*(Table!$AE$10/Table!$AE$9)/(Table!$AC$12-Table!$AC$13)</f>
        <v>2483.3687846534854</v>
      </c>
      <c r="Q105" s="79">
        <f>'Raw Data'!C105</f>
        <v>0.8949211885618279</v>
      </c>
      <c r="R105" s="79">
        <f>'Raw Data'!C105/'Raw Data'!I$30*100</f>
        <v>8.4210355677336626</v>
      </c>
      <c r="S105" s="52">
        <f t="shared" si="7"/>
        <v>0.89447042138815014</v>
      </c>
      <c r="T105" s="52">
        <f t="shared" si="8"/>
        <v>1.4729783088897053E-3</v>
      </c>
      <c r="U105" s="91">
        <f t="shared" si="9"/>
        <v>2.2713285841202712E-3</v>
      </c>
      <c r="V105" s="91">
        <f t="shared" si="10"/>
        <v>1.3503374700654746E-2</v>
      </c>
      <c r="W105" s="91">
        <f t="shared" si="11"/>
        <v>9.7048984953005465E-5</v>
      </c>
      <c r="X105" s="85">
        <f t="shared" si="12"/>
        <v>0.26888173804802923</v>
      </c>
      <c r="Z105" s="45"/>
      <c r="AS105" s="62"/>
      <c r="AT105" s="62"/>
    </row>
    <row r="106" spans="1:46" x14ac:dyDescent="0.2">
      <c r="A106" s="79">
        <f>'Raw Data'!A106</f>
        <v>4057.7587890625</v>
      </c>
      <c r="B106" s="45">
        <f>'Raw Data'!E106</f>
        <v>0.58855682047764679</v>
      </c>
      <c r="C106" s="45">
        <f t="shared" si="1"/>
        <v>0.41144317952235321</v>
      </c>
      <c r="D106" s="117">
        <f t="shared" si="2"/>
        <v>2.2105981439416555E-2</v>
      </c>
      <c r="E106" s="108">
        <f>(2*Table!$AC$16*0.147)/A106</f>
        <v>2.6918868967460603E-2</v>
      </c>
      <c r="F106" s="108">
        <f t="shared" si="3"/>
        <v>5.3837737934921207E-2</v>
      </c>
      <c r="G106" s="79">
        <f>IF((('Raw Data'!C106)/('Raw Data'!C$136)*100)&lt;0,0,('Raw Data'!C106)/('Raw Data'!C$136)*100)</f>
        <v>65.857062463220757</v>
      </c>
      <c r="H106" s="79">
        <f t="shared" si="4"/>
        <v>2.4735674616512995</v>
      </c>
      <c r="I106" s="96">
        <f t="shared" si="5"/>
        <v>3.9200691851956293E-2</v>
      </c>
      <c r="J106" s="108">
        <f>'Raw Data'!F106/I106</f>
        <v>0.56391814519246464</v>
      </c>
      <c r="K106" s="145">
        <f t="shared" si="6"/>
        <v>1.1359660864239853</v>
      </c>
      <c r="L106" s="79">
        <f>A106*Table!$AC$9/$AC$16</f>
        <v>764.51949095175587</v>
      </c>
      <c r="M106" s="79">
        <f>A106*Table!$AD$9/$AC$16</f>
        <v>262.1209683263163</v>
      </c>
      <c r="N106" s="79">
        <f>ABS(A106*Table!$AE$9/$AC$16)</f>
        <v>331.04665042628392</v>
      </c>
      <c r="O106" s="79">
        <f>($L106*(Table!$AC$10/Table!$AC$9)/(Table!$AC$12-Table!$AC$14))</f>
        <v>1639.8959479874645</v>
      </c>
      <c r="P106" s="79">
        <f>$N106*(Table!$AE$10/Table!$AE$9)/(Table!$AC$12-Table!$AC$13)</f>
        <v>2717.9527949612793</v>
      </c>
      <c r="Q106" s="79">
        <f>'Raw Data'!C106</f>
        <v>0.9298458630802342</v>
      </c>
      <c r="R106" s="79">
        <f>'Raw Data'!C106/'Raw Data'!I$30*100</f>
        <v>8.7496700107103162</v>
      </c>
      <c r="S106" s="52">
        <f t="shared" si="7"/>
        <v>0.89161763811074857</v>
      </c>
      <c r="T106" s="52">
        <f t="shared" si="8"/>
        <v>1.173061506998252E-3</v>
      </c>
      <c r="U106" s="91">
        <f t="shared" si="9"/>
        <v>2.1562814513013057E-3</v>
      </c>
      <c r="V106" s="91">
        <f t="shared" si="10"/>
        <v>1.2367126600715697E-2</v>
      </c>
      <c r="W106" s="91">
        <f t="shared" si="11"/>
        <v>8.0761110326127921E-5</v>
      </c>
      <c r="X106" s="85">
        <f t="shared" si="12"/>
        <v>0.26896249915835535</v>
      </c>
      <c r="Z106" s="45"/>
      <c r="AS106" s="62"/>
      <c r="AT106" s="62"/>
    </row>
    <row r="107" spans="1:46" x14ac:dyDescent="0.2">
      <c r="A107" s="79">
        <f>'Raw Data'!A107</f>
        <v>4431.99609375</v>
      </c>
      <c r="B107" s="45">
        <f>'Raw Data'!E107</f>
        <v>0.6085693511432001</v>
      </c>
      <c r="C107" s="45">
        <f t="shared" si="1"/>
        <v>0.3914306488567999</v>
      </c>
      <c r="D107" s="117">
        <f t="shared" si="2"/>
        <v>2.0012530665553308E-2</v>
      </c>
      <c r="E107" s="108">
        <f>(2*Table!$AC$16*0.147)/A107</f>
        <v>2.4645842377517338E-2</v>
      </c>
      <c r="F107" s="108">
        <f t="shared" si="3"/>
        <v>4.9291684755034676E-2</v>
      </c>
      <c r="G107" s="79">
        <f>IF((('Raw Data'!C107)/('Raw Data'!C$136)*100)&lt;0,0,('Raw Data'!C107)/('Raw Data'!C$136)*100)</f>
        <v>68.096381482612742</v>
      </c>
      <c r="H107" s="79">
        <f t="shared" si="4"/>
        <v>2.239319019391985</v>
      </c>
      <c r="I107" s="96">
        <f t="shared" si="5"/>
        <v>3.8313141843979714E-2</v>
      </c>
      <c r="J107" s="108">
        <f>'Raw Data'!F107/I107</f>
        <v>0.52234115247058366</v>
      </c>
      <c r="K107" s="145">
        <f t="shared" si="6"/>
        <v>1.2407334983129361</v>
      </c>
      <c r="L107" s="79">
        <f>A107*Table!$AC$9/$AC$16</f>
        <v>835.02927937142374</v>
      </c>
      <c r="M107" s="79">
        <f>A107*Table!$AD$9/$AC$16</f>
        <v>286.29575292734529</v>
      </c>
      <c r="N107" s="79">
        <f>ABS(A107*Table!$AE$9/$AC$16)</f>
        <v>361.57828441973305</v>
      </c>
      <c r="O107" s="79">
        <f>($L107*(Table!$AC$10/Table!$AC$9)/(Table!$AC$12-Table!$AC$14))</f>
        <v>1791.1395953912995</v>
      </c>
      <c r="P107" s="79">
        <f>$N107*(Table!$AE$10/Table!$AE$9)/(Table!$AC$12-Table!$AC$13)</f>
        <v>2968.6230247925528</v>
      </c>
      <c r="Q107" s="79">
        <f>'Raw Data'!C107</f>
        <v>0.96146314827969759</v>
      </c>
      <c r="R107" s="79">
        <f>'Raw Data'!C107/'Raw Data'!I$30*100</f>
        <v>9.0471825588797632</v>
      </c>
      <c r="S107" s="52">
        <f t="shared" si="7"/>
        <v>0.80718086973615555</v>
      </c>
      <c r="T107" s="52">
        <f t="shared" si="8"/>
        <v>9.4546440803011667E-4</v>
      </c>
      <c r="U107" s="91">
        <f t="shared" si="9"/>
        <v>2.0413336039799535E-3</v>
      </c>
      <c r="V107" s="91">
        <f t="shared" si="10"/>
        <v>1.127294645409181E-2</v>
      </c>
      <c r="W107" s="91">
        <f t="shared" si="11"/>
        <v>6.1286977934349611E-5</v>
      </c>
      <c r="X107" s="85">
        <f t="shared" si="12"/>
        <v>0.26902378613628969</v>
      </c>
      <c r="Z107" s="45"/>
      <c r="AS107" s="62"/>
      <c r="AT107" s="62"/>
    </row>
    <row r="108" spans="1:46" x14ac:dyDescent="0.2">
      <c r="A108" s="79">
        <f>'Raw Data'!A108</f>
        <v>4843.06396484375</v>
      </c>
      <c r="B108" s="45">
        <f>'Raw Data'!E108</f>
        <v>0.62908905623265421</v>
      </c>
      <c r="C108" s="45">
        <f t="shared" si="1"/>
        <v>0.37091094376734579</v>
      </c>
      <c r="D108" s="117">
        <f t="shared" si="2"/>
        <v>2.051970508945411E-2</v>
      </c>
      <c r="E108" s="108">
        <f>(2*Table!$AC$16*0.147)/A108</f>
        <v>2.2553961280967535E-2</v>
      </c>
      <c r="F108" s="108">
        <f t="shared" si="3"/>
        <v>4.510792256193507E-2</v>
      </c>
      <c r="G108" s="79">
        <f>IF((('Raw Data'!C108)/('Raw Data'!C$136)*100)&lt;0,0,('Raw Data'!C108)/('Raw Data'!C$136)*100)</f>
        <v>70.392451212475592</v>
      </c>
      <c r="H108" s="79">
        <f t="shared" si="4"/>
        <v>2.2960697298628503</v>
      </c>
      <c r="I108" s="96">
        <f t="shared" si="5"/>
        <v>3.8520836091344712E-2</v>
      </c>
      <c r="J108" s="108">
        <f>'Raw Data'!F108/I108</f>
        <v>0.53269106207340877</v>
      </c>
      <c r="K108" s="145">
        <f t="shared" si="6"/>
        <v>1.3558115956211527</v>
      </c>
      <c r="L108" s="79">
        <f>A108*Table!$AC$9/$AC$16</f>
        <v>912.4782890075594</v>
      </c>
      <c r="M108" s="79">
        <f>A108*Table!$AD$9/$AC$16</f>
        <v>312.84969908830607</v>
      </c>
      <c r="N108" s="79">
        <f>ABS(A108*Table!$AE$9/$AC$16)</f>
        <v>395.11468934115271</v>
      </c>
      <c r="O108" s="79">
        <f>($L108*(Table!$AC$10/Table!$AC$9)/(Table!$AC$12-Table!$AC$14))</f>
        <v>1957.2678871891023</v>
      </c>
      <c r="P108" s="79">
        <f>$N108*(Table!$AE$10/Table!$AE$9)/(Table!$AC$12-Table!$AC$13)</f>
        <v>3243.9629666761298</v>
      </c>
      <c r="Q108" s="79">
        <f>'Raw Data'!C108</f>
        <v>0.9938817053759702</v>
      </c>
      <c r="R108" s="79">
        <f>'Raw Data'!C108/'Raw Data'!I$30*100</f>
        <v>9.3522349208659996</v>
      </c>
      <c r="S108" s="52">
        <f t="shared" si="7"/>
        <v>0.82763712783932664</v>
      </c>
      <c r="T108" s="52">
        <f t="shared" si="8"/>
        <v>7.5003309302912324E-4</v>
      </c>
      <c r="U108" s="91">
        <f t="shared" si="9"/>
        <v>1.9310574852520511E-3</v>
      </c>
      <c r="V108" s="91">
        <f t="shared" si="10"/>
        <v>1.0262486124514603E-2</v>
      </c>
      <c r="W108" s="91">
        <f t="shared" si="11"/>
        <v>5.2625427760077988E-5</v>
      </c>
      <c r="X108" s="85">
        <f t="shared" si="12"/>
        <v>0.26907641156404977</v>
      </c>
      <c r="Z108" s="45"/>
      <c r="AS108" s="62"/>
      <c r="AT108" s="62"/>
    </row>
    <row r="109" spans="1:46" x14ac:dyDescent="0.2">
      <c r="A109" s="79">
        <f>'Raw Data'!A109</f>
        <v>5306.32373046875</v>
      </c>
      <c r="B109" s="45">
        <f>'Raw Data'!E109</f>
        <v>0.64865626442898927</v>
      </c>
      <c r="C109" s="45">
        <f t="shared" si="1"/>
        <v>0.35134373557101073</v>
      </c>
      <c r="D109" s="117">
        <f t="shared" si="2"/>
        <v>1.9567208196335062E-2</v>
      </c>
      <c r="E109" s="108">
        <f>(2*Table!$AC$16*0.147)/A109</f>
        <v>2.0584925212372193E-2</v>
      </c>
      <c r="F109" s="108">
        <f t="shared" si="3"/>
        <v>4.1169850424744386E-2</v>
      </c>
      <c r="G109" s="79">
        <f>IF((('Raw Data'!C109)/('Raw Data'!C$136)*100)&lt;0,0,('Raw Data'!C109)/('Raw Data'!C$136)*100)</f>
        <v>72.581940498099854</v>
      </c>
      <c r="H109" s="79">
        <f t="shared" si="4"/>
        <v>2.189489285624262</v>
      </c>
      <c r="I109" s="96">
        <f t="shared" si="5"/>
        <v>3.9673537042517859E-2</v>
      </c>
      <c r="J109" s="108">
        <f>'Raw Data'!F109/I109</f>
        <v>0.49320553837599651</v>
      </c>
      <c r="K109" s="145">
        <f t="shared" si="6"/>
        <v>1.4855007689582176</v>
      </c>
      <c r="L109" s="79">
        <f>A109*Table!$AC$9/$AC$16</f>
        <v>999.7607369314494</v>
      </c>
      <c r="M109" s="79">
        <f>A109*Table!$AD$9/$AC$16</f>
        <v>342.77510980506838</v>
      </c>
      <c r="N109" s="79">
        <f>ABS(A109*Table!$AE$9/$AC$16)</f>
        <v>432.90909794444326</v>
      </c>
      <c r="O109" s="79">
        <f>($L109*(Table!$AC$10/Table!$AC$9)/(Table!$AC$12-Table!$AC$14))</f>
        <v>2144.4889252068842</v>
      </c>
      <c r="P109" s="79">
        <f>$N109*(Table!$AE$10/Table!$AE$9)/(Table!$AC$12-Table!$AC$13)</f>
        <v>3554.2618878854119</v>
      </c>
      <c r="Q109" s="79">
        <f>'Raw Data'!C109</f>
        <v>1.0247954369994114</v>
      </c>
      <c r="R109" s="79">
        <f>'Raw Data'!C109/'Raw Data'!I$30*100</f>
        <v>9.643127165747055</v>
      </c>
      <c r="S109" s="52">
        <f t="shared" si="7"/>
        <v>0.7892193343349706</v>
      </c>
      <c r="T109" s="52">
        <f t="shared" si="8"/>
        <v>5.9479266504891548E-4</v>
      </c>
      <c r="U109" s="91">
        <f t="shared" si="9"/>
        <v>1.817289644500299E-3</v>
      </c>
      <c r="V109" s="91">
        <f t="shared" si="10"/>
        <v>9.2610267034137737E-3</v>
      </c>
      <c r="W109" s="91">
        <f t="shared" si="11"/>
        <v>4.1802890842120656E-5</v>
      </c>
      <c r="X109" s="85">
        <f t="shared" si="12"/>
        <v>0.26911821445489187</v>
      </c>
      <c r="Z109" s="45"/>
      <c r="AS109" s="62"/>
      <c r="AT109" s="62"/>
    </row>
    <row r="110" spans="1:46" x14ac:dyDescent="0.2">
      <c r="A110" s="79">
        <f>'Raw Data'!A110</f>
        <v>5805.294921875</v>
      </c>
      <c r="B110" s="45">
        <f>'Raw Data'!E110</f>
        <v>0.66753213487669394</v>
      </c>
      <c r="C110" s="45">
        <f t="shared" si="1"/>
        <v>0.33246786512330606</v>
      </c>
      <c r="D110" s="117">
        <f t="shared" si="2"/>
        <v>1.8875870447704668E-2</v>
      </c>
      <c r="E110" s="108">
        <f>(2*Table!$AC$16*0.147)/A110</f>
        <v>1.8815629285730714E-2</v>
      </c>
      <c r="F110" s="108">
        <f t="shared" si="3"/>
        <v>3.7631258571461428E-2</v>
      </c>
      <c r="G110" s="79">
        <f>IF((('Raw Data'!C110)/('Raw Data'!C$136)*100)&lt;0,0,('Raw Data'!C110)/('Raw Data'!C$136)*100)</f>
        <v>74.694071962506797</v>
      </c>
      <c r="H110" s="79">
        <f t="shared" si="4"/>
        <v>2.1121314644069429</v>
      </c>
      <c r="I110" s="96">
        <f t="shared" si="5"/>
        <v>3.9030545681083773E-2</v>
      </c>
      <c r="J110" s="108">
        <f>'Raw Data'!F110/I110</f>
        <v>0.48361789768296509</v>
      </c>
      <c r="K110" s="145">
        <f t="shared" si="6"/>
        <v>1.6251873252581861</v>
      </c>
      <c r="L110" s="79">
        <f>A110*Table!$AC$9/$AC$16</f>
        <v>1093.7715495706188</v>
      </c>
      <c r="M110" s="79">
        <f>A110*Table!$AD$9/$AC$16</f>
        <v>375.00738842421214</v>
      </c>
      <c r="N110" s="79">
        <f>ABS(A110*Table!$AE$9/$AC$16)</f>
        <v>473.6169739324132</v>
      </c>
      <c r="O110" s="79">
        <f>($L110*(Table!$AC$10/Table!$AC$9)/(Table!$AC$12-Table!$AC$14))</f>
        <v>2346.1423199712976</v>
      </c>
      <c r="P110" s="79">
        <f>$N110*(Table!$AE$10/Table!$AE$9)/(Table!$AC$12-Table!$AC$13)</f>
        <v>3888.4809025649679</v>
      </c>
      <c r="Q110" s="79">
        <f>'Raw Data'!C110</f>
        <v>1.0546169418009232</v>
      </c>
      <c r="R110" s="79">
        <f>'Raw Data'!C110/'Raw Data'!I$30*100</f>
        <v>9.9237417671517232</v>
      </c>
      <c r="S110" s="52">
        <f t="shared" si="7"/>
        <v>0.76133507449064031</v>
      </c>
      <c r="T110" s="52">
        <f t="shared" si="8"/>
        <v>4.696740691537693E-4</v>
      </c>
      <c r="U110" s="91">
        <f t="shared" si="9"/>
        <v>1.7094293917364913E-3</v>
      </c>
      <c r="V110" s="91">
        <f t="shared" si="10"/>
        <v>8.3507257087658826E-3</v>
      </c>
      <c r="W110" s="91">
        <f t="shared" si="11"/>
        <v>3.3691732717901801E-5</v>
      </c>
      <c r="X110" s="85">
        <f t="shared" si="12"/>
        <v>0.26915190618760976</v>
      </c>
      <c r="Z110" s="45"/>
      <c r="AS110" s="62"/>
      <c r="AT110" s="62"/>
    </row>
    <row r="111" spans="1:46" x14ac:dyDescent="0.2">
      <c r="A111" s="79">
        <f>'Raw Data'!A111</f>
        <v>6355.92578125</v>
      </c>
      <c r="B111" s="45">
        <f>'Raw Data'!E111</f>
        <v>0.68525353220778118</v>
      </c>
      <c r="C111" s="45">
        <f t="shared" si="1"/>
        <v>0.31474646779221882</v>
      </c>
      <c r="D111" s="117">
        <f t="shared" si="2"/>
        <v>1.7721397331087241E-2</v>
      </c>
      <c r="E111" s="108">
        <f>(2*Table!$AC$16*0.147)/A111</f>
        <v>1.7185580968639484E-2</v>
      </c>
      <c r="F111" s="108">
        <f t="shared" si="3"/>
        <v>3.4371161937278967E-2</v>
      </c>
      <c r="G111" s="79">
        <f>IF((('Raw Data'!C111)/('Raw Data'!C$136)*100)&lt;0,0,('Raw Data'!C111)/('Raw Data'!C$136)*100)</f>
        <v>76.677022682577984</v>
      </c>
      <c r="H111" s="79">
        <f t="shared" si="4"/>
        <v>1.9829507200711873</v>
      </c>
      <c r="I111" s="96">
        <f t="shared" si="5"/>
        <v>3.9354529507726221E-2</v>
      </c>
      <c r="J111" s="108">
        <f>'Raw Data'!F111/I111</f>
        <v>0.45030133895027541</v>
      </c>
      <c r="K111" s="145">
        <f t="shared" si="6"/>
        <v>1.7793359612181392</v>
      </c>
      <c r="L111" s="79">
        <f>A111*Table!$AC$9/$AC$16</f>
        <v>1197.5155240637312</v>
      </c>
      <c r="M111" s="79">
        <f>A111*Table!$AD$9/$AC$16</f>
        <v>410.57675110756497</v>
      </c>
      <c r="N111" s="79">
        <f>ABS(A111*Table!$AE$9/$AC$16)</f>
        <v>518.53943263271321</v>
      </c>
      <c r="O111" s="79">
        <f>($L111*(Table!$AC$10/Table!$AC$9)/(Table!$AC$12-Table!$AC$14))</f>
        <v>2568.6733677900716</v>
      </c>
      <c r="P111" s="79">
        <f>$N111*(Table!$AE$10/Table!$AE$9)/(Table!$AC$12-Table!$AC$13)</f>
        <v>4257.3024025674313</v>
      </c>
      <c r="Q111" s="79">
        <f>'Raw Data'!C111</f>
        <v>1.0826145240614424</v>
      </c>
      <c r="R111" s="79">
        <f>'Raw Data'!C111/'Raw Data'!I$30*100</f>
        <v>10.187193609660081</v>
      </c>
      <c r="S111" s="52">
        <f t="shared" si="7"/>
        <v>0.71477081782907526</v>
      </c>
      <c r="T111" s="52">
        <f t="shared" si="8"/>
        <v>3.7167910056579156E-4</v>
      </c>
      <c r="U111" s="91">
        <f t="shared" si="9"/>
        <v>1.6027867474022956E-3</v>
      </c>
      <c r="V111" s="91">
        <f t="shared" si="10"/>
        <v>7.4888956088978191E-3</v>
      </c>
      <c r="W111" s="91">
        <f t="shared" si="11"/>
        <v>2.6387926316979386E-5</v>
      </c>
      <c r="X111" s="85">
        <f t="shared" si="12"/>
        <v>0.26917829411392674</v>
      </c>
      <c r="Z111" s="45"/>
      <c r="AS111" s="62"/>
      <c r="AT111" s="62"/>
    </row>
    <row r="112" spans="1:46" x14ac:dyDescent="0.2">
      <c r="A112" s="79">
        <f>'Raw Data'!A112</f>
        <v>6945.337890625</v>
      </c>
      <c r="B112" s="45">
        <f>'Raw Data'!E112</f>
        <v>0.70287391241588348</v>
      </c>
      <c r="C112" s="45">
        <f t="shared" si="1"/>
        <v>0.29712608758411652</v>
      </c>
      <c r="D112" s="117">
        <f t="shared" si="2"/>
        <v>1.7620380208102304E-2</v>
      </c>
      <c r="E112" s="108">
        <f>(2*Table!$AC$16*0.147)/A112</f>
        <v>1.5727136514377068E-2</v>
      </c>
      <c r="F112" s="108">
        <f t="shared" si="3"/>
        <v>3.1454273028754136E-2</v>
      </c>
      <c r="G112" s="79">
        <f>IF((('Raw Data'!C112)/('Raw Data'!C$136)*100)&lt;0,0,('Raw Data'!C112)/('Raw Data'!C$136)*100)</f>
        <v>78.648670006363901</v>
      </c>
      <c r="H112" s="79">
        <f t="shared" si="4"/>
        <v>1.9716473237859162</v>
      </c>
      <c r="I112" s="96">
        <f t="shared" si="5"/>
        <v>3.8514561743211218E-2</v>
      </c>
      <c r="J112" s="108">
        <f>'Raw Data'!F112/I112</f>
        <v>0.45749917461304535</v>
      </c>
      <c r="K112" s="145">
        <f t="shared" si="6"/>
        <v>1.9443413747933302</v>
      </c>
      <c r="L112" s="79">
        <f>A112*Table!$AC$9/$AC$16</f>
        <v>1308.5662467027389</v>
      </c>
      <c r="M112" s="79">
        <f>A112*Table!$AD$9/$AC$16</f>
        <v>448.65128458379621</v>
      </c>
      <c r="N112" s="79">
        <f>ABS(A112*Table!$AE$9/$AC$16)</f>
        <v>566.62580608971348</v>
      </c>
      <c r="O112" s="79">
        <f>($L112*(Table!$AC$10/Table!$AC$9)/(Table!$AC$12-Table!$AC$14))</f>
        <v>2806.8774060547812</v>
      </c>
      <c r="P112" s="79">
        <f>$N112*(Table!$AE$10/Table!$AE$9)/(Table!$AC$12-Table!$AC$13)</f>
        <v>4652.1002142012585</v>
      </c>
      <c r="Q112" s="79">
        <f>'Raw Data'!C112</f>
        <v>1.110452511953772</v>
      </c>
      <c r="R112" s="79">
        <f>'Raw Data'!C112/'Raw Data'!I$30*100</f>
        <v>10.449143699982756</v>
      </c>
      <c r="S112" s="52">
        <f t="shared" si="7"/>
        <v>0.7106964161178726</v>
      </c>
      <c r="T112" s="52">
        <f t="shared" si="8"/>
        <v>2.9007876084463646E-4</v>
      </c>
      <c r="U112" s="91">
        <f t="shared" si="9"/>
        <v>1.5044831316396118E-3</v>
      </c>
      <c r="V112" s="91">
        <f t="shared" si="10"/>
        <v>6.7287572147233876E-3</v>
      </c>
      <c r="W112" s="91">
        <f t="shared" si="11"/>
        <v>2.1973207227156507E-5</v>
      </c>
      <c r="X112" s="85">
        <f t="shared" si="12"/>
        <v>0.26920026732115387</v>
      </c>
      <c r="Z112" s="45"/>
      <c r="AS112" s="62"/>
      <c r="AT112" s="62"/>
    </row>
    <row r="113" spans="1:46" x14ac:dyDescent="0.2">
      <c r="A113" s="79">
        <f>'Raw Data'!A113</f>
        <v>7603.8349609375</v>
      </c>
      <c r="B113" s="45">
        <f>'Raw Data'!E113</f>
        <v>0.71816399412121723</v>
      </c>
      <c r="C113" s="45">
        <f t="shared" si="1"/>
        <v>0.28183600587878277</v>
      </c>
      <c r="D113" s="117">
        <f t="shared" si="2"/>
        <v>1.5290081705333747E-2</v>
      </c>
      <c r="E113" s="108">
        <f>(2*Table!$AC$16*0.147)/A113</f>
        <v>1.4365156227807936E-2</v>
      </c>
      <c r="F113" s="108">
        <f t="shared" si="3"/>
        <v>2.8730312455615872E-2</v>
      </c>
      <c r="G113" s="79">
        <f>IF((('Raw Data'!C113)/('Raw Data'!C$136)*100)&lt;0,0,('Raw Data'!C113)/('Raw Data'!C$136)*100)</f>
        <v>80.359566611246848</v>
      </c>
      <c r="H113" s="79">
        <f t="shared" si="4"/>
        <v>1.7108966048829473</v>
      </c>
      <c r="I113" s="96">
        <f t="shared" si="5"/>
        <v>3.9339303048034013E-2</v>
      </c>
      <c r="J113" s="108">
        <f>'Raw Data'!F113/I113</f>
        <v>0.3886719011433496</v>
      </c>
      <c r="K113" s="145">
        <f t="shared" si="6"/>
        <v>2.1286870638226612</v>
      </c>
      <c r="L113" s="79">
        <f>A113*Table!$AC$9/$AC$16</f>
        <v>1432.6332184373618</v>
      </c>
      <c r="M113" s="79">
        <f>A113*Table!$AD$9/$AC$16</f>
        <v>491.18853203566692</v>
      </c>
      <c r="N113" s="79">
        <f>ABS(A113*Table!$AE$9/$AC$16)</f>
        <v>620.3483807361082</v>
      </c>
      <c r="O113" s="79">
        <f>($L113*(Table!$AC$10/Table!$AC$9)/(Table!$AC$12-Table!$AC$14))</f>
        <v>3073.0013265494681</v>
      </c>
      <c r="P113" s="79">
        <f>$N113*(Table!$AE$10/Table!$AE$9)/(Table!$AC$12-Table!$AC$13)</f>
        <v>5093.1722556330715</v>
      </c>
      <c r="Q113" s="79">
        <f>'Raw Data'!C113</f>
        <v>1.1346089208597552</v>
      </c>
      <c r="R113" s="79">
        <f>'Raw Data'!C113/'Raw Data'!I$30*100</f>
        <v>10.676450842987057</v>
      </c>
      <c r="S113" s="52">
        <f t="shared" si="7"/>
        <v>0.61670668520157124</v>
      </c>
      <c r="T113" s="52">
        <f t="shared" si="8"/>
        <v>2.3100319479985032E-4</v>
      </c>
      <c r="U113" s="91">
        <f t="shared" si="9"/>
        <v>1.4040876607441155E-3</v>
      </c>
      <c r="V113" s="91">
        <f t="shared" si="10"/>
        <v>5.9871001971667052E-3</v>
      </c>
      <c r="W113" s="91">
        <f t="shared" si="11"/>
        <v>1.5907772678388932E-5</v>
      </c>
      <c r="X113" s="85">
        <f t="shared" si="12"/>
        <v>0.26921617509383228</v>
      </c>
      <c r="Z113" s="45"/>
      <c r="AS113" s="62"/>
      <c r="AT113" s="62"/>
    </row>
    <row r="114" spans="1:46" x14ac:dyDescent="0.2">
      <c r="A114" s="79">
        <f>'Raw Data'!A114</f>
        <v>8315.7490234375</v>
      </c>
      <c r="B114" s="45">
        <f>'Raw Data'!E114</f>
        <v>0.73498122727799431</v>
      </c>
      <c r="C114" s="45">
        <f t="shared" si="1"/>
        <v>0.26501877272200569</v>
      </c>
      <c r="D114" s="117">
        <f t="shared" si="2"/>
        <v>1.6817233156777078E-2</v>
      </c>
      <c r="E114" s="108">
        <f>(2*Table!$AC$16*0.147)/A114</f>
        <v>1.3135350385933399E-2</v>
      </c>
      <c r="F114" s="108">
        <f t="shared" si="3"/>
        <v>2.6270700771866797E-2</v>
      </c>
      <c r="G114" s="79">
        <f>IF((('Raw Data'!C114)/('Raw Data'!C$136)*100)&lt;0,0,('Raw Data'!C114)/('Raw Data'!C$136)*100)</f>
        <v>82.241345117467517</v>
      </c>
      <c r="H114" s="79">
        <f t="shared" si="4"/>
        <v>1.8817785062206696</v>
      </c>
      <c r="I114" s="96">
        <f t="shared" si="5"/>
        <v>3.8868691412545342E-2</v>
      </c>
      <c r="J114" s="108">
        <f>'Raw Data'!F114/I114</f>
        <v>0.43266785028294297</v>
      </c>
      <c r="K114" s="145">
        <f t="shared" si="6"/>
        <v>2.3279867939170589</v>
      </c>
      <c r="L114" s="79">
        <f>A114*Table!$AC$9/$AC$16</f>
        <v>1566.7644482509618</v>
      </c>
      <c r="M114" s="79">
        <f>A114*Table!$AD$9/$AC$16</f>
        <v>537.1763822574726</v>
      </c>
      <c r="N114" s="79">
        <f>ABS(A114*Table!$AE$9/$AC$16)</f>
        <v>678.42890696582128</v>
      </c>
      <c r="O114" s="79">
        <f>($L114*(Table!$AC$10/Table!$AC$9)/(Table!$AC$12-Table!$AC$14))</f>
        <v>3360.7131022114154</v>
      </c>
      <c r="P114" s="79">
        <f>$N114*(Table!$AE$10/Table!$AE$9)/(Table!$AC$12-Table!$AC$13)</f>
        <v>5570.0238667144595</v>
      </c>
      <c r="Q114" s="79">
        <f>'Raw Data'!C114</f>
        <v>1.1611780372733485</v>
      </c>
      <c r="R114" s="79">
        <f>'Raw Data'!C114/'Raw Data'!I$30*100</f>
        <v>10.926461097724328</v>
      </c>
      <c r="S114" s="52">
        <f t="shared" si="7"/>
        <v>0.67830246523535931</v>
      </c>
      <c r="T114" s="52">
        <f t="shared" si="8"/>
        <v>1.7667625427730815E-4</v>
      </c>
      <c r="U114" s="91">
        <f t="shared" si="9"/>
        <v>1.3139479158075446E-3</v>
      </c>
      <c r="V114" s="91">
        <f t="shared" si="10"/>
        <v>5.351660416236817E-3</v>
      </c>
      <c r="W114" s="91">
        <f t="shared" si="11"/>
        <v>1.4629070494052776E-5</v>
      </c>
      <c r="X114" s="85">
        <f t="shared" si="12"/>
        <v>0.26923080416432632</v>
      </c>
      <c r="Z114" s="45"/>
      <c r="AS114" s="62"/>
      <c r="AT114" s="62"/>
    </row>
    <row r="115" spans="1:46" x14ac:dyDescent="0.2">
      <c r="A115" s="79">
        <f>'Raw Data'!A115</f>
        <v>9096.1240234375</v>
      </c>
      <c r="B115" s="45">
        <f>'Raw Data'!E115</f>
        <v>0.7492325326749999</v>
      </c>
      <c r="C115" s="45">
        <f t="shared" si="1"/>
        <v>0.2507674673250001</v>
      </c>
      <c r="D115" s="117">
        <f t="shared" si="2"/>
        <v>1.4251305397005587E-2</v>
      </c>
      <c r="E115" s="108">
        <f>(2*Table!$AC$16*0.147)/A115</f>
        <v>1.2008441932287554E-2</v>
      </c>
      <c r="F115" s="108">
        <f t="shared" si="3"/>
        <v>2.4016883864575109E-2</v>
      </c>
      <c r="G115" s="79">
        <f>IF((('Raw Data'!C115)/('Raw Data'!C$136)*100)&lt;0,0,('Raw Data'!C115)/('Raw Data'!C$136)*100)</f>
        <v>83.836006970084156</v>
      </c>
      <c r="H115" s="79">
        <f t="shared" si="4"/>
        <v>1.594661852616639</v>
      </c>
      <c r="I115" s="96">
        <f t="shared" si="5"/>
        <v>3.8954999748861407E-2</v>
      </c>
      <c r="J115" s="108">
        <f>'Raw Data'!F115/I115</f>
        <v>0.36584021278095707</v>
      </c>
      <c r="K115" s="145">
        <f t="shared" si="6"/>
        <v>2.5464521046404518</v>
      </c>
      <c r="L115" s="79">
        <f>A115*Table!$AC$9/$AC$16</f>
        <v>1713.7943553414511</v>
      </c>
      <c r="M115" s="79">
        <f>A115*Table!$AD$9/$AC$16</f>
        <v>587.58663611706902</v>
      </c>
      <c r="N115" s="79">
        <f>ABS(A115*Table!$AE$9/$AC$16)</f>
        <v>742.09472429403604</v>
      </c>
      <c r="O115" s="79">
        <f>($L115*(Table!$AC$10/Table!$AC$9)/(Table!$AC$12-Table!$AC$14))</f>
        <v>3676.0925682999814</v>
      </c>
      <c r="P115" s="79">
        <f>$N115*(Table!$AE$10/Table!$AE$9)/(Table!$AC$12-Table!$AC$13)</f>
        <v>6092.7317265520187</v>
      </c>
      <c r="Q115" s="79">
        <f>'Raw Data'!C115</f>
        <v>1.1836933100657772</v>
      </c>
      <c r="R115" s="79">
        <f>'Raw Data'!C115/'Raw Data'!I$30*100</f>
        <v>11.138325466816946</v>
      </c>
      <c r="S115" s="52">
        <f t="shared" si="7"/>
        <v>0.57480891734651052</v>
      </c>
      <c r="T115" s="52">
        <f t="shared" si="8"/>
        <v>1.3819888689581283E-4</v>
      </c>
      <c r="U115" s="91">
        <f t="shared" si="9"/>
        <v>1.2245133683442984E-3</v>
      </c>
      <c r="V115" s="91">
        <f t="shared" si="10"/>
        <v>4.7502801846057126E-3</v>
      </c>
      <c r="W115" s="91">
        <f t="shared" si="11"/>
        <v>1.0361123126670153E-5</v>
      </c>
      <c r="X115" s="85">
        <f t="shared" si="12"/>
        <v>0.26924116528745301</v>
      </c>
      <c r="Z115" s="45"/>
      <c r="AS115" s="62"/>
      <c r="AT115" s="62"/>
    </row>
    <row r="116" spans="1:46" x14ac:dyDescent="0.2">
      <c r="A116" s="79">
        <f>'Raw Data'!A116</f>
        <v>9955.2470703125</v>
      </c>
      <c r="B116" s="45">
        <f>'Raw Data'!E116</f>
        <v>0.7638158426542685</v>
      </c>
      <c r="C116" s="45">
        <f t="shared" si="1"/>
        <v>0.2361841573457315</v>
      </c>
      <c r="D116" s="117">
        <f t="shared" si="2"/>
        <v>1.4583309979268599E-2</v>
      </c>
      <c r="E116" s="108">
        <f>(2*Table!$AC$16*0.147)/A116</f>
        <v>1.0972131216117197E-2</v>
      </c>
      <c r="F116" s="108">
        <f t="shared" si="3"/>
        <v>2.1944262432234393E-2</v>
      </c>
      <c r="G116" s="79">
        <f>IF((('Raw Data'!C116)/('Raw Data'!C$136)*100)&lt;0,0,('Raw Data'!C116)/('Raw Data'!C$136)*100)</f>
        <v>85.467818755810754</v>
      </c>
      <c r="H116" s="79">
        <f t="shared" si="4"/>
        <v>1.6318117857265975</v>
      </c>
      <c r="I116" s="96">
        <f t="shared" si="5"/>
        <v>3.9195669641229003E-2</v>
      </c>
      <c r="J116" s="108">
        <f>'Raw Data'!F116/I116</f>
        <v>0.37206431508262228</v>
      </c>
      <c r="K116" s="145">
        <f t="shared" si="6"/>
        <v>2.7869628634233128</v>
      </c>
      <c r="L116" s="79">
        <f>A116*Table!$AC$9/$AC$16</f>
        <v>1875.661126779964</v>
      </c>
      <c r="M116" s="79">
        <f>A116*Table!$AD$9/$AC$16</f>
        <v>643.08381489598764</v>
      </c>
      <c r="N116" s="79">
        <f>ABS(A116*Table!$AE$9/$AC$16)</f>
        <v>812.18509234119688</v>
      </c>
      <c r="O116" s="79">
        <f>($L116*(Table!$AC$10/Table!$AC$9)/(Table!$AC$12-Table!$AC$14))</f>
        <v>4023.2971402401631</v>
      </c>
      <c r="P116" s="79">
        <f>$N116*(Table!$AE$10/Table!$AE$9)/(Table!$AC$12-Table!$AC$13)</f>
        <v>6668.1863082200061</v>
      </c>
      <c r="Q116" s="79">
        <f>'Raw Data'!C116</f>
        <v>1.2067331084037434</v>
      </c>
      <c r="R116" s="79">
        <f>'Raw Data'!C116/'Raw Data'!I$30*100</f>
        <v>11.355125520002881</v>
      </c>
      <c r="S116" s="52">
        <f t="shared" si="7"/>
        <v>0.58819991481434808</v>
      </c>
      <c r="T116" s="52">
        <f t="shared" si="8"/>
        <v>1.0532769353954752E-4</v>
      </c>
      <c r="U116" s="91">
        <f t="shared" si="9"/>
        <v>1.140617147902331E-3</v>
      </c>
      <c r="V116" s="91">
        <f t="shared" si="10"/>
        <v>4.2130485180335289E-3</v>
      </c>
      <c r="W116" s="91">
        <f t="shared" si="11"/>
        <v>8.8515016713143607E-6</v>
      </c>
      <c r="X116" s="85">
        <f t="shared" si="12"/>
        <v>0.2692500167891243</v>
      </c>
      <c r="Z116" s="45"/>
      <c r="AS116" s="62"/>
      <c r="AT116" s="62"/>
    </row>
    <row r="117" spans="1:46" x14ac:dyDescent="0.2">
      <c r="A117" s="79">
        <f>'Raw Data'!A117</f>
        <v>10895.119140625</v>
      </c>
      <c r="B117" s="45">
        <f>'Raw Data'!E117</f>
        <v>0.77714540306808144</v>
      </c>
      <c r="C117" s="45">
        <f t="shared" si="1"/>
        <v>0.22285459693191856</v>
      </c>
      <c r="D117" s="117">
        <f t="shared" si="2"/>
        <v>1.3329560413812946E-2</v>
      </c>
      <c r="E117" s="108">
        <f>(2*Table!$AC$16*0.147)/A117</f>
        <v>1.0025615666472559E-2</v>
      </c>
      <c r="F117" s="108">
        <f t="shared" si="3"/>
        <v>2.0051231332945119E-2</v>
      </c>
      <c r="G117" s="79">
        <f>IF((('Raw Data'!C117)/('Raw Data'!C$136)*100)&lt;0,0,('Raw Data'!C117)/('Raw Data'!C$136)*100)</f>
        <v>86.95934117511996</v>
      </c>
      <c r="H117" s="79">
        <f t="shared" si="4"/>
        <v>1.4915224193092058</v>
      </c>
      <c r="I117" s="96">
        <f t="shared" si="5"/>
        <v>3.91799408570912E-2</v>
      </c>
      <c r="J117" s="108">
        <f>'Raw Data'!F117/I117</f>
        <v>0.34021389829128396</v>
      </c>
      <c r="K117" s="145">
        <f t="shared" si="6"/>
        <v>3.0500792419350011</v>
      </c>
      <c r="L117" s="79">
        <f>A117*Table!$AC$9/$AC$16</f>
        <v>2052.7417651589394</v>
      </c>
      <c r="M117" s="79">
        <f>A117*Table!$AD$9/$AC$16</f>
        <v>703.79717662592202</v>
      </c>
      <c r="N117" s="79">
        <f>ABS(A117*Table!$AE$9/$AC$16)</f>
        <v>888.86325801847602</v>
      </c>
      <c r="O117" s="79">
        <f>($L117*(Table!$AC$10/Table!$AC$9)/(Table!$AC$12-Table!$AC$14))</f>
        <v>4403.1354894014157</v>
      </c>
      <c r="P117" s="79">
        <f>$N117*(Table!$AE$10/Table!$AE$9)/(Table!$AC$12-Table!$AC$13)</f>
        <v>7297.7278983454498</v>
      </c>
      <c r="Q117" s="79">
        <f>'Raw Data'!C117</f>
        <v>1.2277921398790788</v>
      </c>
      <c r="R117" s="79">
        <f>'Raw Data'!C117/'Raw Data'!I$30*100</f>
        <v>11.553286939513814</v>
      </c>
      <c r="S117" s="52">
        <f t="shared" si="7"/>
        <v>0.53763146439754317</v>
      </c>
      <c r="T117" s="52">
        <f t="shared" si="8"/>
        <v>8.0242623988424633E-5</v>
      </c>
      <c r="U117" s="91">
        <f t="shared" si="9"/>
        <v>1.0604094173174005E-3</v>
      </c>
      <c r="V117" s="91">
        <f t="shared" si="10"/>
        <v>3.724334779289976E-3</v>
      </c>
      <c r="W117" s="91">
        <f t="shared" si="11"/>
        <v>6.7548668723540975E-6</v>
      </c>
      <c r="X117" s="85">
        <f t="shared" si="12"/>
        <v>0.26925677165599665</v>
      </c>
      <c r="Z117" s="45"/>
      <c r="AS117" s="62"/>
      <c r="AT117" s="62"/>
    </row>
    <row r="118" spans="1:46" x14ac:dyDescent="0.2">
      <c r="A118" s="79">
        <f>'Raw Data'!A118</f>
        <v>11895.705078125</v>
      </c>
      <c r="B118" s="45">
        <f>'Raw Data'!E118</f>
        <v>0.78863356232448523</v>
      </c>
      <c r="C118" s="45">
        <f t="shared" si="1"/>
        <v>0.21136643767551477</v>
      </c>
      <c r="D118" s="117">
        <f t="shared" si="2"/>
        <v>1.1488159256403785E-2</v>
      </c>
      <c r="E118" s="108">
        <f>(2*Table!$AC$16*0.147)/A118</f>
        <v>9.182328952085277E-3</v>
      </c>
      <c r="F118" s="108">
        <f t="shared" si="3"/>
        <v>1.8364657904170554E-2</v>
      </c>
      <c r="G118" s="79">
        <f>IF((('Raw Data'!C118)/('Raw Data'!C$136)*100)&lt;0,0,('Raw Data'!C118)/('Raw Data'!C$136)*100)</f>
        <v>88.244818456858724</v>
      </c>
      <c r="H118" s="79">
        <f t="shared" si="4"/>
        <v>1.2854772817387641</v>
      </c>
      <c r="I118" s="96">
        <f t="shared" si="5"/>
        <v>3.8158204770852411E-2</v>
      </c>
      <c r="J118" s="108">
        <f>'Raw Data'!F118/I118</f>
        <v>0.30106655502774465</v>
      </c>
      <c r="K118" s="145">
        <f t="shared" si="6"/>
        <v>3.3301924153982649</v>
      </c>
      <c r="L118" s="79">
        <f>A118*Table!$AC$9/$AC$16</f>
        <v>2241.2614607241167</v>
      </c>
      <c r="M118" s="79">
        <f>A118*Table!$AD$9/$AC$16</f>
        <v>768.43250081969722</v>
      </c>
      <c r="N118" s="79">
        <f>ABS(A118*Table!$AE$9/$AC$16)</f>
        <v>970.49468075505206</v>
      </c>
      <c r="O118" s="79">
        <f>($L118*(Table!$AC$10/Table!$AC$9)/(Table!$AC$12-Table!$AC$14))</f>
        <v>4807.5106407638714</v>
      </c>
      <c r="P118" s="79">
        <f>$N118*(Table!$AE$10/Table!$AE$9)/(Table!$AC$12-Table!$AC$13)</f>
        <v>7967.9366236046953</v>
      </c>
      <c r="Q118" s="79">
        <f>'Raw Data'!C118</f>
        <v>1.2459419887760887</v>
      </c>
      <c r="R118" s="79">
        <f>'Raw Data'!C118/'Raw Data'!I$30*100</f>
        <v>11.724073512749758</v>
      </c>
      <c r="S118" s="52">
        <f t="shared" si="7"/>
        <v>0.46336080804676644</v>
      </c>
      <c r="T118" s="52">
        <f t="shared" si="8"/>
        <v>6.2106957524510342E-5</v>
      </c>
      <c r="U118" s="91">
        <f t="shared" si="9"/>
        <v>9.8557197204805834E-4</v>
      </c>
      <c r="V118" s="91">
        <f t="shared" si="10"/>
        <v>3.2907878570286146E-3</v>
      </c>
      <c r="W118" s="91">
        <f t="shared" si="11"/>
        <v>4.8835428722154119E-6</v>
      </c>
      <c r="X118" s="85">
        <f t="shared" si="12"/>
        <v>0.26926165519886885</v>
      </c>
      <c r="Z118" s="45"/>
      <c r="AS118" s="62"/>
      <c r="AT118" s="62"/>
    </row>
    <row r="119" spans="1:46" x14ac:dyDescent="0.2">
      <c r="A119" s="79">
        <f>'Raw Data'!A119</f>
        <v>12995.5126953125</v>
      </c>
      <c r="B119" s="45">
        <f>'Raw Data'!E119</f>
        <v>0.80048349169106192</v>
      </c>
      <c r="C119" s="45">
        <f t="shared" si="1"/>
        <v>0.19951650830893808</v>
      </c>
      <c r="D119" s="117">
        <f t="shared" si="2"/>
        <v>1.1849929366576695E-2</v>
      </c>
      <c r="E119" s="108">
        <f>(2*Table!$AC$16*0.147)/A119</f>
        <v>8.4052303056680912E-3</v>
      </c>
      <c r="F119" s="108">
        <f t="shared" si="3"/>
        <v>1.6810460611336182E-2</v>
      </c>
      <c r="G119" s="79">
        <f>IF((('Raw Data'!C119)/('Raw Data'!C$136)*100)&lt;0,0,('Raw Data'!C119)/('Raw Data'!C$136)*100)</f>
        <v>89.57077631058992</v>
      </c>
      <c r="H119" s="79">
        <f t="shared" si="4"/>
        <v>1.3259578537311967</v>
      </c>
      <c r="I119" s="96">
        <f t="shared" si="5"/>
        <v>3.8403229349997847E-2</v>
      </c>
      <c r="J119" s="108">
        <f>'Raw Data'!F119/I119</f>
        <v>0.3085659609138407</v>
      </c>
      <c r="K119" s="145">
        <f t="shared" si="6"/>
        <v>3.638082612835166</v>
      </c>
      <c r="L119" s="79">
        <f>A119*Table!$AC$9/$AC$16</f>
        <v>2448.4754434535621</v>
      </c>
      <c r="M119" s="79">
        <f>A119*Table!$AD$9/$AC$16</f>
        <v>839.47729489836411</v>
      </c>
      <c r="N119" s="79">
        <f>ABS(A119*Table!$AE$9/$AC$16)</f>
        <v>1060.2209672865768</v>
      </c>
      <c r="O119" s="79">
        <f>($L119*(Table!$AC$10/Table!$AC$9)/(Table!$AC$12-Table!$AC$14))</f>
        <v>5251.9850781929699</v>
      </c>
      <c r="P119" s="79">
        <f>$N119*(Table!$AE$10/Table!$AE$9)/(Table!$AC$12-Table!$AC$13)</f>
        <v>8704.6056427469339</v>
      </c>
      <c r="Q119" s="79">
        <f>'Raw Data'!C119</f>
        <v>1.2646633890146624</v>
      </c>
      <c r="R119" s="79">
        <f>'Raw Data'!C119/'Raw Data'!I$30*100</f>
        <v>11.900238273738555</v>
      </c>
      <c r="S119" s="52">
        <f t="shared" si="7"/>
        <v>0.47795236156161225</v>
      </c>
      <c r="T119" s="52">
        <f t="shared" si="8"/>
        <v>4.6432505187987694E-5</v>
      </c>
      <c r="U119" s="91">
        <f t="shared" si="9"/>
        <v>9.1571902954094213E-4</v>
      </c>
      <c r="V119" s="91">
        <f t="shared" si="10"/>
        <v>2.9061153100567363E-3</v>
      </c>
      <c r="W119" s="91">
        <f t="shared" si="11"/>
        <v>4.2207911209234204E-6</v>
      </c>
      <c r="X119" s="85">
        <f t="shared" si="12"/>
        <v>0.2692658759899898</v>
      </c>
      <c r="Z119" s="45"/>
      <c r="AS119" s="62"/>
      <c r="AT119" s="62"/>
    </row>
    <row r="120" spans="1:46" x14ac:dyDescent="0.2">
      <c r="A120" s="79">
        <f>'Raw Data'!A120</f>
        <v>14294.7763671875</v>
      </c>
      <c r="B120" s="45">
        <f>'Raw Data'!E120</f>
        <v>0.81010999994748234</v>
      </c>
      <c r="C120" s="45">
        <f t="shared" si="1"/>
        <v>0.18989000005251766</v>
      </c>
      <c r="D120" s="117">
        <f t="shared" si="2"/>
        <v>9.6265082564204185E-3</v>
      </c>
      <c r="E120" s="108">
        <f>(2*Table!$AC$16*0.147)/A120</f>
        <v>7.641272191922099E-3</v>
      </c>
      <c r="F120" s="108">
        <f t="shared" si="3"/>
        <v>1.5282544383844198E-2</v>
      </c>
      <c r="G120" s="79">
        <f>IF((('Raw Data'!C120)/('Raw Data'!C$136)*100)&lt;0,0,('Raw Data'!C120)/('Raw Data'!C$136)*100)</f>
        <v>90.6479425815224</v>
      </c>
      <c r="H120" s="79">
        <f t="shared" si="4"/>
        <v>1.0771662709324801</v>
      </c>
      <c r="I120" s="96">
        <f t="shared" si="5"/>
        <v>4.138394764352249E-2</v>
      </c>
      <c r="J120" s="108">
        <f>'Raw Data'!F120/I120</f>
        <v>0.23261454753766542</v>
      </c>
      <c r="K120" s="145">
        <f t="shared" si="6"/>
        <v>4.0018103614019296</v>
      </c>
      <c r="L120" s="79">
        <f>A120*Table!$AC$9/$AC$16</f>
        <v>2693.2688017259688</v>
      </c>
      <c r="M120" s="79">
        <f>A120*Table!$AD$9/$AC$16</f>
        <v>923.4064463060464</v>
      </c>
      <c r="N120" s="79">
        <f>ABS(A120*Table!$AE$9/$AC$16)</f>
        <v>1166.2196007573818</v>
      </c>
      <c r="O120" s="79">
        <f>($L120*(Table!$AC$10/Table!$AC$9)/(Table!$AC$12-Table!$AC$14))</f>
        <v>5777.0673567695612</v>
      </c>
      <c r="P120" s="79">
        <f>$N120*(Table!$AE$10/Table!$AE$9)/(Table!$AC$12-Table!$AC$13)</f>
        <v>9574.8735694366296</v>
      </c>
      <c r="Q120" s="79">
        <f>'Raw Data'!C120</f>
        <v>1.2798720631251346</v>
      </c>
      <c r="R120" s="79">
        <f>'Raw Data'!C120/'Raw Data'!I$30*100</f>
        <v>12.043348960198193</v>
      </c>
      <c r="S120" s="52">
        <f t="shared" si="7"/>
        <v>0.38827339914159131</v>
      </c>
      <c r="T120" s="52">
        <f t="shared" si="8"/>
        <v>3.5908585958144279E-5</v>
      </c>
      <c r="U120" s="91">
        <f t="shared" si="9"/>
        <v>8.424999909647222E-4</v>
      </c>
      <c r="V120" s="91">
        <f t="shared" si="10"/>
        <v>2.5241293390445264E-3</v>
      </c>
      <c r="W120" s="91">
        <f t="shared" si="11"/>
        <v>2.8338639136866273E-6</v>
      </c>
      <c r="X120" s="85">
        <f t="shared" si="12"/>
        <v>0.2692687098539035</v>
      </c>
      <c r="Z120" s="45"/>
      <c r="AS120" s="62"/>
      <c r="AT120" s="62"/>
    </row>
    <row r="121" spans="1:46" x14ac:dyDescent="0.2">
      <c r="A121" s="79">
        <f>'Raw Data'!A121</f>
        <v>15594.064453125</v>
      </c>
      <c r="B121" s="45">
        <f>'Raw Data'!E121</f>
        <v>0.82021786262795948</v>
      </c>
      <c r="C121" s="45">
        <f t="shared" si="1"/>
        <v>0.17978213737204052</v>
      </c>
      <c r="D121" s="117">
        <f t="shared" si="2"/>
        <v>1.0107862680477142E-2</v>
      </c>
      <c r="E121" s="108">
        <f>(2*Table!$AC$16*0.147)/A121</f>
        <v>7.0046059815050757E-3</v>
      </c>
      <c r="F121" s="108">
        <f t="shared" si="3"/>
        <v>1.4009211963010151E-2</v>
      </c>
      <c r="G121" s="79">
        <f>IF((('Raw Data'!C121)/('Raw Data'!C$136)*100)&lt;0,0,('Raw Data'!C121)/('Raw Data'!C$136)*100)</f>
        <v>91.778970412238237</v>
      </c>
      <c r="H121" s="79">
        <f t="shared" si="4"/>
        <v>1.131027830715837</v>
      </c>
      <c r="I121" s="96">
        <f t="shared" si="5"/>
        <v>3.7781959424701306E-2</v>
      </c>
      <c r="J121" s="108">
        <f>'Raw Data'!F121/I121</f>
        <v>0.26753145772182385</v>
      </c>
      <c r="K121" s="145">
        <f t="shared" si="6"/>
        <v>4.3655449446645127</v>
      </c>
      <c r="L121" s="79">
        <f>A121*Table!$AC$9/$AC$16</f>
        <v>2938.0667598347891</v>
      </c>
      <c r="M121" s="79">
        <f>A121*Table!$AD$9/$AC$16</f>
        <v>1007.337174800499</v>
      </c>
      <c r="N121" s="79">
        <f>ABS(A121*Table!$AE$9/$AC$16)</f>
        <v>1272.2202260157803</v>
      </c>
      <c r="O121" s="79">
        <f>($L121*(Table!$AC$10/Table!$AC$9)/(Table!$AC$12-Table!$AC$14))</f>
        <v>6302.1595020051245</v>
      </c>
      <c r="P121" s="79">
        <f>$N121*(Table!$AE$10/Table!$AE$9)/(Table!$AC$12-Table!$AC$13)</f>
        <v>10445.157849062234</v>
      </c>
      <c r="Q121" s="79">
        <f>'Raw Data'!C121</f>
        <v>1.2958412167752396</v>
      </c>
      <c r="R121" s="79">
        <f>'Raw Data'!C121/'Raw Data'!I$30*100</f>
        <v>12.193615612270927</v>
      </c>
      <c r="S121" s="52">
        <f t="shared" si="7"/>
        <v>0.40768823923126724</v>
      </c>
      <c r="T121" s="52">
        <f t="shared" si="8"/>
        <v>2.6623110788714932E-5</v>
      </c>
      <c r="U121" s="91">
        <f t="shared" si="9"/>
        <v>7.81939541735533E-4</v>
      </c>
      <c r="V121" s="91">
        <f t="shared" si="10"/>
        <v>2.2249934423692079E-3</v>
      </c>
      <c r="W121" s="91">
        <f t="shared" si="11"/>
        <v>2.5003777042901433E-6</v>
      </c>
      <c r="X121" s="85">
        <f t="shared" si="12"/>
        <v>0.26927121023160777</v>
      </c>
      <c r="Z121" s="45"/>
      <c r="AS121" s="62"/>
      <c r="AT121" s="62"/>
    </row>
    <row r="122" spans="1:46" x14ac:dyDescent="0.2">
      <c r="A122" s="79">
        <f>'Raw Data'!A122</f>
        <v>17093.576171875</v>
      </c>
      <c r="B122" s="45">
        <f>'Raw Data'!E122</f>
        <v>0.82770241332429295</v>
      </c>
      <c r="C122" s="45">
        <f t="shared" si="1"/>
        <v>0.17229758667570705</v>
      </c>
      <c r="D122" s="117">
        <f t="shared" si="2"/>
        <v>7.4845506963334696E-3</v>
      </c>
      <c r="E122" s="108">
        <f>(2*Table!$AC$16*0.147)/A122</f>
        <v>6.3901360397631496E-3</v>
      </c>
      <c r="F122" s="108">
        <f t="shared" si="3"/>
        <v>1.2780272079526299E-2</v>
      </c>
      <c r="G122" s="79">
        <f>IF((('Raw Data'!C122)/('Raw Data'!C$136)*100)&lt;0,0,('Raw Data'!C122)/('Raw Data'!C$136)*100)</f>
        <v>92.616460533102952</v>
      </c>
      <c r="H122" s="79">
        <f t="shared" si="4"/>
        <v>0.83749012086471453</v>
      </c>
      <c r="I122" s="96">
        <f t="shared" si="5"/>
        <v>3.9873606698210828E-2</v>
      </c>
      <c r="J122" s="108">
        <f>'Raw Data'!F122/I122</f>
        <v>0.18770688974743058</v>
      </c>
      <c r="K122" s="145">
        <f t="shared" si="6"/>
        <v>4.7853319618935215</v>
      </c>
      <c r="L122" s="79">
        <f>A122*Table!$AC$9/$AC$16</f>
        <v>3220.5887123434068</v>
      </c>
      <c r="M122" s="79">
        <f>A122*Table!$AD$9/$AC$16</f>
        <v>1104.2018442320252</v>
      </c>
      <c r="N122" s="79">
        <f>ABS(A122*Table!$AE$9/$AC$16)</f>
        <v>1394.5558200154021</v>
      </c>
      <c r="O122" s="79">
        <f>($L122*(Table!$AC$10/Table!$AC$9)/(Table!$AC$12-Table!$AC$14))</f>
        <v>6908.1696961463049</v>
      </c>
      <c r="P122" s="79">
        <f>$N122*(Table!$AE$10/Table!$AE$9)/(Table!$AC$12-Table!$AC$13)</f>
        <v>11449.555172540244</v>
      </c>
      <c r="Q122" s="79">
        <f>'Raw Data'!C122</f>
        <v>1.3076658669362078</v>
      </c>
      <c r="R122" s="79">
        <f>'Raw Data'!C122/'Raw Data'!I$30*100</f>
        <v>12.304883286848554</v>
      </c>
      <c r="S122" s="52">
        <f t="shared" si="7"/>
        <v>0.3018801690607561</v>
      </c>
      <c r="T122" s="52">
        <f t="shared" si="8"/>
        <v>2.090090699724545E-5</v>
      </c>
      <c r="U122" s="91">
        <f t="shared" si="9"/>
        <v>7.198542401615441E-4</v>
      </c>
      <c r="V122" s="91">
        <f t="shared" si="10"/>
        <v>1.934521045293417E-3</v>
      </c>
      <c r="W122" s="91">
        <f t="shared" si="11"/>
        <v>1.5408657627480184E-6</v>
      </c>
      <c r="X122" s="85">
        <f t="shared" si="12"/>
        <v>0.26927275109737053</v>
      </c>
      <c r="Z122" s="45"/>
      <c r="AS122" s="62"/>
      <c r="AT122" s="62"/>
    </row>
    <row r="123" spans="1:46" x14ac:dyDescent="0.2">
      <c r="A123" s="79">
        <f>'Raw Data'!A123</f>
        <v>18694.490234375</v>
      </c>
      <c r="B123" s="45">
        <f>'Raw Data'!E123</f>
        <v>0.83605254325134959</v>
      </c>
      <c r="C123" s="45">
        <f t="shared" si="1"/>
        <v>0.16394745674865041</v>
      </c>
      <c r="D123" s="117">
        <f t="shared" si="2"/>
        <v>8.3501299270566376E-3</v>
      </c>
      <c r="E123" s="108">
        <f>(2*Table!$AC$16*0.147)/A123</f>
        <v>5.8429128462398469E-3</v>
      </c>
      <c r="F123" s="108">
        <f t="shared" si="3"/>
        <v>1.1685825692479694E-2</v>
      </c>
      <c r="G123" s="79">
        <f>IF((('Raw Data'!C123)/('Raw Data'!C$136)*100)&lt;0,0,('Raw Data'!C123)/('Raw Data'!C$136)*100)</f>
        <v>93.550805372970572</v>
      </c>
      <c r="H123" s="79">
        <f t="shared" si="4"/>
        <v>0.93434483986762018</v>
      </c>
      <c r="I123" s="96">
        <f t="shared" si="5"/>
        <v>3.8880695605449489E-2</v>
      </c>
      <c r="J123" s="108">
        <f>'Raw Data'!F123/I123</f>
        <v>0.21476287388969167</v>
      </c>
      <c r="K123" s="145">
        <f t="shared" si="6"/>
        <v>5.233506478126758</v>
      </c>
      <c r="L123" s="79">
        <f>A123*Table!$AC$9/$AC$16</f>
        <v>3522.2158094047336</v>
      </c>
      <c r="M123" s="79">
        <f>A123*Table!$AD$9/$AC$16</f>
        <v>1207.6168489387658</v>
      </c>
      <c r="N123" s="79">
        <f>ABS(A123*Table!$AE$9/$AC$16)</f>
        <v>1525.1641842778342</v>
      </c>
      <c r="O123" s="79">
        <f>($L123*(Table!$AC$10/Table!$AC$9)/(Table!$AC$12-Table!$AC$14))</f>
        <v>7555.1604663336211</v>
      </c>
      <c r="P123" s="79">
        <f>$N123*(Table!$AE$10/Table!$AE$9)/(Table!$AC$12-Table!$AC$13)</f>
        <v>12521.873434136567</v>
      </c>
      <c r="Q123" s="79">
        <f>'Raw Data'!C123</f>
        <v>1.3208580235788832</v>
      </c>
      <c r="R123" s="79">
        <f>'Raw Data'!C123/'Raw Data'!I$30*100</f>
        <v>12.429018933342311</v>
      </c>
      <c r="S123" s="52">
        <f t="shared" si="7"/>
        <v>0.33679224529723556</v>
      </c>
      <c r="T123" s="52">
        <f t="shared" si="8"/>
        <v>1.5563510967320227E-5</v>
      </c>
      <c r="U123" s="91">
        <f t="shared" si="9"/>
        <v>6.6484931001157318E-4</v>
      </c>
      <c r="V123" s="91">
        <f t="shared" si="10"/>
        <v>1.6912112726207415E-3</v>
      </c>
      <c r="W123" s="91">
        <f t="shared" si="11"/>
        <v>1.437245352424665E-6</v>
      </c>
      <c r="X123" s="85">
        <f t="shared" si="12"/>
        <v>0.26927418834272293</v>
      </c>
      <c r="Z123" s="45"/>
      <c r="AS123" s="62"/>
      <c r="AT123" s="62"/>
    </row>
    <row r="124" spans="1:46" x14ac:dyDescent="0.2">
      <c r="A124" s="79">
        <f>'Raw Data'!A124</f>
        <v>20394.45703125</v>
      </c>
      <c r="B124" s="45">
        <f>'Raw Data'!E124</f>
        <v>0.8423970684264841</v>
      </c>
      <c r="C124" s="45">
        <f t="shared" si="1"/>
        <v>0.1576029315735159</v>
      </c>
      <c r="D124" s="117">
        <f t="shared" si="2"/>
        <v>6.3445251751345078E-3</v>
      </c>
      <c r="E124" s="108">
        <f>(2*Table!$AC$16*0.147)/A124</f>
        <v>5.3558806187859664E-3</v>
      </c>
      <c r="F124" s="108">
        <f t="shared" si="3"/>
        <v>1.0711761237571933E-2</v>
      </c>
      <c r="G124" s="79">
        <f>IF((('Raw Data'!C124)/('Raw Data'!C$136)*100)&lt;0,0,('Raw Data'!C124)/('Raw Data'!C$136)*100)</f>
        <v>94.260731375389867</v>
      </c>
      <c r="H124" s="79">
        <f t="shared" si="4"/>
        <v>0.70992600241929438</v>
      </c>
      <c r="I124" s="96">
        <f t="shared" si="5"/>
        <v>3.7798520222728449E-2</v>
      </c>
      <c r="J124" s="108">
        <f>'Raw Data'!F124/I124</f>
        <v>0.16785115231361653</v>
      </c>
      <c r="K124" s="145">
        <f t="shared" si="6"/>
        <v>5.7094107222385615</v>
      </c>
      <c r="L124" s="79">
        <f>A124*Table!$AC$9/$AC$16</f>
        <v>3842.5053627623479</v>
      </c>
      <c r="M124" s="79">
        <f>A124*Table!$AD$9/$AC$16</f>
        <v>1317.4304100899478</v>
      </c>
      <c r="N124" s="79">
        <f>ABS(A124*Table!$AE$9/$AC$16)</f>
        <v>1663.8536291650666</v>
      </c>
      <c r="O124" s="79">
        <f>($L124*(Table!$AC$10/Table!$AC$9)/(Table!$AC$12-Table!$AC$14))</f>
        <v>8242.1822453074819</v>
      </c>
      <c r="P124" s="79">
        <f>$N124*(Table!$AE$10/Table!$AE$9)/(Table!$AC$12-Table!$AC$13)</f>
        <v>13660.538827299395</v>
      </c>
      <c r="Q124" s="79">
        <f>'Raw Data'!C124</f>
        <v>1.3308815765852342</v>
      </c>
      <c r="R124" s="79">
        <f>'Raw Data'!C124/'Raw Data'!I$30*100</f>
        <v>12.523338631501646</v>
      </c>
      <c r="S124" s="52">
        <f t="shared" si="7"/>
        <v>0.25589863843371236</v>
      </c>
      <c r="T124" s="52">
        <f t="shared" si="8"/>
        <v>1.215599201731532E-5</v>
      </c>
      <c r="U124" s="91">
        <f t="shared" si="9"/>
        <v>6.1405599630882045E-4</v>
      </c>
      <c r="V124" s="91">
        <f t="shared" si="10"/>
        <v>1.4785383178292399E-3</v>
      </c>
      <c r="W124" s="91">
        <f t="shared" si="11"/>
        <v>9.1757118012702092E-7</v>
      </c>
      <c r="X124" s="85">
        <f t="shared" si="12"/>
        <v>0.26927510591390308</v>
      </c>
      <c r="Z124" s="45"/>
      <c r="AS124" s="62"/>
      <c r="AT124" s="62"/>
    </row>
    <row r="125" spans="1:46" x14ac:dyDescent="0.2">
      <c r="A125" s="79">
        <f>'Raw Data'!A125</f>
        <v>22295.658203125</v>
      </c>
      <c r="B125" s="45">
        <f>'Raw Data'!E125</f>
        <v>0.84998890267273086</v>
      </c>
      <c r="C125" s="45">
        <f t="shared" si="1"/>
        <v>0.15001109732726914</v>
      </c>
      <c r="D125" s="117">
        <f t="shared" si="2"/>
        <v>7.5918342462467647E-3</v>
      </c>
      <c r="E125" s="108">
        <f>(2*Table!$AC$16*0.147)/A125</f>
        <v>4.8991725720402878E-3</v>
      </c>
      <c r="F125" s="108">
        <f t="shared" si="3"/>
        <v>9.7983451440805756E-3</v>
      </c>
      <c r="G125" s="79">
        <f>IF((('Raw Data'!C125)/('Raw Data'!C$136)*100)&lt;0,0,('Raw Data'!C125)/('Raw Data'!C$136)*100)</f>
        <v>95.110226079673012</v>
      </c>
      <c r="H125" s="79">
        <f t="shared" si="4"/>
        <v>0.84949470428314555</v>
      </c>
      <c r="I125" s="96">
        <f t="shared" si="5"/>
        <v>3.8708150502083427E-2</v>
      </c>
      <c r="J125" s="108">
        <f>'Raw Data'!F125/I125</f>
        <v>0.19613012111850039</v>
      </c>
      <c r="K125" s="145">
        <f t="shared" si="6"/>
        <v>6.2416503567237127</v>
      </c>
      <c r="L125" s="79">
        <f>A125*Table!$AC$9/$AC$16</f>
        <v>4200.7093437472731</v>
      </c>
      <c r="M125" s="79">
        <f>A125*Table!$AD$9/$AC$16</f>
        <v>1440.2432035704937</v>
      </c>
      <c r="N125" s="79">
        <f>ABS(A125*Table!$AE$9/$AC$16)</f>
        <v>1818.9605027998982</v>
      </c>
      <c r="O125" s="79">
        <f>($L125*(Table!$AC$10/Table!$AC$9)/(Table!$AC$12-Table!$AC$14))</f>
        <v>9010.5305528684548</v>
      </c>
      <c r="P125" s="79">
        <f>$N125*(Table!$AE$10/Table!$AE$9)/(Table!$AC$12-Table!$AC$13)</f>
        <v>14933.994275861231</v>
      </c>
      <c r="Q125" s="79">
        <f>'Raw Data'!C125</f>
        <v>1.3428757212819764</v>
      </c>
      <c r="R125" s="79">
        <f>'Raw Data'!C125/'Raw Data'!I$30*100</f>
        <v>12.636201216930122</v>
      </c>
      <c r="S125" s="52">
        <f t="shared" si="7"/>
        <v>0.30620731941343249</v>
      </c>
      <c r="T125" s="52">
        <f t="shared" si="8"/>
        <v>8.7443019491928453E-6</v>
      </c>
      <c r="U125" s="91">
        <f t="shared" si="9"/>
        <v>5.6675614156836192E-4</v>
      </c>
      <c r="V125" s="91">
        <f t="shared" si="10"/>
        <v>1.2911179798273651E-3</v>
      </c>
      <c r="W125" s="91">
        <f t="shared" si="11"/>
        <v>9.1869437208517266E-7</v>
      </c>
      <c r="X125" s="85">
        <f t="shared" si="12"/>
        <v>0.26927602460827516</v>
      </c>
      <c r="Z125" s="45"/>
      <c r="AS125" s="62"/>
      <c r="AT125" s="62"/>
    </row>
    <row r="126" spans="1:46" x14ac:dyDescent="0.2">
      <c r="A126" s="79">
        <f>'Raw Data'!A126</f>
        <v>24396.892578125</v>
      </c>
      <c r="B126" s="45">
        <f>'Raw Data'!E126</f>
        <v>0.85287795757661666</v>
      </c>
      <c r="C126" s="45">
        <f t="shared" si="1"/>
        <v>0.14712204242338334</v>
      </c>
      <c r="D126" s="117">
        <f t="shared" si="2"/>
        <v>2.8890549038858016E-3</v>
      </c>
      <c r="E126" s="108">
        <f>(2*Table!$AC$16*0.147)/A126</f>
        <v>4.477220891740707E-3</v>
      </c>
      <c r="F126" s="108">
        <f t="shared" si="3"/>
        <v>8.9544417834814139E-3</v>
      </c>
      <c r="G126" s="79">
        <f>IF((('Raw Data'!C126)/('Raw Data'!C$136)*100)&lt;0,0,('Raw Data'!C126)/('Raw Data'!C$136)*100)</f>
        <v>95.433499317948417</v>
      </c>
      <c r="H126" s="79">
        <f t="shared" si="4"/>
        <v>0.32327323827540511</v>
      </c>
      <c r="I126" s="96">
        <f t="shared" si="5"/>
        <v>3.9114216021497672E-2</v>
      </c>
      <c r="J126" s="108">
        <f>'Raw Data'!F126/I126</f>
        <v>7.3862017387691992E-2</v>
      </c>
      <c r="K126" s="145">
        <f t="shared" si="6"/>
        <v>6.8298891145478997</v>
      </c>
      <c r="L126" s="79">
        <f>A126*Table!$AC$9/$AC$16</f>
        <v>4596.6014404079715</v>
      </c>
      <c r="M126" s="79">
        <f>A126*Table!$AD$9/$AC$16</f>
        <v>1575.9776367113047</v>
      </c>
      <c r="N126" s="79">
        <f>ABS(A126*Table!$AE$9/$AC$16)</f>
        <v>1990.386809232723</v>
      </c>
      <c r="O126" s="79">
        <f>($L126*(Table!$AC$10/Table!$AC$9)/(Table!$AC$12-Table!$AC$14))</f>
        <v>9859.7199493950502</v>
      </c>
      <c r="P126" s="79">
        <f>$N126*(Table!$AE$10/Table!$AE$9)/(Table!$AC$12-Table!$AC$13)</f>
        <v>16341.43521537539</v>
      </c>
      <c r="Q126" s="79">
        <f>'Raw Data'!C126</f>
        <v>1.3474400652112672</v>
      </c>
      <c r="R126" s="79">
        <f>'Raw Data'!C126/'Raw Data'!I$30*100</f>
        <v>12.679150811892438</v>
      </c>
      <c r="S126" s="52">
        <f t="shared" si="7"/>
        <v>0.1165264847812575</v>
      </c>
      <c r="T126" s="52">
        <f t="shared" si="8"/>
        <v>7.6600000538107338E-6</v>
      </c>
      <c r="U126" s="91">
        <f t="shared" si="9"/>
        <v>5.1970351434268112E-4</v>
      </c>
      <c r="V126" s="91">
        <f t="shared" si="10"/>
        <v>1.1151048531733996E-3</v>
      </c>
      <c r="W126" s="91">
        <f t="shared" si="11"/>
        <v>2.9197905703518683E-7</v>
      </c>
      <c r="X126" s="85">
        <f t="shared" si="12"/>
        <v>0.2692763165873322</v>
      </c>
      <c r="Z126" s="45"/>
      <c r="AS126" s="62"/>
      <c r="AT126" s="62"/>
    </row>
    <row r="127" spans="1:46" x14ac:dyDescent="0.2">
      <c r="A127" s="79">
        <f>'Raw Data'!A127</f>
        <v>26696.6328125</v>
      </c>
      <c r="B127" s="45">
        <f>'Raw Data'!E127</f>
        <v>0.8614132372104194</v>
      </c>
      <c r="C127" s="45">
        <f t="shared" si="1"/>
        <v>0.1385867627895806</v>
      </c>
      <c r="D127" s="117">
        <f t="shared" si="2"/>
        <v>8.5352796338027392E-3</v>
      </c>
      <c r="E127" s="108">
        <f>(2*Table!$AC$16*0.147)/A127</f>
        <v>4.0915376074390488E-3</v>
      </c>
      <c r="F127" s="108">
        <f t="shared" si="3"/>
        <v>8.1830752148780977E-3</v>
      </c>
      <c r="G127" s="79">
        <f>IF((('Raw Data'!C127)/('Raw Data'!C$136)*100)&lt;0,0,('Raw Data'!C127)/('Raw Data'!C$136)*100)</f>
        <v>96.388561640611186</v>
      </c>
      <c r="H127" s="79">
        <f t="shared" si="4"/>
        <v>0.95506232266276925</v>
      </c>
      <c r="I127" s="96">
        <f t="shared" si="5"/>
        <v>3.9121974255212244E-2</v>
      </c>
      <c r="J127" s="108">
        <f>'Raw Data'!F127/I127</f>
        <v>0.21817098437115756</v>
      </c>
      <c r="K127" s="145">
        <f t="shared" si="6"/>
        <v>7.4736994171406561</v>
      </c>
      <c r="L127" s="79">
        <f>A127*Table!$AC$9/$AC$16</f>
        <v>5029.8938869784242</v>
      </c>
      <c r="M127" s="79">
        <f>A127*Table!$AD$9/$AC$16</f>
        <v>1724.5350469640312</v>
      </c>
      <c r="N127" s="79">
        <f>ABS(A127*Table!$AE$9/$AC$16)</f>
        <v>2178.0079422316849</v>
      </c>
      <c r="O127" s="79">
        <f>($L127*(Table!$AC$10/Table!$AC$9)/(Table!$AC$12-Table!$AC$14))</f>
        <v>10789.133176701898</v>
      </c>
      <c r="P127" s="79">
        <f>$N127*(Table!$AE$10/Table!$AE$9)/(Table!$AC$12-Table!$AC$13)</f>
        <v>17881.838606171463</v>
      </c>
      <c r="Q127" s="79">
        <f>'Raw Data'!C127</f>
        <v>1.360924735138775</v>
      </c>
      <c r="R127" s="79">
        <f>'Raw Data'!C127/'Raw Data'!I$30*100</f>
        <v>12.806038951909748</v>
      </c>
      <c r="S127" s="52">
        <f t="shared" si="7"/>
        <v>0.34426003154677531</v>
      </c>
      <c r="T127" s="52">
        <f t="shared" si="8"/>
        <v>4.9847263098312666E-6</v>
      </c>
      <c r="U127" s="91">
        <f t="shared" si="9"/>
        <v>4.7968742132579567E-4</v>
      </c>
      <c r="V127" s="91">
        <f t="shared" si="10"/>
        <v>9.7380821107659007E-4</v>
      </c>
      <c r="W127" s="91">
        <f t="shared" si="11"/>
        <v>7.2039337781687066E-7</v>
      </c>
      <c r="X127" s="85">
        <f t="shared" si="12"/>
        <v>0.26927703698071004</v>
      </c>
      <c r="Z127" s="45"/>
      <c r="AS127" s="62"/>
      <c r="AT127" s="62"/>
    </row>
    <row r="128" spans="1:46" x14ac:dyDescent="0.2">
      <c r="A128" s="79">
        <f>'Raw Data'!A128</f>
        <v>29296.95703125</v>
      </c>
      <c r="B128" s="45">
        <f>'Raw Data'!E128</f>
        <v>0.86592587691348022</v>
      </c>
      <c r="C128" s="45">
        <f t="shared" si="1"/>
        <v>0.13407412308651978</v>
      </c>
      <c r="D128" s="117">
        <f t="shared" si="2"/>
        <v>4.5126397030608167E-3</v>
      </c>
      <c r="E128" s="108">
        <f>(2*Table!$AC$16*0.147)/A128</f>
        <v>3.7283830203875125E-3</v>
      </c>
      <c r="F128" s="108">
        <f t="shared" si="3"/>
        <v>7.4567660407750249E-3</v>
      </c>
      <c r="G128" s="79">
        <f>IF((('Raw Data'!C128)/('Raw Data'!C$136)*100)&lt;0,0,('Raw Data'!C128)/('Raw Data'!C$136)*100)</f>
        <v>96.893507271106657</v>
      </c>
      <c r="H128" s="79">
        <f t="shared" si="4"/>
        <v>0.50494563049547025</v>
      </c>
      <c r="I128" s="96">
        <f t="shared" si="5"/>
        <v>4.0366025890498758E-2</v>
      </c>
      <c r="J128" s="108">
        <f>'Raw Data'!F128/I128</f>
        <v>0.11179301413773778</v>
      </c>
      <c r="K128" s="145">
        <f t="shared" si="6"/>
        <v>8.2016579478864937</v>
      </c>
      <c r="L128" s="79">
        <f>A128*Table!$AC$9/$AC$16</f>
        <v>5519.8191514832615</v>
      </c>
      <c r="M128" s="79">
        <f>A128*Table!$AD$9/$AC$16</f>
        <v>1892.5094233656896</v>
      </c>
      <c r="N128" s="79">
        <f>ABS(A128*Table!$AE$9/$AC$16)</f>
        <v>2390.1518047401846</v>
      </c>
      <c r="O128" s="79">
        <f>($L128*(Table!$AC$10/Table!$AC$9)/(Table!$AC$12-Table!$AC$14))</f>
        <v>11840.023919955518</v>
      </c>
      <c r="P128" s="79">
        <f>$N128*(Table!$AE$10/Table!$AE$9)/(Table!$AC$12-Table!$AC$13)</f>
        <v>19623.578035633695</v>
      </c>
      <c r="Q128" s="79">
        <f>'Raw Data'!C128</f>
        <v>1.3680541391546139</v>
      </c>
      <c r="R128" s="79">
        <f>'Raw Data'!C128/'Raw Data'!I$30*100</f>
        <v>12.873125266952313</v>
      </c>
      <c r="S128" s="52">
        <f t="shared" si="7"/>
        <v>0.18201178557553646</v>
      </c>
      <c r="T128" s="52">
        <f t="shared" si="8"/>
        <v>3.8102369641634937E-6</v>
      </c>
      <c r="U128" s="91">
        <f t="shared" si="9"/>
        <v>4.3940144545459169E-4</v>
      </c>
      <c r="V128" s="91">
        <f t="shared" si="10"/>
        <v>8.3955984842303325E-4</v>
      </c>
      <c r="W128" s="91">
        <f t="shared" si="11"/>
        <v>3.1626458746264295E-7</v>
      </c>
      <c r="X128" s="85">
        <f t="shared" si="12"/>
        <v>0.2692773532452975</v>
      </c>
      <c r="Z128" s="45"/>
      <c r="AS128" s="62"/>
      <c r="AT128" s="62"/>
    </row>
    <row r="129" spans="1:46" x14ac:dyDescent="0.2">
      <c r="A129" s="79">
        <f>'Raw Data'!A129</f>
        <v>31997.15625</v>
      </c>
      <c r="B129" s="45">
        <f>'Raw Data'!E129</f>
        <v>0.87078299603018938</v>
      </c>
      <c r="C129" s="45">
        <f t="shared" si="1"/>
        <v>0.12921700396981062</v>
      </c>
      <c r="D129" s="117">
        <f t="shared" si="2"/>
        <v>4.8571191167091632E-3</v>
      </c>
      <c r="E129" s="108">
        <f>(2*Table!$AC$16*0.147)/A129</f>
        <v>3.4137495310801267E-3</v>
      </c>
      <c r="F129" s="108">
        <f t="shared" si="3"/>
        <v>6.8274990621602534E-3</v>
      </c>
      <c r="G129" s="79">
        <f>IF((('Raw Data'!C129)/('Raw Data'!C$136)*100)&lt;0,0,('Raw Data'!C129)/('Raw Data'!C$136)*100)</f>
        <v>97.436998716504945</v>
      </c>
      <c r="H129" s="79">
        <f t="shared" si="4"/>
        <v>0.54349144539828842</v>
      </c>
      <c r="I129" s="96">
        <f t="shared" si="5"/>
        <v>3.8288867973060192E-2</v>
      </c>
      <c r="J129" s="108">
        <f>'Raw Data'!F129/I129</f>
        <v>0.12685460223390782</v>
      </c>
      <c r="K129" s="145">
        <f t="shared" si="6"/>
        <v>8.9575763990660953</v>
      </c>
      <c r="L129" s="79">
        <f>A129*Table!$AC$9/$AC$16</f>
        <v>6028.5617947747878</v>
      </c>
      <c r="M129" s="79">
        <f>A129*Table!$AD$9/$AC$16</f>
        <v>2066.9354724942127</v>
      </c>
      <c r="N129" s="79">
        <f>ABS(A129*Table!$AE$9/$AC$16)</f>
        <v>2610.4438312796378</v>
      </c>
      <c r="O129" s="79">
        <f>($L129*(Table!$AC$10/Table!$AC$9)/(Table!$AC$12-Table!$AC$14))</f>
        <v>12931.277981069903</v>
      </c>
      <c r="P129" s="79">
        <f>$N129*(Table!$AE$10/Table!$AE$9)/(Table!$AC$12-Table!$AC$13)</f>
        <v>21432.215363543819</v>
      </c>
      <c r="Q129" s="79">
        <f>'Raw Data'!C129</f>
        <v>1.3757277773829411</v>
      </c>
      <c r="R129" s="79">
        <f>'Raw Data'!C129/'Raw Data'!I$30*100</f>
        <v>12.945332720838291</v>
      </c>
      <c r="S129" s="52">
        <f t="shared" si="7"/>
        <v>0.19590594006112988</v>
      </c>
      <c r="T129" s="52">
        <f t="shared" si="8"/>
        <v>2.750447885557783E-6</v>
      </c>
      <c r="U129" s="91">
        <f t="shared" si="9"/>
        <v>4.0457760119974069E-4</v>
      </c>
      <c r="V129" s="91">
        <f t="shared" si="10"/>
        <v>7.301515286585224E-4</v>
      </c>
      <c r="W129" s="91">
        <f t="shared" si="11"/>
        <v>2.8537828547080818E-7</v>
      </c>
      <c r="X129" s="85">
        <f t="shared" si="12"/>
        <v>0.26927763862358295</v>
      </c>
      <c r="Z129" s="45"/>
      <c r="AS129" s="62"/>
      <c r="AT129" s="62"/>
    </row>
    <row r="130" spans="1:46" x14ac:dyDescent="0.2">
      <c r="A130" s="79">
        <f>'Raw Data'!A130</f>
        <v>34997.28515625</v>
      </c>
      <c r="B130" s="45">
        <f>'Raw Data'!E130</f>
        <v>0.87634555235611766</v>
      </c>
      <c r="C130" s="45">
        <f t="shared" si="1"/>
        <v>0.12365444764388234</v>
      </c>
      <c r="D130" s="117">
        <f t="shared" si="2"/>
        <v>5.5625563259282806E-3</v>
      </c>
      <c r="E130" s="108">
        <f>(2*Table!$AC$16*0.147)/A130</f>
        <v>3.1211071560740228E-3</v>
      </c>
      <c r="F130" s="108">
        <f t="shared" si="3"/>
        <v>6.2422143121480455E-3</v>
      </c>
      <c r="G130" s="79">
        <f>IF((('Raw Data'!C130)/('Raw Data'!C$136)*100)&lt;0,0,('Raw Data'!C130)/('Raw Data'!C$136)*100)</f>
        <v>98.059425654170099</v>
      </c>
      <c r="H130" s="79">
        <f t="shared" si="4"/>
        <v>0.62242693766515345</v>
      </c>
      <c r="I130" s="96">
        <f t="shared" si="5"/>
        <v>3.8922974063388072E-2</v>
      </c>
      <c r="J130" s="108">
        <f>'Raw Data'!F130/I130</f>
        <v>0.14291190382495877</v>
      </c>
      <c r="K130" s="145">
        <f t="shared" si="6"/>
        <v>9.7974599085508167</v>
      </c>
      <c r="L130" s="79">
        <f>A130*Table!$AC$9/$AC$16</f>
        <v>6593.8139803848198</v>
      </c>
      <c r="M130" s="79">
        <f>A130*Table!$AD$9/$AC$16</f>
        <v>2260.736221846224</v>
      </c>
      <c r="N130" s="79">
        <f>ABS(A130*Table!$AE$9/$AC$16)</f>
        <v>2855.2052074211201</v>
      </c>
      <c r="O130" s="79">
        <f>($L130*(Table!$AC$10/Table!$AC$9)/(Table!$AC$12-Table!$AC$14))</f>
        <v>14143.745131670572</v>
      </c>
      <c r="P130" s="79">
        <f>$N130*(Table!$AE$10/Table!$AE$9)/(Table!$AC$12-Table!$AC$13)</f>
        <v>23441.750471437761</v>
      </c>
      <c r="Q130" s="79">
        <f>'Raw Data'!C130</f>
        <v>1.3845159178102622</v>
      </c>
      <c r="R130" s="79">
        <f>'Raw Data'!C130/'Raw Data'!I$30*100</f>
        <v>13.028027425197273</v>
      </c>
      <c r="S130" s="52">
        <f t="shared" si="7"/>
        <v>0.2243588843487728</v>
      </c>
      <c r="T130" s="52">
        <f t="shared" si="8"/>
        <v>1.7359079220735651E-6</v>
      </c>
      <c r="U130" s="91">
        <f t="shared" si="9"/>
        <v>3.7225822994646371E-4</v>
      </c>
      <c r="V130" s="91">
        <f t="shared" si="10"/>
        <v>6.3426481548735868E-4</v>
      </c>
      <c r="W130" s="91">
        <f t="shared" si="11"/>
        <v>2.731936770880474E-7</v>
      </c>
      <c r="X130" s="85">
        <f t="shared" si="12"/>
        <v>0.26927791181726002</v>
      </c>
      <c r="Z130" s="45"/>
      <c r="AS130" s="62"/>
      <c r="AT130" s="62"/>
    </row>
    <row r="131" spans="1:46" x14ac:dyDescent="0.2">
      <c r="A131" s="79">
        <f>'Raw Data'!A131</f>
        <v>38297.47265625</v>
      </c>
      <c r="B131" s="45">
        <f>'Raw Data'!E131</f>
        <v>0.87715310911528144</v>
      </c>
      <c r="C131" s="45">
        <f t="shared" si="1"/>
        <v>0.12284689088471856</v>
      </c>
      <c r="D131" s="117">
        <f t="shared" si="2"/>
        <v>8.0755675916377445E-4</v>
      </c>
      <c r="E131" s="108">
        <f>(2*Table!$AC$16*0.147)/A131</f>
        <v>2.8521536688533699E-3</v>
      </c>
      <c r="F131" s="108">
        <f t="shared" si="3"/>
        <v>5.7043073377067398E-3</v>
      </c>
      <c r="G131" s="79">
        <f>IF((('Raw Data'!C131)/('Raw Data'!C$136)*100)&lt;0,0,('Raw Data'!C131)/('Raw Data'!C$136)*100)</f>
        <v>98.149787899717921</v>
      </c>
      <c r="H131" s="79">
        <f t="shared" si="4"/>
        <v>9.0362245547822795E-2</v>
      </c>
      <c r="I131" s="96">
        <f t="shared" si="5"/>
        <v>3.9135758621625438E-2</v>
      </c>
      <c r="J131" s="108">
        <f>'Raw Data'!F131/I131</f>
        <v>2.0634754189165987E-2</v>
      </c>
      <c r="K131" s="145">
        <f t="shared" si="6"/>
        <v>10.721344563534583</v>
      </c>
      <c r="L131" s="79">
        <f>A131*Table!$AC$9/$AC$16</f>
        <v>7215.5999954496219</v>
      </c>
      <c r="M131" s="79">
        <f>A131*Table!$AD$9/$AC$16</f>
        <v>2473.9199984398706</v>
      </c>
      <c r="N131" s="79">
        <f>ABS(A131*Table!$AE$9/$AC$16)</f>
        <v>3124.4464498031261</v>
      </c>
      <c r="O131" s="79">
        <f>($L131*(Table!$AC$10/Table!$AC$9)/(Table!$AC$12-Table!$AC$14))</f>
        <v>15477.477467716908</v>
      </c>
      <c r="P131" s="79">
        <f>$N131*(Table!$AE$10/Table!$AE$9)/(Table!$AC$12-Table!$AC$13)</f>
        <v>25652.269702817124</v>
      </c>
      <c r="Q131" s="79">
        <f>'Raw Data'!C131</f>
        <v>1.3857917560735951</v>
      </c>
      <c r="R131" s="79">
        <f>'Raw Data'!C131/'Raw Data'!I$30*100</f>
        <v>13.040032816880384</v>
      </c>
      <c r="S131" s="52">
        <f t="shared" si="7"/>
        <v>3.2571811037627428E-2</v>
      </c>
      <c r="T131" s="52">
        <f t="shared" si="8"/>
        <v>1.6129104243312042E-6</v>
      </c>
      <c r="U131" s="91">
        <f t="shared" si="9"/>
        <v>3.4049329922955897E-4</v>
      </c>
      <c r="V131" s="91">
        <f t="shared" si="10"/>
        <v>5.454670067393968E-4</v>
      </c>
      <c r="W131" s="91">
        <f t="shared" si="11"/>
        <v>3.3120566866464694E-8</v>
      </c>
      <c r="X131" s="85">
        <f t="shared" si="12"/>
        <v>0.26927794493782686</v>
      </c>
      <c r="Z131" s="45"/>
      <c r="AS131" s="62"/>
      <c r="AT131" s="62"/>
    </row>
    <row r="132" spans="1:46" x14ac:dyDescent="0.2">
      <c r="A132" s="79">
        <f>'Raw Data'!A132</f>
        <v>41897.87890625</v>
      </c>
      <c r="B132" s="45">
        <f>'Raw Data'!E132</f>
        <v>0.88446353437446512</v>
      </c>
      <c r="C132" s="45">
        <f t="shared" si="1"/>
        <v>0.11553646562553488</v>
      </c>
      <c r="D132" s="117">
        <f t="shared" si="2"/>
        <v>7.3104252591836838E-3</v>
      </c>
      <c r="E132" s="108">
        <f>(2*Table!$AC$16*0.147)/A132</f>
        <v>2.6070598320441689E-3</v>
      </c>
      <c r="F132" s="108">
        <f t="shared" si="3"/>
        <v>5.2141196640883378E-3</v>
      </c>
      <c r="G132" s="79">
        <f>IF((('Raw Data'!C132)/('Raw Data'!C$136)*100)&lt;0,0,('Raw Data'!C132)/('Raw Data'!C$136)*100)</f>
        <v>98.967794107743927</v>
      </c>
      <c r="H132" s="79">
        <f t="shared" si="4"/>
        <v>0.81800620802600577</v>
      </c>
      <c r="I132" s="96">
        <f t="shared" si="5"/>
        <v>3.9021922462604941E-2</v>
      </c>
      <c r="J132" s="108">
        <f>'Raw Data'!F132/I132</f>
        <v>0.18734149416111751</v>
      </c>
      <c r="K132" s="145">
        <f t="shared" si="6"/>
        <v>11.729275199621972</v>
      </c>
      <c r="L132" s="79">
        <f>A132*Table!$AC$9/$AC$16</f>
        <v>7893.9500148960642</v>
      </c>
      <c r="M132" s="79">
        <f>A132*Table!$AD$9/$AC$16</f>
        <v>2706.497147964365</v>
      </c>
      <c r="N132" s="79">
        <f>ABS(A132*Table!$AE$9/$AC$16)</f>
        <v>3418.1806245522703</v>
      </c>
      <c r="O132" s="79">
        <f>($L132*(Table!$AC$10/Table!$AC$9)/(Table!$AC$12-Table!$AC$14))</f>
        <v>16932.539714491773</v>
      </c>
      <c r="P132" s="79">
        <f>$N132*(Table!$AE$10/Table!$AE$9)/(Table!$AC$12-Table!$AC$13)</f>
        <v>28063.880332941459</v>
      </c>
      <c r="Q132" s="79">
        <f>'Raw Data'!C132</f>
        <v>1.3973413099112222</v>
      </c>
      <c r="R132" s="79">
        <f>'Raw Data'!C132/'Raw Data'!I$30*100</f>
        <v>13.148711888178733</v>
      </c>
      <c r="S132" s="52">
        <f t="shared" si="7"/>
        <v>0.29485703319899947</v>
      </c>
      <c r="T132" s="52">
        <f t="shared" si="8"/>
        <v>6.8261257601953673E-7</v>
      </c>
      <c r="U132" s="91">
        <f t="shared" si="9"/>
        <v>3.1382762639607778E-4</v>
      </c>
      <c r="V132" s="91">
        <f t="shared" si="10"/>
        <v>4.75201352100367E-4</v>
      </c>
      <c r="W132" s="91">
        <f t="shared" si="11"/>
        <v>2.5050909679317752E-7</v>
      </c>
      <c r="X132" s="85">
        <f t="shared" si="12"/>
        <v>0.26927819544692366</v>
      </c>
      <c r="Z132" s="45"/>
      <c r="AS132" s="62"/>
      <c r="AT132" s="62"/>
    </row>
    <row r="133" spans="1:46" x14ac:dyDescent="0.2">
      <c r="A133" s="79">
        <f>'Raw Data'!A133</f>
        <v>45795.41796875</v>
      </c>
      <c r="B133" s="45">
        <f>'Raw Data'!E133</f>
        <v>0.885631526726956</v>
      </c>
      <c r="C133" s="45">
        <f t="shared" si="1"/>
        <v>0.114368473273044</v>
      </c>
      <c r="D133" s="117">
        <f t="shared" si="2"/>
        <v>1.1679923524908764E-3</v>
      </c>
      <c r="E133" s="108">
        <f>(2*Table!$AC$16*0.147)/A133</f>
        <v>2.3851791727039569E-3</v>
      </c>
      <c r="F133" s="108">
        <f t="shared" si="3"/>
        <v>4.7703583454079138E-3</v>
      </c>
      <c r="G133" s="79">
        <f>IF((('Raw Data'!C133)/('Raw Data'!C$136)*100)&lt;0,0,('Raw Data'!C133)/('Raw Data'!C$136)*100)</f>
        <v>99.098487598394726</v>
      </c>
      <c r="H133" s="79">
        <f t="shared" si="4"/>
        <v>0.13069349065079905</v>
      </c>
      <c r="I133" s="96">
        <f t="shared" si="5"/>
        <v>3.8629989897609018E-2</v>
      </c>
      <c r="J133" s="108">
        <f>'Raw Data'!F133/I133</f>
        <v>3.0235378150155007E-2</v>
      </c>
      <c r="K133" s="145">
        <f t="shared" si="6"/>
        <v>12.820387911261406</v>
      </c>
      <c r="L133" s="79">
        <f>A133*Table!$AC$9/$AC$16</f>
        <v>8628.2826194014997</v>
      </c>
      <c r="M133" s="79">
        <f>A133*Table!$AD$9/$AC$16</f>
        <v>2958.2683266519425</v>
      </c>
      <c r="N133" s="79">
        <f>ABS(A133*Table!$AE$9/$AC$16)</f>
        <v>3736.155969716719</v>
      </c>
      <c r="O133" s="79">
        <f>($L133*(Table!$AC$10/Table!$AC$9)/(Table!$AC$12-Table!$AC$14))</f>
        <v>18507.684726300944</v>
      </c>
      <c r="P133" s="79">
        <f>$N133*(Table!$AE$10/Table!$AE$9)/(Table!$AC$12-Table!$AC$13)</f>
        <v>30674.515350711972</v>
      </c>
      <c r="Q133" s="79">
        <f>'Raw Data'!C133</f>
        <v>1.399186591147096</v>
      </c>
      <c r="R133" s="79">
        <f>'Raw Data'!C133/'Raw Data'!I$30*100</f>
        <v>13.166075628269338</v>
      </c>
      <c r="S133" s="52">
        <f t="shared" si="7"/>
        <v>4.7109538452902E-2</v>
      </c>
      <c r="T133" s="52">
        <f t="shared" si="8"/>
        <v>5.5820140021367592E-7</v>
      </c>
      <c r="U133" s="91">
        <f t="shared" si="9"/>
        <v>2.8749766269746987E-4</v>
      </c>
      <c r="V133" s="91">
        <f t="shared" si="10"/>
        <v>4.0975430768933047E-4</v>
      </c>
      <c r="W133" s="91">
        <f t="shared" si="11"/>
        <v>3.3501239778070526E-8</v>
      </c>
      <c r="X133" s="85">
        <f t="shared" si="12"/>
        <v>0.26927822894816345</v>
      </c>
      <c r="Z133" s="45"/>
      <c r="AS133" s="62"/>
      <c r="AT133" s="62"/>
    </row>
    <row r="134" spans="1:46" x14ac:dyDescent="0.2">
      <c r="A134" s="79">
        <f>'Raw Data'!A134</f>
        <v>50091.86328125</v>
      </c>
      <c r="B134" s="45">
        <f>'Raw Data'!E134</f>
        <v>0.885631526726956</v>
      </c>
      <c r="C134" s="45">
        <f t="shared" si="1"/>
        <v>0.114368473273044</v>
      </c>
      <c r="D134" s="117">
        <f t="shared" si="2"/>
        <v>0</v>
      </c>
      <c r="E134" s="108">
        <f>(2*Table!$AC$16*0.147)/A134</f>
        <v>2.1805992029292568E-3</v>
      </c>
      <c r="F134" s="108">
        <f t="shared" si="3"/>
        <v>4.3611984058585136E-3</v>
      </c>
      <c r="G134" s="79">
        <f>IF((('Raw Data'!C134)/('Raw Data'!C$136)*100)&lt;0,0,('Raw Data'!C134)/('Raw Data'!C$136)*100)</f>
        <v>99.098487598394726</v>
      </c>
      <c r="H134" s="79">
        <f t="shared" si="4"/>
        <v>0</v>
      </c>
      <c r="I134" s="96">
        <f t="shared" si="5"/>
        <v>3.8945159444046862E-2</v>
      </c>
      <c r="J134" s="108">
        <f>'Raw Data'!F134/I134</f>
        <v>0</v>
      </c>
      <c r="K134" s="145">
        <f t="shared" si="6"/>
        <v>14.02317408483357</v>
      </c>
      <c r="L134" s="79">
        <f>A134*Table!$AC$9/$AC$16</f>
        <v>9437.7728710321171</v>
      </c>
      <c r="M134" s="79">
        <f>A134*Table!$AD$9/$AC$16</f>
        <v>3235.8078414967263</v>
      </c>
      <c r="N134" s="79">
        <f>ABS(A134*Table!$AE$9/$AC$16)</f>
        <v>4086.6755307307058</v>
      </c>
      <c r="O134" s="79">
        <f>($L134*(Table!$AC$10/Table!$AC$9)/(Table!$AC$12-Table!$AC$14))</f>
        <v>20244.043052406945</v>
      </c>
      <c r="P134" s="79">
        <f>$N134*(Table!$AE$10/Table!$AE$9)/(Table!$AC$12-Table!$AC$13)</f>
        <v>33552.344258872778</v>
      </c>
      <c r="Q134" s="79">
        <f>'Raw Data'!C134</f>
        <v>1.399186591147096</v>
      </c>
      <c r="R134" s="79">
        <f>'Raw Data'!C134/'Raw Data'!I$30*100</f>
        <v>13.166075628269338</v>
      </c>
      <c r="S134" s="52">
        <f t="shared" si="7"/>
        <v>0</v>
      </c>
      <c r="T134" s="52">
        <f t="shared" si="8"/>
        <v>5.5820140021367592E-7</v>
      </c>
      <c r="U134" s="91">
        <f t="shared" si="9"/>
        <v>2.6283860822557108E-4</v>
      </c>
      <c r="V134" s="91">
        <f t="shared" si="10"/>
        <v>3.5210100390308837E-4</v>
      </c>
      <c r="W134" s="91">
        <f t="shared" si="11"/>
        <v>0</v>
      </c>
      <c r="X134" s="85">
        <f t="shared" si="12"/>
        <v>0.26927822894816345</v>
      </c>
      <c r="Z134" s="45"/>
      <c r="AS134" s="62"/>
      <c r="AT134" s="62"/>
    </row>
    <row r="135" spans="1:46" x14ac:dyDescent="0.2">
      <c r="A135" s="79">
        <f>'Raw Data'!A135</f>
        <v>54784.29296875</v>
      </c>
      <c r="B135" s="45">
        <f>'Raw Data'!E135</f>
        <v>0.89001802557684673</v>
      </c>
      <c r="C135" s="45">
        <f t="shared" si="1"/>
        <v>0.10998197442315327</v>
      </c>
      <c r="D135" s="117">
        <f t="shared" si="2"/>
        <v>4.3864988498907298E-3</v>
      </c>
      <c r="E135" s="108">
        <f>(2*Table!$AC$16*0.147)/A135</f>
        <v>1.9938247118867092E-3</v>
      </c>
      <c r="F135" s="108">
        <f t="shared" si="3"/>
        <v>3.9876494237734185E-3</v>
      </c>
      <c r="G135" s="79">
        <f>IF((('Raw Data'!C135)/('Raw Data'!C$136)*100)&lt;0,0,('Raw Data'!C135)/('Raw Data'!C$136)*100)</f>
        <v>99.58931859159884</v>
      </c>
      <c r="H135" s="79">
        <f t="shared" si="4"/>
        <v>0.4908309932041135</v>
      </c>
      <c r="I135" s="96">
        <f t="shared" si="5"/>
        <v>3.8888874569199761E-2</v>
      </c>
      <c r="J135" s="108">
        <f>'Raw Data'!F135/I135</f>
        <v>0.11279572624518337</v>
      </c>
      <c r="K135" s="145">
        <f t="shared" si="6"/>
        <v>15.336815743942795</v>
      </c>
      <c r="L135" s="79">
        <f>A135*Table!$AC$9/$AC$16</f>
        <v>10321.87026136597</v>
      </c>
      <c r="M135" s="79">
        <f>A135*Table!$AD$9/$AC$16</f>
        <v>3538.9269467540466</v>
      </c>
      <c r="N135" s="79">
        <f>ABS(A135*Table!$AE$9/$AC$16)</f>
        <v>4469.5009304550267</v>
      </c>
      <c r="O135" s="79">
        <f>($L135*(Table!$AC$10/Table!$AC$9)/(Table!$AC$12-Table!$AC$14))</f>
        <v>22140.433851063859</v>
      </c>
      <c r="P135" s="79">
        <f>$N135*(Table!$AE$10/Table!$AE$9)/(Table!$AC$12-Table!$AC$13)</f>
        <v>36695.409938054399</v>
      </c>
      <c r="Q135" s="79">
        <f>'Raw Data'!C135</f>
        <v>1.4061167084561894</v>
      </c>
      <c r="R135" s="79">
        <f>'Raw Data'!C135/'Raw Data'!I$30*100</f>
        <v>13.231286693885327</v>
      </c>
      <c r="S135" s="52">
        <f t="shared" si="7"/>
        <v>0.17692404903323364</v>
      </c>
      <c r="T135" s="52">
        <f t="shared" si="8"/>
        <v>2.3171180374426115E-7</v>
      </c>
      <c r="U135" s="91">
        <f t="shared" si="9"/>
        <v>2.415160619382768E-4</v>
      </c>
      <c r="V135" s="91">
        <f t="shared" si="10"/>
        <v>3.0516492355120081E-4</v>
      </c>
      <c r="W135" s="91">
        <f t="shared" si="11"/>
        <v>8.7916589384905824E-8</v>
      </c>
      <c r="X135" s="85">
        <f t="shared" si="12"/>
        <v>0.26927831686475284</v>
      </c>
      <c r="AS135" s="62"/>
      <c r="AT135" s="62"/>
    </row>
    <row r="136" spans="1:46" x14ac:dyDescent="0.2">
      <c r="A136" s="79">
        <f>'Raw Data'!A136</f>
        <v>59484.4140625</v>
      </c>
      <c r="B136" s="45">
        <f>'Raw Data'!E136</f>
        <v>0.89368823701533684</v>
      </c>
      <c r="C136" s="45">
        <f t="shared" si="1"/>
        <v>0.10631176298466316</v>
      </c>
      <c r="D136" s="117">
        <f t="shared" si="2"/>
        <v>3.6702114384901119E-3</v>
      </c>
      <c r="E136" s="108">
        <f>(2*Table!$AC$16*0.147)/A136</f>
        <v>1.8362839891062439E-3</v>
      </c>
      <c r="F136" s="108">
        <f t="shared" si="3"/>
        <v>3.6725679782124879E-3</v>
      </c>
      <c r="G136" s="79">
        <f>IF((('Raw Data'!C136)/('Raw Data'!C$136)*100)&lt;0,0,('Raw Data'!C136)/('Raw Data'!C$136)*100)</f>
        <v>100</v>
      </c>
      <c r="H136" s="79">
        <f t="shared" si="4"/>
        <v>0.4106814084011603</v>
      </c>
      <c r="I136" s="96">
        <f t="shared" si="5"/>
        <v>3.5747126890850023E-2</v>
      </c>
      <c r="J136" s="108">
        <f>'Raw Data'!F136/I136</f>
        <v>0.10267150838993871</v>
      </c>
      <c r="K136" s="145">
        <f t="shared" si="6"/>
        <v>16.652610605622971</v>
      </c>
      <c r="L136" s="79">
        <f>A136*Table!$AC$9/$AC$16</f>
        <v>11207.416784163486</v>
      </c>
      <c r="M136" s="79">
        <f>A136*Table!$AD$9/$AC$16</f>
        <v>3842.542897427481</v>
      </c>
      <c r="N136" s="79">
        <f>ABS(A136*Table!$AE$9/$AC$16)</f>
        <v>4852.953822942839</v>
      </c>
      <c r="O136" s="79">
        <f>($L136*(Table!$AC$10/Table!$AC$9)/(Table!$AC$12-Table!$AC$14))</f>
        <v>24039.933041963723</v>
      </c>
      <c r="P136" s="79">
        <f>$N136*(Table!$AE$10/Table!$AE$9)/(Table!$AC$12-Table!$AC$13)</f>
        <v>39843.627446164515</v>
      </c>
      <c r="Q136" s="79">
        <f>'Raw Data'!C136</f>
        <v>1.4119151816094528</v>
      </c>
      <c r="R136" s="79">
        <f>'Raw Data'!C136/'Raw Data'!I$30*100</f>
        <v>13.285849206524736</v>
      </c>
      <c r="S136" s="52">
        <f t="shared" si="7"/>
        <v>0.1480334751534097</v>
      </c>
      <c r="T136" s="52">
        <f t="shared" si="8"/>
        <v>0</v>
      </c>
      <c r="U136" s="91">
        <f t="shared" si="9"/>
        <v>2.2335008953043321E-4</v>
      </c>
      <c r="V136" s="91">
        <f t="shared" si="10"/>
        <v>2.6736739398521562E-4</v>
      </c>
      <c r="W136" s="91">
        <f t="shared" si="11"/>
        <v>6.2394978961435093E-8</v>
      </c>
      <c r="X136" s="85">
        <f t="shared" si="12"/>
        <v>0.2692783792597318</v>
      </c>
      <c r="AS136" s="62"/>
      <c r="AT136" s="62"/>
    </row>
    <row r="137" spans="1:46" x14ac:dyDescent="0.2">
      <c r="A137" s="79"/>
      <c r="B137" s="45"/>
      <c r="C137" s="45"/>
      <c r="D137" s="112"/>
      <c r="E137" s="112"/>
      <c r="F137" s="112"/>
      <c r="G137" s="112"/>
      <c r="H137" s="112"/>
      <c r="I137" s="112"/>
      <c r="J137" s="108"/>
      <c r="K137" s="59"/>
      <c r="L137" s="79"/>
      <c r="M137" s="79"/>
      <c r="N137" s="79"/>
      <c r="O137" s="79"/>
      <c r="P137" s="79"/>
      <c r="Q137" s="79"/>
      <c r="AS137" s="62"/>
      <c r="AT137" s="62"/>
    </row>
    <row r="138" spans="1:46" x14ac:dyDescent="0.2">
      <c r="A138" s="79"/>
      <c r="B138" s="45"/>
      <c r="C138" s="45"/>
      <c r="D138" s="112"/>
      <c r="E138" s="112"/>
      <c r="F138" s="112"/>
      <c r="G138" s="112"/>
      <c r="H138" s="112"/>
      <c r="I138" s="112"/>
      <c r="J138" s="108"/>
      <c r="K138" s="59"/>
      <c r="L138" s="79"/>
      <c r="M138" s="79"/>
      <c r="N138" s="79"/>
      <c r="O138" s="79"/>
      <c r="P138" s="79"/>
      <c r="Q138" s="79"/>
      <c r="AS138" s="62"/>
      <c r="AT138" s="62"/>
    </row>
    <row r="139" spans="1:46" x14ac:dyDescent="0.2">
      <c r="A139" s="79"/>
      <c r="B139" s="45"/>
      <c r="C139" s="45"/>
      <c r="D139" s="112"/>
      <c r="E139" s="112"/>
      <c r="F139" s="112"/>
      <c r="G139" s="112"/>
      <c r="H139" s="112"/>
      <c r="I139" s="112"/>
      <c r="J139" s="108"/>
      <c r="K139" s="59"/>
      <c r="L139" s="79"/>
      <c r="M139" s="79"/>
      <c r="N139" s="79"/>
      <c r="O139" s="79"/>
      <c r="P139" s="79"/>
      <c r="Q139" s="79"/>
      <c r="AS139" s="62"/>
      <c r="AT139" s="62"/>
    </row>
    <row r="140" spans="1:46" x14ac:dyDescent="0.2">
      <c r="A140" s="79"/>
      <c r="B140" s="45"/>
      <c r="C140" s="45"/>
      <c r="D140" s="112"/>
      <c r="E140" s="112"/>
      <c r="F140" s="112"/>
      <c r="G140" s="112"/>
      <c r="H140" s="112"/>
      <c r="I140" s="112"/>
      <c r="J140" s="108"/>
      <c r="K140" s="59"/>
      <c r="L140" s="79"/>
      <c r="M140" s="79"/>
      <c r="N140" s="79"/>
      <c r="O140" s="79"/>
      <c r="P140" s="79"/>
      <c r="Q140" s="79"/>
      <c r="AS140" s="62"/>
      <c r="AT140" s="62"/>
    </row>
    <row r="141" spans="1:46" x14ac:dyDescent="0.2">
      <c r="A141" s="79"/>
      <c r="B141" s="45"/>
      <c r="C141" s="45"/>
      <c r="D141" s="112"/>
      <c r="E141" s="112"/>
      <c r="F141" s="112"/>
      <c r="G141" s="112"/>
      <c r="H141" s="112"/>
      <c r="I141" s="112"/>
      <c r="J141" s="108"/>
      <c r="K141" s="59"/>
      <c r="L141" s="79"/>
      <c r="M141" s="79"/>
      <c r="N141" s="79"/>
      <c r="O141" s="79"/>
      <c r="P141" s="79"/>
      <c r="Q141" s="79"/>
      <c r="AS141" s="62"/>
      <c r="AT141" s="62"/>
    </row>
    <row r="142" spans="1:46" x14ac:dyDescent="0.2">
      <c r="A142" s="79"/>
      <c r="B142" s="45"/>
      <c r="C142" s="45"/>
      <c r="D142" s="112"/>
      <c r="E142" s="112"/>
      <c r="F142" s="112"/>
      <c r="G142" s="112"/>
      <c r="H142" s="112"/>
      <c r="I142" s="112"/>
      <c r="J142" s="108"/>
      <c r="K142" s="59"/>
      <c r="L142" s="79"/>
      <c r="M142" s="79"/>
      <c r="N142" s="79"/>
      <c r="O142" s="79"/>
      <c r="P142" s="79"/>
      <c r="Q142" s="79"/>
      <c r="AS142" s="62"/>
      <c r="AT142" s="62"/>
    </row>
    <row r="143" spans="1:46" x14ac:dyDescent="0.2">
      <c r="J143" s="108"/>
      <c r="AS143" s="62"/>
      <c r="AT143" s="62"/>
    </row>
    <row r="144" spans="1:46" x14ac:dyDescent="0.2">
      <c r="J144" s="108"/>
      <c r="AS144" s="62"/>
      <c r="AT144" s="62"/>
    </row>
    <row r="145" spans="10:46" x14ac:dyDescent="0.2">
      <c r="J145" s="108"/>
      <c r="AS145" s="62"/>
      <c r="AT145" s="62"/>
    </row>
    <row r="146" spans="10:46" x14ac:dyDescent="0.2">
      <c r="J146" s="108"/>
      <c r="AS146" s="62"/>
      <c r="AT146" s="62"/>
    </row>
    <row r="147" spans="10:46" x14ac:dyDescent="0.2">
      <c r="J147" s="108"/>
      <c r="AS147" s="62"/>
      <c r="AT147" s="62"/>
    </row>
    <row r="148" spans="10:46" x14ac:dyDescent="0.2">
      <c r="J148" s="108"/>
      <c r="AS148" s="62"/>
      <c r="AT148" s="62"/>
    </row>
    <row r="149" spans="10:46" x14ac:dyDescent="0.2">
      <c r="J149" s="108"/>
      <c r="AS149" s="62"/>
      <c r="AT149" s="62"/>
    </row>
    <row r="150" spans="10:46" x14ac:dyDescent="0.2">
      <c r="J150" s="108"/>
      <c r="AS150" s="62"/>
      <c r="AT150" s="62"/>
    </row>
    <row r="151" spans="10:46" x14ac:dyDescent="0.2">
      <c r="J151" s="108"/>
      <c r="AS151" s="62"/>
      <c r="AT151" s="62"/>
    </row>
    <row r="152" spans="10:46" x14ac:dyDescent="0.2">
      <c r="J152" s="108"/>
      <c r="AS152" s="62"/>
      <c r="AT152" s="62"/>
    </row>
    <row r="153" spans="10:46" x14ac:dyDescent="0.2">
      <c r="J153" s="108"/>
      <c r="AS153" s="62"/>
      <c r="AT153" s="62"/>
    </row>
    <row r="154" spans="10:46" x14ac:dyDescent="0.2">
      <c r="J154" s="108"/>
      <c r="AS154" s="62"/>
      <c r="AT154" s="62"/>
    </row>
    <row r="155" spans="10:46" x14ac:dyDescent="0.2">
      <c r="J155" s="108"/>
      <c r="AS155" s="62"/>
      <c r="AT155" s="62"/>
    </row>
    <row r="156" spans="10:46" x14ac:dyDescent="0.2">
      <c r="J156" s="108"/>
      <c r="AS156" s="62"/>
      <c r="AT156" s="62"/>
    </row>
    <row r="157" spans="10:46" x14ac:dyDescent="0.2">
      <c r="J157" s="108"/>
      <c r="AS157" s="62"/>
      <c r="AT157" s="62"/>
    </row>
    <row r="158" spans="10:46" x14ac:dyDescent="0.2">
      <c r="J158" s="108"/>
      <c r="AS158" s="62"/>
      <c r="AT158" s="62"/>
    </row>
    <row r="159" spans="10:46" x14ac:dyDescent="0.2">
      <c r="J159" s="108"/>
      <c r="AS159" s="62"/>
      <c r="AT159" s="62"/>
    </row>
    <row r="160" spans="10:46" x14ac:dyDescent="0.2">
      <c r="J160" s="108"/>
      <c r="AS160" s="62"/>
      <c r="AT160" s="62"/>
    </row>
    <row r="161" spans="10:46" x14ac:dyDescent="0.2">
      <c r="J161" s="108"/>
      <c r="AS161" s="62"/>
      <c r="AT161" s="62"/>
    </row>
    <row r="162" spans="10:46" x14ac:dyDescent="0.2">
      <c r="J162" s="108"/>
    </row>
    <row r="163" spans="10:46" x14ac:dyDescent="0.2">
      <c r="J163" s="108"/>
    </row>
    <row r="164" spans="10:46" x14ac:dyDescent="0.2">
      <c r="J164" s="108"/>
    </row>
    <row r="165" spans="10:46" x14ac:dyDescent="0.2">
      <c r="J165" s="108"/>
    </row>
    <row r="166" spans="10:46" x14ac:dyDescent="0.2">
      <c r="J166" s="108"/>
    </row>
    <row r="167" spans="10:46" x14ac:dyDescent="0.2">
      <c r="J167" s="108"/>
    </row>
    <row r="168" spans="10:46" x14ac:dyDescent="0.2">
      <c r="J168" s="108"/>
    </row>
    <row r="169" spans="10:46" x14ac:dyDescent="0.2">
      <c r="J169" s="108"/>
    </row>
    <row r="170" spans="10:46" x14ac:dyDescent="0.2">
      <c r="J170" s="108"/>
    </row>
    <row r="171" spans="10:46" x14ac:dyDescent="0.2">
      <c r="J171" s="108"/>
    </row>
    <row r="172" spans="10:46" x14ac:dyDescent="0.2">
      <c r="J172" s="108"/>
    </row>
    <row r="173" spans="10:46" x14ac:dyDescent="0.2">
      <c r="J173" s="108"/>
    </row>
    <row r="174" spans="10:46" x14ac:dyDescent="0.2">
      <c r="J174" s="108"/>
    </row>
    <row r="175" spans="10:46" x14ac:dyDescent="0.2">
      <c r="J175" s="108"/>
    </row>
    <row r="176" spans="10:46" x14ac:dyDescent="0.2">
      <c r="J176" s="108"/>
    </row>
    <row r="177" spans="10:10" x14ac:dyDescent="0.2">
      <c r="J177" s="108"/>
    </row>
    <row r="178" spans="10:10" x14ac:dyDescent="0.2">
      <c r="J178" s="108"/>
    </row>
    <row r="179" spans="10:10" x14ac:dyDescent="0.2">
      <c r="J179" s="108"/>
    </row>
    <row r="180" spans="10:10" x14ac:dyDescent="0.2">
      <c r="J180" s="108"/>
    </row>
    <row r="181" spans="10:10" x14ac:dyDescent="0.2">
      <c r="J181" s="108"/>
    </row>
    <row r="182" spans="10:10" x14ac:dyDescent="0.2">
      <c r="J182" s="108"/>
    </row>
    <row r="183" spans="10:10" x14ac:dyDescent="0.2">
      <c r="J183" s="108"/>
    </row>
    <row r="184" spans="10:10" x14ac:dyDescent="0.2">
      <c r="J184" s="108"/>
    </row>
    <row r="185" spans="10:10" x14ac:dyDescent="0.2">
      <c r="J185" s="108"/>
    </row>
    <row r="186" spans="10:10" x14ac:dyDescent="0.2">
      <c r="J186" s="108"/>
    </row>
    <row r="187" spans="10:10" x14ac:dyDescent="0.2">
      <c r="J187" s="108"/>
    </row>
    <row r="188" spans="10:10" x14ac:dyDescent="0.2">
      <c r="J188" s="108"/>
    </row>
    <row r="189" spans="10:10" x14ac:dyDescent="0.2">
      <c r="J189" s="108"/>
    </row>
    <row r="190" spans="10:10" x14ac:dyDescent="0.2">
      <c r="J190" s="108"/>
    </row>
  </sheetData>
  <mergeCells count="3">
    <mergeCell ref="AR4:AT4"/>
    <mergeCell ref="AN4:AP4"/>
    <mergeCell ref="A5:P5"/>
  </mergeCells>
  <printOptions horizontalCentered="1"/>
  <pageMargins left="0.5" right="0.5" top="0.1" bottom="0.25" header="0" footer="0"/>
  <pageSetup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Raw Data</vt:lpstr>
      <vt:lpstr>Compilation</vt:lpstr>
      <vt:lpstr>Compilation 2</vt:lpstr>
      <vt:lpstr>Table</vt:lpstr>
      <vt:lpstr>Compilation!Print_Area</vt:lpstr>
      <vt:lpstr>'Compilation 2'!Print_Area</vt:lpstr>
      <vt:lpstr>'Raw Data'!Print_Area</vt:lpstr>
      <vt:lpstr>Table!Print_Area</vt:lpstr>
      <vt:lpstr>'Raw Data'!Print_Titles</vt:lpstr>
      <vt:lpstr>Table!Print_Titles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Morris, Kristi D</dc:creator>
  <cp:lastModifiedBy>Morris, Kristi D</cp:lastModifiedBy>
  <dcterms:created xsi:type="dcterms:W3CDTF">2015-12-04T15:26:09Z</dcterms:created>
  <dcterms:modified xsi:type="dcterms:W3CDTF">2015-12-04T21:39:03Z</dcterms:modified>
</cp:coreProperties>
</file>