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0" yWindow="60" windowWidth="12645" windowHeight="12510" tabRatio="835" activeTab="3"/>
  </bookViews>
  <sheets>
    <sheet name="Raw Data" sheetId="3" r:id="rId1"/>
    <sheet name="Compilation" sheetId="4" r:id="rId2"/>
    <sheet name="Compilation 2" sheetId="5" r:id="rId3"/>
    <sheet name="Table" sheetId="6" r:id="rId4"/>
  </sheets>
  <definedNames>
    <definedName name="_xlnm.Print_Area" localSheetId="1">Compilation!$A$1:$O$44</definedName>
    <definedName name="_xlnm.Print_Area" localSheetId="2">'Compilation 2'!$A$1:$O$54</definedName>
    <definedName name="_xlnm.Print_Area" localSheetId="0">'Raw Data'!$A$1:$M$162</definedName>
    <definedName name="_xlnm.Print_Area" localSheetId="3">Table!$A$1:$X$138</definedName>
    <definedName name="_xlnm.Print_Titles" localSheetId="0">'Raw Data'!$1:$17</definedName>
    <definedName name="_xlnm.Print_Titles" localSheetId="3">Table!$1:$16</definedName>
  </definedNames>
  <calcPr calcId="145621"/>
</workbook>
</file>

<file path=xl/calcChain.xml><?xml version="1.0" encoding="utf-8"?>
<calcChain xmlns="http://schemas.openxmlformats.org/spreadsheetml/2006/main">
  <c r="B19" i="6" l="1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8" i="6"/>
  <c r="O3" i="5" l="1"/>
  <c r="A37" i="6"/>
  <c r="AC16" i="6"/>
  <c r="AE10" i="6"/>
  <c r="AC10" i="6"/>
  <c r="C5" i="4"/>
  <c r="AE9" i="6"/>
  <c r="AD9" i="6"/>
  <c r="AC9" i="6"/>
  <c r="C4" i="5"/>
  <c r="K3" i="5"/>
  <c r="K6" i="5"/>
  <c r="K5" i="5"/>
  <c r="K4" i="5"/>
  <c r="K2" i="5"/>
  <c r="K6" i="4"/>
  <c r="K5" i="4"/>
  <c r="K4" i="4"/>
  <c r="K2" i="4"/>
  <c r="I11" i="3"/>
  <c r="I10" i="3"/>
  <c r="I9" i="3"/>
  <c r="I7" i="3"/>
  <c r="O3" i="4" l="1"/>
  <c r="M7" i="3"/>
  <c r="C4" i="4"/>
  <c r="C3" i="4"/>
  <c r="K3" i="4"/>
  <c r="I8" i="3"/>
  <c r="C3" i="5"/>
  <c r="A9" i="3"/>
  <c r="C2" i="5"/>
  <c r="A7" i="3"/>
  <c r="C2" i="4"/>
  <c r="H23" i="3"/>
  <c r="K23" i="3" s="1"/>
  <c r="M8" i="3"/>
  <c r="A10" i="3"/>
  <c r="A135" i="6"/>
  <c r="A103" i="6"/>
  <c r="A58" i="6"/>
  <c r="A118" i="6"/>
  <c r="E118" i="6" s="1"/>
  <c r="A44" i="6"/>
  <c r="A76" i="6"/>
  <c r="A102" i="6"/>
  <c r="A54" i="6"/>
  <c r="E54" i="6" s="1"/>
  <c r="A70" i="6"/>
  <c r="E70" i="6" s="1"/>
  <c r="A86" i="6"/>
  <c r="E86" i="6" s="1"/>
  <c r="A124" i="6"/>
  <c r="A60" i="6"/>
  <c r="E60" i="6" s="1"/>
  <c r="A18" i="6"/>
  <c r="A25" i="6"/>
  <c r="E25" i="6" s="1"/>
  <c r="A87" i="6"/>
  <c r="A125" i="6"/>
  <c r="A90" i="6"/>
  <c r="A24" i="6"/>
  <c r="A74" i="6"/>
  <c r="A26" i="6"/>
  <c r="E26" i="6" s="1"/>
  <c r="A29" i="6"/>
  <c r="A41" i="6"/>
  <c r="A50" i="6"/>
  <c r="A66" i="6"/>
  <c r="E66" i="6" s="1"/>
  <c r="A109" i="6"/>
  <c r="A126" i="6"/>
  <c r="A132" i="6"/>
  <c r="A52" i="6"/>
  <c r="E52" i="6" s="1"/>
  <c r="A68" i="6"/>
  <c r="E68" i="6" s="1"/>
  <c r="A78" i="6"/>
  <c r="A22" i="6"/>
  <c r="A34" i="6"/>
  <c r="A38" i="6"/>
  <c r="E38" i="6" s="1"/>
  <c r="A46" i="6"/>
  <c r="A99" i="6"/>
  <c r="A110" i="6"/>
  <c r="E110" i="6" s="1"/>
  <c r="A122" i="6"/>
  <c r="A97" i="6"/>
  <c r="A84" i="6"/>
  <c r="A32" i="6"/>
  <c r="A42" i="6"/>
  <c r="E42" i="6" s="1"/>
  <c r="A62" i="6"/>
  <c r="A77" i="6"/>
  <c r="A94" i="6"/>
  <c r="E94" i="6" s="1"/>
  <c r="A100" i="6"/>
  <c r="E100" i="6" s="1"/>
  <c r="A91" i="6"/>
  <c r="A113" i="6"/>
  <c r="A134" i="6"/>
  <c r="E134" i="6" s="1"/>
  <c r="A20" i="6"/>
  <c r="A28" i="6"/>
  <c r="A36" i="6"/>
  <c r="A45" i="6"/>
  <c r="A75" i="6"/>
  <c r="A82" i="6"/>
  <c r="A98" i="6"/>
  <c r="A107" i="6"/>
  <c r="A114" i="6"/>
  <c r="E114" i="6" s="1"/>
  <c r="A123" i="6"/>
  <c r="E123" i="6" s="1"/>
  <c r="A130" i="6"/>
  <c r="L37" i="6"/>
  <c r="O37" i="6" s="1"/>
  <c r="N37" i="6"/>
  <c r="P37" i="6" s="1"/>
  <c r="M37" i="6"/>
  <c r="A23" i="6"/>
  <c r="A31" i="6"/>
  <c r="A43" i="6"/>
  <c r="A116" i="6"/>
  <c r="A85" i="6"/>
  <c r="A88" i="6"/>
  <c r="A117" i="6"/>
  <c r="E117" i="6" s="1"/>
  <c r="A33" i="6"/>
  <c r="A47" i="6"/>
  <c r="A49" i="6"/>
  <c r="E49" i="6" s="1"/>
  <c r="A51" i="6"/>
  <c r="A53" i="6"/>
  <c r="A55" i="6"/>
  <c r="A57" i="6"/>
  <c r="A59" i="6"/>
  <c r="A61" i="6"/>
  <c r="A63" i="6"/>
  <c r="E63" i="6" s="1"/>
  <c r="A65" i="6"/>
  <c r="A67" i="6"/>
  <c r="A69" i="6"/>
  <c r="A71" i="6"/>
  <c r="A73" i="6"/>
  <c r="A80" i="6"/>
  <c r="A89" i="6"/>
  <c r="A105" i="6"/>
  <c r="E105" i="6" s="1"/>
  <c r="A112" i="6"/>
  <c r="A119" i="6"/>
  <c r="A128" i="6"/>
  <c r="A133" i="6"/>
  <c r="E133" i="6" s="1"/>
  <c r="A106" i="6"/>
  <c r="A121" i="6"/>
  <c r="A30" i="6"/>
  <c r="E30" i="6" s="1"/>
  <c r="A21" i="6"/>
  <c r="A64" i="6"/>
  <c r="E64" i="6" s="1"/>
  <c r="A19" i="6"/>
  <c r="A27" i="6"/>
  <c r="A92" i="6"/>
  <c r="A108" i="6"/>
  <c r="A35" i="6"/>
  <c r="A72" i="6"/>
  <c r="E72" i="6" s="1"/>
  <c r="A136" i="6"/>
  <c r="A83" i="6"/>
  <c r="E83" i="6" s="1"/>
  <c r="A115" i="6"/>
  <c r="A131" i="6"/>
  <c r="E131" i="6" s="1"/>
  <c r="A93" i="6"/>
  <c r="E93" i="6" s="1"/>
  <c r="A96" i="6"/>
  <c r="A40" i="6"/>
  <c r="A101" i="6"/>
  <c r="A48" i="6"/>
  <c r="E48" i="6" s="1"/>
  <c r="A56" i="6"/>
  <c r="A39" i="6"/>
  <c r="E39" i="6" s="1"/>
  <c r="A79" i="6"/>
  <c r="A95" i="6"/>
  <c r="A104" i="6"/>
  <c r="A111" i="6"/>
  <c r="A127" i="6"/>
  <c r="A129" i="6"/>
  <c r="A81" i="6"/>
  <c r="A120" i="6"/>
  <c r="E120" i="6" s="1"/>
  <c r="C5" i="5"/>
  <c r="E129" i="6"/>
  <c r="E128" i="6"/>
  <c r="E127" i="6"/>
  <c r="E125" i="6"/>
  <c r="E124" i="6"/>
  <c r="E122" i="6"/>
  <c r="E121" i="6"/>
  <c r="E119" i="6"/>
  <c r="E135" i="6"/>
  <c r="E136" i="6"/>
  <c r="E108" i="6"/>
  <c r="E103" i="6"/>
  <c r="E102" i="6"/>
  <c r="E101" i="6"/>
  <c r="E130" i="6"/>
  <c r="E99" i="6"/>
  <c r="E132" i="6"/>
  <c r="E98" i="6"/>
  <c r="E71" i="6"/>
  <c r="E69" i="6"/>
  <c r="E65" i="6"/>
  <c r="E61" i="6"/>
  <c r="E59" i="6"/>
  <c r="E58" i="6"/>
  <c r="E57" i="6"/>
  <c r="E55" i="6"/>
  <c r="E53" i="6"/>
  <c r="E85" i="6"/>
  <c r="E82" i="6"/>
  <c r="E80" i="6"/>
  <c r="E74" i="6"/>
  <c r="E84" i="6"/>
  <c r="E97" i="6"/>
  <c r="E89" i="6"/>
  <c r="E79" i="6"/>
  <c r="E75" i="6"/>
  <c r="E67" i="6"/>
  <c r="E95" i="6"/>
  <c r="E87" i="6"/>
  <c r="E31" i="6"/>
  <c r="E43" i="6"/>
  <c r="E45" i="6"/>
  <c r="E47" i="6"/>
  <c r="E51" i="6"/>
  <c r="E20" i="6"/>
  <c r="E33" i="6"/>
  <c r="E37" i="6"/>
  <c r="E40" i="6"/>
  <c r="E44" i="6"/>
  <c r="E46" i="6"/>
  <c r="E50" i="6"/>
  <c r="E88" i="6"/>
  <c r="E36" i="6"/>
  <c r="O2" i="4" l="1"/>
  <c r="O2" i="5"/>
  <c r="M30" i="3"/>
  <c r="L23" i="3"/>
  <c r="F110" i="6"/>
  <c r="F25" i="6"/>
  <c r="I26" i="6"/>
  <c r="F83" i="6"/>
  <c r="I84" i="6"/>
  <c r="F49" i="6"/>
  <c r="I50" i="6"/>
  <c r="I124" i="6"/>
  <c r="F123" i="6"/>
  <c r="F93" i="6"/>
  <c r="I94" i="6"/>
  <c r="F86" i="6"/>
  <c r="I87" i="6"/>
  <c r="F48" i="6"/>
  <c r="I49" i="6"/>
  <c r="F30" i="6"/>
  <c r="I31" i="6"/>
  <c r="F40" i="6"/>
  <c r="I67" i="6"/>
  <c r="F66" i="6"/>
  <c r="F57" i="6"/>
  <c r="I58" i="6"/>
  <c r="F105" i="6"/>
  <c r="I128" i="6"/>
  <c r="F127" i="6"/>
  <c r="N111" i="6"/>
  <c r="P111" i="6" s="1"/>
  <c r="M111" i="6"/>
  <c r="L111" i="6"/>
  <c r="O111" i="6" s="1"/>
  <c r="M115" i="6"/>
  <c r="L115" i="6"/>
  <c r="O115" i="6" s="1"/>
  <c r="N115" i="6"/>
  <c r="P115" i="6" s="1"/>
  <c r="N92" i="6"/>
  <c r="P92" i="6" s="1"/>
  <c r="L92" i="6"/>
  <c r="O92" i="6" s="1"/>
  <c r="M92" i="6"/>
  <c r="N106" i="6"/>
  <c r="P106" i="6" s="1"/>
  <c r="M106" i="6"/>
  <c r="L106" i="6"/>
  <c r="O106" i="6" s="1"/>
  <c r="N77" i="6"/>
  <c r="P77" i="6" s="1"/>
  <c r="M77" i="6"/>
  <c r="L77" i="6"/>
  <c r="L41" i="6"/>
  <c r="O41" i="6" s="1"/>
  <c r="N41" i="6"/>
  <c r="P41" i="6" s="1"/>
  <c r="M41" i="6"/>
  <c r="M24" i="6"/>
  <c r="L24" i="6"/>
  <c r="O24" i="6" s="1"/>
  <c r="N24" i="6"/>
  <c r="P24" i="6" s="1"/>
  <c r="E77" i="6"/>
  <c r="I70" i="6"/>
  <c r="F69" i="6"/>
  <c r="I129" i="6"/>
  <c r="F128" i="6"/>
  <c r="N81" i="6"/>
  <c r="P81" i="6" s="1"/>
  <c r="M81" i="6"/>
  <c r="L81" i="6"/>
  <c r="O81" i="6" s="1"/>
  <c r="L39" i="6"/>
  <c r="O39" i="6" s="1"/>
  <c r="N39" i="6"/>
  <c r="P39" i="6" s="1"/>
  <c r="M39" i="6"/>
  <c r="N112" i="6"/>
  <c r="P112" i="6" s="1"/>
  <c r="M112" i="6"/>
  <c r="L112" i="6"/>
  <c r="O112" i="6" s="1"/>
  <c r="N28" i="6"/>
  <c r="P28" i="6" s="1"/>
  <c r="M28" i="6"/>
  <c r="L28" i="6"/>
  <c r="O28" i="6" s="1"/>
  <c r="N34" i="6"/>
  <c r="P34" i="6" s="1"/>
  <c r="M34" i="6"/>
  <c r="L34" i="6"/>
  <c r="O34" i="6" s="1"/>
  <c r="F79" i="6"/>
  <c r="I80" i="6"/>
  <c r="F71" i="6"/>
  <c r="I72" i="6"/>
  <c r="I122" i="6"/>
  <c r="F121" i="6"/>
  <c r="N104" i="6"/>
  <c r="P104" i="6" s="1"/>
  <c r="M104" i="6"/>
  <c r="L104" i="6"/>
  <c r="O104" i="6" s="1"/>
  <c r="N91" i="6"/>
  <c r="P91" i="6" s="1"/>
  <c r="M91" i="6"/>
  <c r="L91" i="6"/>
  <c r="O91" i="6" s="1"/>
  <c r="E91" i="6"/>
  <c r="M62" i="6"/>
  <c r="L62" i="6"/>
  <c r="O62" i="6" s="1"/>
  <c r="N62" i="6"/>
  <c r="P62" i="6" s="1"/>
  <c r="L68" i="6"/>
  <c r="O68" i="6" s="1"/>
  <c r="N68" i="6"/>
  <c r="P68" i="6" s="1"/>
  <c r="M68" i="6"/>
  <c r="N109" i="6"/>
  <c r="P109" i="6" s="1"/>
  <c r="M109" i="6"/>
  <c r="L109" i="6"/>
  <c r="O109" i="6" s="1"/>
  <c r="N29" i="6"/>
  <c r="P29" i="6" s="1"/>
  <c r="M29" i="6"/>
  <c r="L29" i="6"/>
  <c r="O29" i="6" s="1"/>
  <c r="F50" i="6"/>
  <c r="I51" i="6"/>
  <c r="F70" i="6"/>
  <c r="I71" i="6"/>
  <c r="E81" i="6"/>
  <c r="E92" i="6"/>
  <c r="F60" i="6"/>
  <c r="I61" i="6"/>
  <c r="F100" i="6"/>
  <c r="I101" i="6"/>
  <c r="F108" i="6"/>
  <c r="F135" i="6"/>
  <c r="I136" i="6"/>
  <c r="AN8" i="6"/>
  <c r="I123" i="6"/>
  <c r="F122" i="6"/>
  <c r="E34" i="6"/>
  <c r="I34" i="6" s="1"/>
  <c r="N131" i="6"/>
  <c r="P131" i="6" s="1"/>
  <c r="L131" i="6"/>
  <c r="O131" i="6" s="1"/>
  <c r="M131" i="6"/>
  <c r="N133" i="6"/>
  <c r="P133" i="6" s="1"/>
  <c r="L133" i="6"/>
  <c r="O133" i="6" s="1"/>
  <c r="M133" i="6"/>
  <c r="N105" i="6"/>
  <c r="P105" i="6" s="1"/>
  <c r="M105" i="6"/>
  <c r="L105" i="6"/>
  <c r="O105" i="6" s="1"/>
  <c r="N71" i="6"/>
  <c r="P71" i="6" s="1"/>
  <c r="L71" i="6"/>
  <c r="O71" i="6" s="1"/>
  <c r="M71" i="6"/>
  <c r="M63" i="6"/>
  <c r="L63" i="6"/>
  <c r="O63" i="6" s="1"/>
  <c r="N63" i="6"/>
  <c r="P63" i="6" s="1"/>
  <c r="M55" i="6"/>
  <c r="L55" i="6"/>
  <c r="O55" i="6" s="1"/>
  <c r="N55" i="6"/>
  <c r="P55" i="6" s="1"/>
  <c r="L47" i="6"/>
  <c r="O47" i="6" s="1"/>
  <c r="N47" i="6"/>
  <c r="P47" i="6" s="1"/>
  <c r="M47" i="6"/>
  <c r="M117" i="6"/>
  <c r="L117" i="6"/>
  <c r="O117" i="6" s="1"/>
  <c r="N117" i="6"/>
  <c r="P117" i="6" s="1"/>
  <c r="L43" i="6"/>
  <c r="O43" i="6" s="1"/>
  <c r="N43" i="6"/>
  <c r="P43" i="6" s="1"/>
  <c r="M43" i="6"/>
  <c r="N20" i="6"/>
  <c r="P20" i="6" s="1"/>
  <c r="M20" i="6"/>
  <c r="L20" i="6"/>
  <c r="O20" i="6" s="1"/>
  <c r="N99" i="6"/>
  <c r="P99" i="6" s="1"/>
  <c r="L99" i="6"/>
  <c r="O99" i="6" s="1"/>
  <c r="M99" i="6"/>
  <c r="N22" i="6"/>
  <c r="P22" i="6" s="1"/>
  <c r="M22" i="6"/>
  <c r="E22" i="6"/>
  <c r="L22" i="6"/>
  <c r="O22" i="6" s="1"/>
  <c r="N70" i="6"/>
  <c r="P70" i="6" s="1"/>
  <c r="M70" i="6"/>
  <c r="L70" i="6"/>
  <c r="O70" i="6" s="1"/>
  <c r="L44" i="6"/>
  <c r="O44" i="6" s="1"/>
  <c r="N44" i="6"/>
  <c r="P44" i="6" s="1"/>
  <c r="M44" i="6"/>
  <c r="N103" i="6"/>
  <c r="P103" i="6" s="1"/>
  <c r="M103" i="6"/>
  <c r="L103" i="6"/>
  <c r="O103" i="6" s="1"/>
  <c r="F75" i="6"/>
  <c r="I76" i="6"/>
  <c r="F136" i="6"/>
  <c r="F82" i="6"/>
  <c r="I83" i="6"/>
  <c r="I121" i="6"/>
  <c r="F120" i="6"/>
  <c r="AN11" i="6"/>
  <c r="M57" i="6"/>
  <c r="L57" i="6"/>
  <c r="O57" i="6" s="1"/>
  <c r="N57" i="6"/>
  <c r="P57" i="6" s="1"/>
  <c r="N107" i="6"/>
  <c r="P107" i="6" s="1"/>
  <c r="M107" i="6"/>
  <c r="L107" i="6"/>
  <c r="O107" i="6" s="1"/>
  <c r="N86" i="6"/>
  <c r="P86" i="6" s="1"/>
  <c r="M86" i="6"/>
  <c r="L86" i="6"/>
  <c r="O86" i="6" s="1"/>
  <c r="E24" i="6"/>
  <c r="F130" i="6"/>
  <c r="I131" i="6"/>
  <c r="M116" i="6"/>
  <c r="L116" i="6"/>
  <c r="O116" i="6" s="1"/>
  <c r="N116" i="6"/>
  <c r="P116" i="6" s="1"/>
  <c r="N82" i="6"/>
  <c r="P82" i="6" s="1"/>
  <c r="M82" i="6"/>
  <c r="L82" i="6"/>
  <c r="O82" i="6" s="1"/>
  <c r="E29" i="6"/>
  <c r="F47" i="6"/>
  <c r="I48" i="6"/>
  <c r="AN22" i="6"/>
  <c r="F87" i="6"/>
  <c r="I88" i="6"/>
  <c r="F72" i="6"/>
  <c r="F53" i="6"/>
  <c r="I54" i="6"/>
  <c r="F61" i="6"/>
  <c r="F94" i="6"/>
  <c r="I95" i="6"/>
  <c r="F101" i="6"/>
  <c r="I102" i="6"/>
  <c r="E109" i="6"/>
  <c r="I109" i="6" s="1"/>
  <c r="E115" i="6"/>
  <c r="F26" i="6"/>
  <c r="M129" i="6"/>
  <c r="L129" i="6"/>
  <c r="O129" i="6" s="1"/>
  <c r="N129" i="6"/>
  <c r="P129" i="6" s="1"/>
  <c r="N95" i="6"/>
  <c r="P95" i="6" s="1"/>
  <c r="L95" i="6"/>
  <c r="O95" i="6" s="1"/>
  <c r="M95" i="6"/>
  <c r="N101" i="6"/>
  <c r="P101" i="6" s="1"/>
  <c r="M101" i="6"/>
  <c r="L101" i="6"/>
  <c r="O101" i="6" s="1"/>
  <c r="N136" i="6"/>
  <c r="P136" i="6" s="1"/>
  <c r="L136" i="6"/>
  <c r="O136" i="6" s="1"/>
  <c r="M136" i="6"/>
  <c r="N100" i="6"/>
  <c r="P100" i="6" s="1"/>
  <c r="M100" i="6"/>
  <c r="L100" i="6"/>
  <c r="O100" i="6" s="1"/>
  <c r="L42" i="6"/>
  <c r="O42" i="6" s="1"/>
  <c r="N42" i="6"/>
  <c r="P42" i="6" s="1"/>
  <c r="M42" i="6"/>
  <c r="N84" i="6"/>
  <c r="P84" i="6" s="1"/>
  <c r="L84" i="6"/>
  <c r="O84" i="6" s="1"/>
  <c r="M84" i="6"/>
  <c r="M52" i="6"/>
  <c r="L52" i="6"/>
  <c r="O52" i="6" s="1"/>
  <c r="N52" i="6"/>
  <c r="P52" i="6" s="1"/>
  <c r="N66" i="6"/>
  <c r="P66" i="6" s="1"/>
  <c r="M66" i="6"/>
  <c r="L66" i="6"/>
  <c r="O66" i="6" s="1"/>
  <c r="L26" i="6"/>
  <c r="O26" i="6" s="1"/>
  <c r="M26" i="6"/>
  <c r="N26" i="6"/>
  <c r="P26" i="6" s="1"/>
  <c r="M125" i="6"/>
  <c r="L125" i="6"/>
  <c r="O125" i="6" s="1"/>
  <c r="N125" i="6"/>
  <c r="P125" i="6" s="1"/>
  <c r="F39" i="6"/>
  <c r="AN24" i="6"/>
  <c r="I40" i="6"/>
  <c r="F132" i="6"/>
  <c r="I133" i="6"/>
  <c r="M56" i="6"/>
  <c r="L56" i="6"/>
  <c r="O56" i="6" s="1"/>
  <c r="N56" i="6"/>
  <c r="P56" i="6" s="1"/>
  <c r="L35" i="6"/>
  <c r="O35" i="6" s="1"/>
  <c r="N35" i="6"/>
  <c r="P35" i="6" s="1"/>
  <c r="M35" i="6"/>
  <c r="N32" i="6"/>
  <c r="P32" i="6" s="1"/>
  <c r="M32" i="6"/>
  <c r="E32" i="6"/>
  <c r="L32" i="6"/>
  <c r="O32" i="6" s="1"/>
  <c r="F31" i="6"/>
  <c r="I32" i="6"/>
  <c r="F99" i="6"/>
  <c r="I100" i="6"/>
  <c r="AN14" i="6"/>
  <c r="L49" i="6"/>
  <c r="O49" i="6" s="1"/>
  <c r="N49" i="6"/>
  <c r="P49" i="6" s="1"/>
  <c r="M49" i="6"/>
  <c r="F52" i="6"/>
  <c r="I53" i="6"/>
  <c r="F85" i="6"/>
  <c r="I86" i="6"/>
  <c r="I130" i="6"/>
  <c r="F129" i="6"/>
  <c r="L18" i="6"/>
  <c r="M18" i="6"/>
  <c r="N18" i="6"/>
  <c r="P18" i="6" s="1"/>
  <c r="F46" i="6"/>
  <c r="I47" i="6"/>
  <c r="E28" i="6"/>
  <c r="F45" i="6"/>
  <c r="I46" i="6"/>
  <c r="F95" i="6"/>
  <c r="AN15" i="6"/>
  <c r="F89" i="6"/>
  <c r="F74" i="6"/>
  <c r="I75" i="6"/>
  <c r="F54" i="6"/>
  <c r="I55" i="6"/>
  <c r="E62" i="6"/>
  <c r="F98" i="6"/>
  <c r="I99" i="6"/>
  <c r="F102" i="6"/>
  <c r="I103" i="6"/>
  <c r="E116" i="6"/>
  <c r="I125" i="6"/>
  <c r="F124" i="6"/>
  <c r="E18" i="6"/>
  <c r="N108" i="6"/>
  <c r="P108" i="6" s="1"/>
  <c r="M108" i="6"/>
  <c r="L108" i="6"/>
  <c r="O108" i="6" s="1"/>
  <c r="E35" i="6"/>
  <c r="M128" i="6"/>
  <c r="L128" i="6"/>
  <c r="O128" i="6" s="1"/>
  <c r="N128" i="6"/>
  <c r="P128" i="6" s="1"/>
  <c r="N89" i="6"/>
  <c r="P89" i="6" s="1"/>
  <c r="M89" i="6"/>
  <c r="L89" i="6"/>
  <c r="O89" i="6" s="1"/>
  <c r="N69" i="6"/>
  <c r="P69" i="6" s="1"/>
  <c r="M69" i="6"/>
  <c r="L69" i="6"/>
  <c r="O69" i="6" s="1"/>
  <c r="M61" i="6"/>
  <c r="L61" i="6"/>
  <c r="O61" i="6" s="1"/>
  <c r="N61" i="6"/>
  <c r="P61" i="6" s="1"/>
  <c r="M53" i="6"/>
  <c r="L53" i="6"/>
  <c r="O53" i="6" s="1"/>
  <c r="N53" i="6"/>
  <c r="P53" i="6" s="1"/>
  <c r="N33" i="6"/>
  <c r="P33" i="6" s="1"/>
  <c r="L33" i="6"/>
  <c r="O33" i="6" s="1"/>
  <c r="M33" i="6"/>
  <c r="N88" i="6"/>
  <c r="P88" i="6" s="1"/>
  <c r="L88" i="6"/>
  <c r="O88" i="6" s="1"/>
  <c r="M88" i="6"/>
  <c r="N31" i="6"/>
  <c r="P31" i="6" s="1"/>
  <c r="L31" i="6"/>
  <c r="O31" i="6" s="1"/>
  <c r="M31" i="6"/>
  <c r="N98" i="6"/>
  <c r="P98" i="6" s="1"/>
  <c r="M98" i="6"/>
  <c r="L98" i="6"/>
  <c r="O98" i="6" s="1"/>
  <c r="N75" i="6"/>
  <c r="P75" i="6" s="1"/>
  <c r="M75" i="6"/>
  <c r="L75" i="6"/>
  <c r="O75" i="6" s="1"/>
  <c r="L45" i="6"/>
  <c r="O45" i="6" s="1"/>
  <c r="N45" i="6"/>
  <c r="P45" i="6" s="1"/>
  <c r="M45" i="6"/>
  <c r="N97" i="6"/>
  <c r="P97" i="6" s="1"/>
  <c r="M97" i="6"/>
  <c r="L97" i="6"/>
  <c r="O97" i="6" s="1"/>
  <c r="L46" i="6"/>
  <c r="O46" i="6" s="1"/>
  <c r="N46" i="6"/>
  <c r="P46" i="6" s="1"/>
  <c r="M46" i="6"/>
  <c r="M60" i="6"/>
  <c r="L60" i="6"/>
  <c r="O60" i="6" s="1"/>
  <c r="N60" i="6"/>
  <c r="P60" i="6" s="1"/>
  <c r="M54" i="6"/>
  <c r="L54" i="6"/>
  <c r="O54" i="6" s="1"/>
  <c r="N54" i="6"/>
  <c r="P54" i="6" s="1"/>
  <c r="M118" i="6"/>
  <c r="L118" i="6"/>
  <c r="O118" i="6" s="1"/>
  <c r="N118" i="6"/>
  <c r="P118" i="6" s="1"/>
  <c r="N135" i="6"/>
  <c r="P135" i="6" s="1"/>
  <c r="L135" i="6"/>
  <c r="O135" i="6" s="1"/>
  <c r="M135" i="6"/>
  <c r="F36" i="6"/>
  <c r="I37" i="6"/>
  <c r="F80" i="6"/>
  <c r="I81" i="6"/>
  <c r="I120" i="6"/>
  <c r="F119" i="6"/>
  <c r="N83" i="6"/>
  <c r="P83" i="6" s="1"/>
  <c r="M83" i="6"/>
  <c r="L83" i="6"/>
  <c r="O83" i="6" s="1"/>
  <c r="N21" i="6"/>
  <c r="P21" i="6" s="1"/>
  <c r="L21" i="6"/>
  <c r="O21" i="6" s="1"/>
  <c r="E21" i="6"/>
  <c r="I21" i="6" s="1"/>
  <c r="M21" i="6"/>
  <c r="L113" i="6"/>
  <c r="O113" i="6" s="1"/>
  <c r="N113" i="6"/>
  <c r="P113" i="6" s="1"/>
  <c r="M113" i="6"/>
  <c r="M126" i="6"/>
  <c r="L126" i="6"/>
  <c r="O126" i="6" s="1"/>
  <c r="N126" i="6"/>
  <c r="P126" i="6" s="1"/>
  <c r="N25" i="6"/>
  <c r="P25" i="6" s="1"/>
  <c r="M25" i="6"/>
  <c r="L25" i="6"/>
  <c r="O25" i="6" s="1"/>
  <c r="F37" i="6"/>
  <c r="I38" i="6"/>
  <c r="F58" i="6"/>
  <c r="I59" i="6"/>
  <c r="E106" i="6"/>
  <c r="N73" i="6"/>
  <c r="P73" i="6" s="1"/>
  <c r="M73" i="6"/>
  <c r="L73" i="6"/>
  <c r="O73" i="6" s="1"/>
  <c r="N76" i="6"/>
  <c r="P76" i="6" s="1"/>
  <c r="M76" i="6"/>
  <c r="L76" i="6"/>
  <c r="O76" i="6" s="1"/>
  <c r="F33" i="6"/>
  <c r="F84" i="6"/>
  <c r="I85" i="6"/>
  <c r="F133" i="6"/>
  <c r="I134" i="6"/>
  <c r="AN9" i="6"/>
  <c r="N30" i="6"/>
  <c r="P30" i="6" s="1"/>
  <c r="M30" i="6"/>
  <c r="L30" i="6"/>
  <c r="O30" i="6" s="1"/>
  <c r="M123" i="6"/>
  <c r="L123" i="6"/>
  <c r="O123" i="6" s="1"/>
  <c r="N123" i="6"/>
  <c r="P123" i="6" s="1"/>
  <c r="F44" i="6"/>
  <c r="I45" i="6"/>
  <c r="F20" i="6"/>
  <c r="F43" i="6"/>
  <c r="I44" i="6"/>
  <c r="I68" i="6"/>
  <c r="F67" i="6"/>
  <c r="F97" i="6"/>
  <c r="I98" i="6"/>
  <c r="E76" i="6"/>
  <c r="F55" i="6"/>
  <c r="AN21" i="6"/>
  <c r="F63" i="6"/>
  <c r="I64" i="6"/>
  <c r="E113" i="6"/>
  <c r="F103" i="6"/>
  <c r="E111" i="6"/>
  <c r="I118" i="6"/>
  <c r="F117" i="6"/>
  <c r="AN12" i="6"/>
  <c r="F125" i="6"/>
  <c r="AN10" i="6"/>
  <c r="M127" i="6"/>
  <c r="L127" i="6"/>
  <c r="O127" i="6" s="1"/>
  <c r="N127" i="6"/>
  <c r="P127" i="6" s="1"/>
  <c r="N79" i="6"/>
  <c r="P79" i="6" s="1"/>
  <c r="M79" i="6"/>
  <c r="L79" i="6"/>
  <c r="O79" i="6" s="1"/>
  <c r="L40" i="6"/>
  <c r="O40" i="6" s="1"/>
  <c r="N40" i="6"/>
  <c r="P40" i="6" s="1"/>
  <c r="M40" i="6"/>
  <c r="N72" i="6"/>
  <c r="P72" i="6" s="1"/>
  <c r="M72" i="6"/>
  <c r="L72" i="6"/>
  <c r="O72" i="6" s="1"/>
  <c r="L27" i="6"/>
  <c r="O27" i="6" s="1"/>
  <c r="M27" i="6"/>
  <c r="N27" i="6"/>
  <c r="P27" i="6" s="1"/>
  <c r="E27" i="6"/>
  <c r="I27" i="6" s="1"/>
  <c r="M64" i="6"/>
  <c r="L64" i="6"/>
  <c r="O64" i="6" s="1"/>
  <c r="N64" i="6"/>
  <c r="P64" i="6" s="1"/>
  <c r="M121" i="6"/>
  <c r="L121" i="6"/>
  <c r="O121" i="6" s="1"/>
  <c r="N121" i="6"/>
  <c r="P121" i="6" s="1"/>
  <c r="M114" i="6"/>
  <c r="L114" i="6"/>
  <c r="O114" i="6" s="1"/>
  <c r="N114" i="6"/>
  <c r="P114" i="6" s="1"/>
  <c r="N134" i="6"/>
  <c r="P134" i="6" s="1"/>
  <c r="L134" i="6"/>
  <c r="O134" i="6" s="1"/>
  <c r="M134" i="6"/>
  <c r="N94" i="6"/>
  <c r="P94" i="6" s="1"/>
  <c r="M94" i="6"/>
  <c r="L94" i="6"/>
  <c r="O94" i="6" s="1"/>
  <c r="N132" i="6"/>
  <c r="P132" i="6" s="1"/>
  <c r="L132" i="6"/>
  <c r="O132" i="6" s="1"/>
  <c r="M132" i="6"/>
  <c r="L50" i="6"/>
  <c r="O50" i="6" s="1"/>
  <c r="N50" i="6"/>
  <c r="P50" i="6" s="1"/>
  <c r="M50" i="6"/>
  <c r="N74" i="6"/>
  <c r="P74" i="6" s="1"/>
  <c r="M74" i="6"/>
  <c r="L74" i="6"/>
  <c r="O74" i="6" s="1"/>
  <c r="N87" i="6"/>
  <c r="P87" i="6" s="1"/>
  <c r="L87" i="6"/>
  <c r="O87" i="6" s="1"/>
  <c r="M87" i="6"/>
  <c r="F38" i="6"/>
  <c r="I39" i="6"/>
  <c r="F65" i="6"/>
  <c r="I66" i="6"/>
  <c r="N78" i="6"/>
  <c r="P78" i="6" s="1"/>
  <c r="M78" i="6"/>
  <c r="L78" i="6"/>
  <c r="O78" i="6" s="1"/>
  <c r="F88" i="6"/>
  <c r="I89" i="6"/>
  <c r="I69" i="6"/>
  <c r="F68" i="6"/>
  <c r="AN19" i="6"/>
  <c r="F131" i="6"/>
  <c r="I132" i="6"/>
  <c r="N93" i="6"/>
  <c r="P93" i="6" s="1"/>
  <c r="L93" i="6"/>
  <c r="O93" i="6" s="1"/>
  <c r="M93" i="6"/>
  <c r="L19" i="6"/>
  <c r="O19" i="6" s="1"/>
  <c r="N19" i="6"/>
  <c r="P19" i="6" s="1"/>
  <c r="M19" i="6"/>
  <c r="E19" i="6"/>
  <c r="M65" i="6"/>
  <c r="L65" i="6"/>
  <c r="O65" i="6" s="1"/>
  <c r="N65" i="6"/>
  <c r="P65" i="6" s="1"/>
  <c r="N110" i="6"/>
  <c r="P110" i="6" s="1"/>
  <c r="M110" i="6"/>
  <c r="L110" i="6"/>
  <c r="O110" i="6" s="1"/>
  <c r="F51" i="6"/>
  <c r="I52" i="6"/>
  <c r="F59" i="6"/>
  <c r="I60" i="6"/>
  <c r="E107" i="6"/>
  <c r="L48" i="6"/>
  <c r="O48" i="6" s="1"/>
  <c r="N48" i="6"/>
  <c r="P48" i="6" s="1"/>
  <c r="M48" i="6"/>
  <c r="N90" i="6"/>
  <c r="P90" i="6" s="1"/>
  <c r="M90" i="6"/>
  <c r="L90" i="6"/>
  <c r="O90" i="6" s="1"/>
  <c r="F42" i="6"/>
  <c r="I43" i="6"/>
  <c r="AN23" i="6"/>
  <c r="E90" i="6"/>
  <c r="E41" i="6"/>
  <c r="I41" i="6" s="1"/>
  <c r="E73" i="6"/>
  <c r="I73" i="6" s="1"/>
  <c r="F134" i="6"/>
  <c r="I135" i="6"/>
  <c r="E78" i="6"/>
  <c r="E56" i="6"/>
  <c r="F64" i="6"/>
  <c r="I65" i="6"/>
  <c r="AN20" i="6"/>
  <c r="I115" i="6"/>
  <c r="F114" i="6"/>
  <c r="E104" i="6"/>
  <c r="E112" i="6"/>
  <c r="I119" i="6"/>
  <c r="F118" i="6"/>
  <c r="E126" i="6"/>
  <c r="I126" i="6" s="1"/>
  <c r="M120" i="6"/>
  <c r="L120" i="6"/>
  <c r="O120" i="6" s="1"/>
  <c r="N120" i="6"/>
  <c r="P120" i="6" s="1"/>
  <c r="N96" i="6"/>
  <c r="P96" i="6" s="1"/>
  <c r="L96" i="6"/>
  <c r="O96" i="6" s="1"/>
  <c r="M96" i="6"/>
  <c r="E96" i="6"/>
  <c r="M119" i="6"/>
  <c r="L119" i="6"/>
  <c r="O119" i="6" s="1"/>
  <c r="N119" i="6"/>
  <c r="P119" i="6" s="1"/>
  <c r="N80" i="6"/>
  <c r="P80" i="6" s="1"/>
  <c r="M80" i="6"/>
  <c r="L80" i="6"/>
  <c r="O80" i="6" s="1"/>
  <c r="N67" i="6"/>
  <c r="P67" i="6" s="1"/>
  <c r="L67" i="6"/>
  <c r="O67" i="6" s="1"/>
  <c r="M67" i="6"/>
  <c r="M59" i="6"/>
  <c r="L59" i="6"/>
  <c r="O59" i="6" s="1"/>
  <c r="N59" i="6"/>
  <c r="P59" i="6" s="1"/>
  <c r="L51" i="6"/>
  <c r="O51" i="6" s="1"/>
  <c r="N51" i="6"/>
  <c r="P51" i="6" s="1"/>
  <c r="M51" i="6"/>
  <c r="N85" i="6"/>
  <c r="P85" i="6" s="1"/>
  <c r="L85" i="6"/>
  <c r="O85" i="6" s="1"/>
  <c r="M85" i="6"/>
  <c r="M23" i="6"/>
  <c r="E23" i="6"/>
  <c r="L23" i="6"/>
  <c r="O23" i="6" s="1"/>
  <c r="N23" i="6"/>
  <c r="P23" i="6" s="1"/>
  <c r="N130" i="6"/>
  <c r="P130" i="6" s="1"/>
  <c r="L130" i="6"/>
  <c r="O130" i="6" s="1"/>
  <c r="M130" i="6"/>
  <c r="L36" i="6"/>
  <c r="O36" i="6" s="1"/>
  <c r="N36" i="6"/>
  <c r="P36" i="6" s="1"/>
  <c r="M36" i="6"/>
  <c r="M122" i="6"/>
  <c r="L122" i="6"/>
  <c r="O122" i="6" s="1"/>
  <c r="N122" i="6"/>
  <c r="P122" i="6" s="1"/>
  <c r="L38" i="6"/>
  <c r="O38" i="6" s="1"/>
  <c r="N38" i="6"/>
  <c r="P38" i="6" s="1"/>
  <c r="M38" i="6"/>
  <c r="M124" i="6"/>
  <c r="L124" i="6"/>
  <c r="O124" i="6" s="1"/>
  <c r="N124" i="6"/>
  <c r="P124" i="6" s="1"/>
  <c r="N102" i="6"/>
  <c r="P102" i="6" s="1"/>
  <c r="M102" i="6"/>
  <c r="L102" i="6"/>
  <c r="O102" i="6" s="1"/>
  <c r="M58" i="6"/>
  <c r="L58" i="6"/>
  <c r="O58" i="6" s="1"/>
  <c r="N58" i="6"/>
  <c r="P58" i="6" s="1"/>
  <c r="I30" i="3" l="1"/>
  <c r="F56" i="6"/>
  <c r="I57" i="6"/>
  <c r="F106" i="6"/>
  <c r="I107" i="6"/>
  <c r="F78" i="6"/>
  <c r="I79" i="6"/>
  <c r="F35" i="6"/>
  <c r="I36" i="6"/>
  <c r="F62" i="6"/>
  <c r="I63" i="6"/>
  <c r="F24" i="6"/>
  <c r="I25" i="6"/>
  <c r="F34" i="6"/>
  <c r="I35" i="6"/>
  <c r="O77" i="6"/>
  <c r="I106" i="6"/>
  <c r="F90" i="6"/>
  <c r="I91" i="6"/>
  <c r="I24" i="6"/>
  <c r="F23" i="6"/>
  <c r="I90" i="6"/>
  <c r="F77" i="6"/>
  <c r="I78" i="6"/>
  <c r="F96" i="6"/>
  <c r="I97" i="6"/>
  <c r="F111" i="6"/>
  <c r="I112" i="6"/>
  <c r="I56" i="6"/>
  <c r="I117" i="6"/>
  <c r="F116" i="6"/>
  <c r="F28" i="6"/>
  <c r="I29" i="6"/>
  <c r="O18" i="6"/>
  <c r="F92" i="6"/>
  <c r="I93" i="6"/>
  <c r="F91" i="6"/>
  <c r="I92" i="6"/>
  <c r="AN16" i="6"/>
  <c r="F104" i="6"/>
  <c r="I105" i="6"/>
  <c r="I20" i="6"/>
  <c r="F19" i="6"/>
  <c r="I104" i="6"/>
  <c r="F21" i="6"/>
  <c r="I22" i="6"/>
  <c r="AN26" i="6"/>
  <c r="I96" i="6"/>
  <c r="I111" i="6"/>
  <c r="I113" i="6"/>
  <c r="F112" i="6"/>
  <c r="F81" i="6"/>
  <c r="I82" i="6"/>
  <c r="AN17" i="6"/>
  <c r="F73" i="6"/>
  <c r="I74" i="6"/>
  <c r="AN18" i="6"/>
  <c r="F107" i="6"/>
  <c r="I108" i="6"/>
  <c r="AN13" i="6"/>
  <c r="I28" i="6"/>
  <c r="F27" i="6"/>
  <c r="I116" i="6"/>
  <c r="F115" i="6"/>
  <c r="I62" i="6"/>
  <c r="F29" i="6"/>
  <c r="AN25" i="6"/>
  <c r="I30" i="6"/>
  <c r="F22" i="6"/>
  <c r="I23" i="6"/>
  <c r="I127" i="6"/>
  <c r="F126" i="6"/>
  <c r="F32" i="6"/>
  <c r="I33" i="6"/>
  <c r="F41" i="6"/>
  <c r="I42" i="6"/>
  <c r="I114" i="6"/>
  <c r="F113" i="6"/>
  <c r="F76" i="6"/>
  <c r="I77" i="6"/>
  <c r="AN27" i="6"/>
  <c r="I19" i="6"/>
  <c r="I18" i="6"/>
  <c r="F18" i="6"/>
  <c r="F109" i="6"/>
  <c r="I110" i="6"/>
  <c r="C18" i="3" l="1"/>
  <c r="D18" i="3"/>
  <c r="R18" i="6" l="1"/>
  <c r="U18" i="6" s="1"/>
  <c r="V18" i="6" s="1"/>
  <c r="Q18" i="6"/>
  <c r="E18" i="3"/>
  <c r="D19" i="3"/>
  <c r="C19" i="3"/>
  <c r="C20" i="3" l="1"/>
  <c r="D20" i="3"/>
  <c r="Q19" i="6"/>
  <c r="R19" i="6"/>
  <c r="U19" i="6" s="1"/>
  <c r="V19" i="6" s="1"/>
  <c r="E19" i="3"/>
  <c r="F18" i="3"/>
  <c r="J18" i="6" s="1"/>
  <c r="Q20" i="6" l="1"/>
  <c r="R20" i="6"/>
  <c r="U20" i="6" s="1"/>
  <c r="V20" i="6" s="1"/>
  <c r="E20" i="3"/>
  <c r="F19" i="3"/>
  <c r="J19" i="6" s="1"/>
  <c r="D21" i="3"/>
  <c r="C21" i="3"/>
  <c r="D18" i="6"/>
  <c r="C18" i="6"/>
  <c r="AO27" i="6"/>
  <c r="AP27" i="6" s="1"/>
  <c r="D19" i="6" l="1"/>
  <c r="C19" i="6"/>
  <c r="R21" i="6"/>
  <c r="U21" i="6" s="1"/>
  <c r="V21" i="6" s="1"/>
  <c r="Q21" i="6"/>
  <c r="E21" i="3"/>
  <c r="F20" i="3"/>
  <c r="J20" i="6" s="1"/>
  <c r="D22" i="3"/>
  <c r="C22" i="3"/>
  <c r="F21" i="3" l="1"/>
  <c r="J21" i="6" s="1"/>
  <c r="Q22" i="6"/>
  <c r="R22" i="6"/>
  <c r="U22" i="6" s="1"/>
  <c r="V22" i="6" s="1"/>
  <c r="E22" i="3"/>
  <c r="D20" i="6"/>
  <c r="C20" i="6"/>
  <c r="D23" i="3"/>
  <c r="C23" i="3"/>
  <c r="Q23" i="6" l="1"/>
  <c r="R23" i="6"/>
  <c r="U23" i="6" s="1"/>
  <c r="V23" i="6" s="1"/>
  <c r="E23" i="3"/>
  <c r="F22" i="3"/>
  <c r="J22" i="6" s="1"/>
  <c r="D24" i="3"/>
  <c r="C24" i="3"/>
  <c r="C21" i="6"/>
  <c r="D21" i="6"/>
  <c r="R24" i="6" l="1"/>
  <c r="U24" i="6" s="1"/>
  <c r="V24" i="6" s="1"/>
  <c r="Q24" i="6"/>
  <c r="E24" i="3"/>
  <c r="F23" i="3"/>
  <c r="J23" i="6" s="1"/>
  <c r="AO26" i="6"/>
  <c r="AP26" i="6" s="1"/>
  <c r="C22" i="6"/>
  <c r="D22" i="6"/>
  <c r="C25" i="3"/>
  <c r="D25" i="3"/>
  <c r="D26" i="3" l="1"/>
  <c r="C26" i="3"/>
  <c r="D23" i="6"/>
  <c r="C23" i="6"/>
  <c r="F24" i="3"/>
  <c r="J24" i="6" s="1"/>
  <c r="R25" i="6"/>
  <c r="U25" i="6" s="1"/>
  <c r="V25" i="6" s="1"/>
  <c r="E25" i="3"/>
  <c r="Q25" i="6"/>
  <c r="F25" i="3" l="1"/>
  <c r="J25" i="6" s="1"/>
  <c r="D27" i="3"/>
  <c r="C27" i="3"/>
  <c r="R26" i="6"/>
  <c r="U26" i="6" s="1"/>
  <c r="V26" i="6" s="1"/>
  <c r="Q26" i="6"/>
  <c r="E26" i="3"/>
  <c r="C24" i="6"/>
  <c r="D24" i="6"/>
  <c r="C25" i="6" l="1"/>
  <c r="D25" i="6"/>
  <c r="F26" i="3"/>
  <c r="J26" i="6" s="1"/>
  <c r="D28" i="3"/>
  <c r="C28" i="3"/>
  <c r="Q27" i="6"/>
  <c r="R27" i="6"/>
  <c r="U27" i="6" s="1"/>
  <c r="V27" i="6" s="1"/>
  <c r="E27" i="3"/>
  <c r="D29" i="3" l="1"/>
  <c r="C29" i="3"/>
  <c r="D26" i="6"/>
  <c r="C26" i="6"/>
  <c r="F27" i="3"/>
  <c r="J27" i="6" s="1"/>
  <c r="Q28" i="6"/>
  <c r="E28" i="3"/>
  <c r="R28" i="6"/>
  <c r="U28" i="6" s="1"/>
  <c r="V28" i="6" s="1"/>
  <c r="D27" i="6" l="1"/>
  <c r="C27" i="6"/>
  <c r="F28" i="3"/>
  <c r="J28" i="6" s="1"/>
  <c r="Q29" i="6"/>
  <c r="R29" i="6"/>
  <c r="U29" i="6" s="1"/>
  <c r="V29" i="6" s="1"/>
  <c r="E29" i="3"/>
  <c r="D30" i="3"/>
  <c r="C30" i="3"/>
  <c r="C31" i="3" l="1"/>
  <c r="D31" i="3"/>
  <c r="F29" i="3"/>
  <c r="J29" i="6" s="1"/>
  <c r="Q30" i="6"/>
  <c r="E30" i="3"/>
  <c r="R30" i="6"/>
  <c r="U30" i="6" s="1"/>
  <c r="V30" i="6" s="1"/>
  <c r="D28" i="6"/>
  <c r="C28" i="6"/>
  <c r="D32" i="3" l="1"/>
  <c r="C32" i="3"/>
  <c r="Q31" i="6"/>
  <c r="E31" i="3"/>
  <c r="R31" i="6"/>
  <c r="U31" i="6" s="1"/>
  <c r="V31" i="6" s="1"/>
  <c r="F30" i="3"/>
  <c r="J30" i="6" s="1"/>
  <c r="D29" i="6"/>
  <c r="AO25" i="6"/>
  <c r="AP25" i="6" s="1"/>
  <c r="C29" i="6"/>
  <c r="D33" i="3" l="1"/>
  <c r="C33" i="3"/>
  <c r="R32" i="6"/>
  <c r="U32" i="6" s="1"/>
  <c r="V32" i="6" s="1"/>
  <c r="Q32" i="6"/>
  <c r="E32" i="3"/>
  <c r="F31" i="3"/>
  <c r="J31" i="6" s="1"/>
  <c r="D30" i="6"/>
  <c r="C30" i="6"/>
  <c r="C34" i="3" l="1"/>
  <c r="D34" i="3"/>
  <c r="R33" i="6"/>
  <c r="U33" i="6" s="1"/>
  <c r="V33" i="6" s="1"/>
  <c r="Q33" i="6"/>
  <c r="E33" i="3"/>
  <c r="C31" i="6"/>
  <c r="D31" i="6"/>
  <c r="F32" i="3"/>
  <c r="J32" i="6" s="1"/>
  <c r="C32" i="6" l="1"/>
  <c r="D32" i="6"/>
  <c r="C35" i="3"/>
  <c r="D35" i="3"/>
  <c r="F33" i="3"/>
  <c r="J33" i="6" s="1"/>
  <c r="Q34" i="6"/>
  <c r="R34" i="6"/>
  <c r="U34" i="6" s="1"/>
  <c r="V34" i="6" s="1"/>
  <c r="E34" i="3"/>
  <c r="D33" i="6" l="1"/>
  <c r="C33" i="6"/>
  <c r="F34" i="3"/>
  <c r="J34" i="6" s="1"/>
  <c r="Q35" i="6"/>
  <c r="R35" i="6"/>
  <c r="U35" i="6" s="1"/>
  <c r="V35" i="6" s="1"/>
  <c r="E35" i="3"/>
  <c r="D36" i="3"/>
  <c r="C36" i="3"/>
  <c r="F35" i="3" l="1"/>
  <c r="J35" i="6" s="1"/>
  <c r="C37" i="3"/>
  <c r="D37" i="3"/>
  <c r="R36" i="6"/>
  <c r="U36" i="6" s="1"/>
  <c r="V36" i="6" s="1"/>
  <c r="Q36" i="6"/>
  <c r="E36" i="3"/>
  <c r="D34" i="6"/>
  <c r="C34" i="6"/>
  <c r="R37" i="6" l="1"/>
  <c r="U37" i="6" s="1"/>
  <c r="V37" i="6" s="1"/>
  <c r="Q37" i="6"/>
  <c r="E37" i="3"/>
  <c r="F36" i="3"/>
  <c r="J36" i="6" s="1"/>
  <c r="D35" i="6"/>
  <c r="C35" i="6"/>
  <c r="D38" i="3"/>
  <c r="C38" i="3"/>
  <c r="R38" i="6" l="1"/>
  <c r="U38" i="6" s="1"/>
  <c r="V38" i="6" s="1"/>
  <c r="Q38" i="6"/>
  <c r="E38" i="3"/>
  <c r="F37" i="3"/>
  <c r="J37" i="6" s="1"/>
  <c r="D36" i="6"/>
  <c r="C36" i="6"/>
  <c r="D39" i="3"/>
  <c r="C39" i="3"/>
  <c r="Q39" i="6" l="1"/>
  <c r="E39" i="3"/>
  <c r="R39" i="6"/>
  <c r="U39" i="6" s="1"/>
  <c r="V39" i="6" s="1"/>
  <c r="F38" i="3"/>
  <c r="J38" i="6" s="1"/>
  <c r="D37" i="6"/>
  <c r="C37" i="6"/>
  <c r="C40" i="3"/>
  <c r="D40" i="3"/>
  <c r="F39" i="3" l="1"/>
  <c r="J39" i="6" s="1"/>
  <c r="D38" i="6"/>
  <c r="C38" i="6"/>
  <c r="D41" i="3"/>
  <c r="C41" i="3"/>
  <c r="R40" i="6"/>
  <c r="U40" i="6" s="1"/>
  <c r="V40" i="6" s="1"/>
  <c r="Q40" i="6"/>
  <c r="E40" i="3"/>
  <c r="D39" i="6" l="1"/>
  <c r="C39" i="6"/>
  <c r="AO24" i="6"/>
  <c r="AP24" i="6" s="1"/>
  <c r="D42" i="3"/>
  <c r="C42" i="3"/>
  <c r="Q41" i="6"/>
  <c r="E41" i="3"/>
  <c r="R41" i="6"/>
  <c r="U41" i="6" s="1"/>
  <c r="V41" i="6" s="1"/>
  <c r="F40" i="3"/>
  <c r="J40" i="6" s="1"/>
  <c r="D40" i="6" l="1"/>
  <c r="C40" i="6"/>
  <c r="R42" i="6"/>
  <c r="U42" i="6" s="1"/>
  <c r="V42" i="6" s="1"/>
  <c r="Q42" i="6"/>
  <c r="E42" i="3"/>
  <c r="D43" i="3"/>
  <c r="C43" i="3"/>
  <c r="F41" i="3"/>
  <c r="J41" i="6" s="1"/>
  <c r="F42" i="3" l="1"/>
  <c r="J42" i="6" s="1"/>
  <c r="C44" i="3"/>
  <c r="D44" i="3"/>
  <c r="Q43" i="6"/>
  <c r="E43" i="3"/>
  <c r="R43" i="6"/>
  <c r="U43" i="6" s="1"/>
  <c r="V43" i="6" s="1"/>
  <c r="D41" i="6"/>
  <c r="C41" i="6"/>
  <c r="D45" i="3" l="1"/>
  <c r="C45" i="3"/>
  <c r="R44" i="6"/>
  <c r="U44" i="6" s="1"/>
  <c r="V44" i="6" s="1"/>
  <c r="Q44" i="6"/>
  <c r="E44" i="3"/>
  <c r="F43" i="3"/>
  <c r="J43" i="6" s="1"/>
  <c r="D42" i="6"/>
  <c r="C42" i="6"/>
  <c r="AO23" i="6"/>
  <c r="AP23" i="6" s="1"/>
  <c r="D43" i="6" l="1"/>
  <c r="C43" i="6"/>
  <c r="Q45" i="6"/>
  <c r="R45" i="6"/>
  <c r="U45" i="6" s="1"/>
  <c r="V45" i="6" s="1"/>
  <c r="E45" i="3"/>
  <c r="F44" i="3"/>
  <c r="J44" i="6" s="1"/>
  <c r="D46" i="3"/>
  <c r="C46" i="3"/>
  <c r="D44" i="6" l="1"/>
  <c r="C44" i="6"/>
  <c r="R46" i="6"/>
  <c r="U46" i="6" s="1"/>
  <c r="V46" i="6" s="1"/>
  <c r="Q46" i="6"/>
  <c r="E46" i="3"/>
  <c r="F45" i="3"/>
  <c r="J45" i="6" s="1"/>
  <c r="D47" i="3"/>
  <c r="C47" i="3"/>
  <c r="C48" i="3" l="1"/>
  <c r="D48" i="3"/>
  <c r="D45" i="6"/>
  <c r="C45" i="6"/>
  <c r="F46" i="3"/>
  <c r="J46" i="6" s="1"/>
  <c r="Q47" i="6"/>
  <c r="R47" i="6"/>
  <c r="U47" i="6" s="1"/>
  <c r="V47" i="6" s="1"/>
  <c r="E47" i="3"/>
  <c r="F47" i="3" l="1"/>
  <c r="J47" i="6" s="1"/>
  <c r="D49" i="3"/>
  <c r="C49" i="3"/>
  <c r="D46" i="6"/>
  <c r="C46" i="6"/>
  <c r="R48" i="6"/>
  <c r="U48" i="6" s="1"/>
  <c r="V48" i="6" s="1"/>
  <c r="E48" i="3"/>
  <c r="Q48" i="6"/>
  <c r="Q49" i="6" l="1"/>
  <c r="R49" i="6"/>
  <c r="U49" i="6" s="1"/>
  <c r="V49" i="6" s="1"/>
  <c r="E49" i="3"/>
  <c r="D47" i="6"/>
  <c r="C47" i="6"/>
  <c r="AO22" i="6"/>
  <c r="AP22" i="6" s="1"/>
  <c r="D50" i="3"/>
  <c r="C50" i="3"/>
  <c r="F48" i="3"/>
  <c r="J48" i="6" s="1"/>
  <c r="F49" i="3" l="1"/>
  <c r="J49" i="6" s="1"/>
  <c r="R50" i="6"/>
  <c r="U50" i="6" s="1"/>
  <c r="V50" i="6" s="1"/>
  <c r="E50" i="3"/>
  <c r="Q50" i="6"/>
  <c r="D51" i="3"/>
  <c r="C51" i="3"/>
  <c r="D48" i="6"/>
  <c r="C48" i="6"/>
  <c r="C52" i="3" l="1"/>
  <c r="D52" i="3"/>
  <c r="Q51" i="6"/>
  <c r="E51" i="3"/>
  <c r="R51" i="6"/>
  <c r="U51" i="6" s="1"/>
  <c r="V51" i="6" s="1"/>
  <c r="F50" i="3"/>
  <c r="J50" i="6" s="1"/>
  <c r="D49" i="6"/>
  <c r="C49" i="6"/>
  <c r="D50" i="6" l="1"/>
  <c r="C50" i="6"/>
  <c r="F51" i="3"/>
  <c r="J51" i="6" s="1"/>
  <c r="D53" i="3"/>
  <c r="C53" i="3"/>
  <c r="R52" i="6"/>
  <c r="U52" i="6" s="1"/>
  <c r="V52" i="6" s="1"/>
  <c r="Q52" i="6"/>
  <c r="E52" i="3"/>
  <c r="D51" i="6" l="1"/>
  <c r="C51" i="6"/>
  <c r="D54" i="3"/>
  <c r="C54" i="3"/>
  <c r="F52" i="3"/>
  <c r="J52" i="6" s="1"/>
  <c r="R53" i="6"/>
  <c r="U53" i="6" s="1"/>
  <c r="V53" i="6" s="1"/>
  <c r="E53" i="3"/>
  <c r="Q53" i="6"/>
  <c r="F53" i="3" l="1"/>
  <c r="J53" i="6" s="1"/>
  <c r="D52" i="6"/>
  <c r="C52" i="6"/>
  <c r="D55" i="3"/>
  <c r="C55" i="3"/>
  <c r="R54" i="6"/>
  <c r="U54" i="6" s="1"/>
  <c r="V54" i="6" s="1"/>
  <c r="Q54" i="6"/>
  <c r="E54" i="3"/>
  <c r="F54" i="3" l="1"/>
  <c r="J54" i="6" s="1"/>
  <c r="D53" i="6"/>
  <c r="C53" i="6"/>
  <c r="R55" i="6"/>
  <c r="U55" i="6" s="1"/>
  <c r="V55" i="6" s="1"/>
  <c r="Q55" i="6"/>
  <c r="E55" i="3"/>
  <c r="C56" i="3"/>
  <c r="D56" i="3"/>
  <c r="F55" i="3" l="1"/>
  <c r="J55" i="6" s="1"/>
  <c r="Q56" i="6"/>
  <c r="R56" i="6"/>
  <c r="U56" i="6" s="1"/>
  <c r="V56" i="6" s="1"/>
  <c r="E56" i="3"/>
  <c r="D57" i="3"/>
  <c r="C57" i="3"/>
  <c r="D54" i="6"/>
  <c r="C54" i="6"/>
  <c r="F56" i="3" l="1"/>
  <c r="J56" i="6" s="1"/>
  <c r="D58" i="3"/>
  <c r="C58" i="3"/>
  <c r="Q57" i="6"/>
  <c r="R57" i="6"/>
  <c r="U57" i="6" s="1"/>
  <c r="V57" i="6" s="1"/>
  <c r="E57" i="3"/>
  <c r="D55" i="6"/>
  <c r="C55" i="6"/>
  <c r="AO21" i="6"/>
  <c r="AP21" i="6" s="1"/>
  <c r="D59" i="3" l="1"/>
  <c r="C59" i="3"/>
  <c r="R58" i="6"/>
  <c r="U58" i="6" s="1"/>
  <c r="V58" i="6" s="1"/>
  <c r="Q58" i="6"/>
  <c r="E58" i="3"/>
  <c r="F57" i="3"/>
  <c r="J57" i="6" s="1"/>
  <c r="D56" i="6"/>
  <c r="C56" i="6"/>
  <c r="D57" i="6" l="1"/>
  <c r="C57" i="6"/>
  <c r="C60" i="3"/>
  <c r="D60" i="3"/>
  <c r="F58" i="3"/>
  <c r="J58" i="6" s="1"/>
  <c r="Q59" i="6"/>
  <c r="E59" i="3"/>
  <c r="R59" i="6"/>
  <c r="U59" i="6" s="1"/>
  <c r="V59" i="6" s="1"/>
  <c r="F59" i="3" l="1"/>
  <c r="J59" i="6" s="1"/>
  <c r="Q60" i="6"/>
  <c r="R60" i="6"/>
  <c r="U60" i="6" s="1"/>
  <c r="V60" i="6" s="1"/>
  <c r="E60" i="3"/>
  <c r="C61" i="3"/>
  <c r="D61" i="3"/>
  <c r="D58" i="6"/>
  <c r="C58" i="6"/>
  <c r="F60" i="3" l="1"/>
  <c r="J60" i="6" s="1"/>
  <c r="R61" i="6"/>
  <c r="U61" i="6" s="1"/>
  <c r="V61" i="6" s="1"/>
  <c r="E61" i="3"/>
  <c r="Q61" i="6"/>
  <c r="D59" i="6"/>
  <c r="C59" i="6"/>
  <c r="D62" i="3"/>
  <c r="C62" i="3"/>
  <c r="R62" i="6" l="1"/>
  <c r="U62" i="6" s="1"/>
  <c r="V62" i="6" s="1"/>
  <c r="Q62" i="6"/>
  <c r="E62" i="3"/>
  <c r="F61" i="3"/>
  <c r="J61" i="6" s="1"/>
  <c r="D63" i="3"/>
  <c r="C63" i="3"/>
  <c r="D60" i="6"/>
  <c r="C60" i="6"/>
  <c r="R63" i="6" l="1"/>
  <c r="U63" i="6" s="1"/>
  <c r="V63" i="6" s="1"/>
  <c r="Q63" i="6"/>
  <c r="E63" i="3"/>
  <c r="F62" i="3"/>
  <c r="J62" i="6" s="1"/>
  <c r="C64" i="3"/>
  <c r="D64" i="3"/>
  <c r="D61" i="6"/>
  <c r="C61" i="6"/>
  <c r="D65" i="3" l="1"/>
  <c r="C65" i="3"/>
  <c r="F63" i="3"/>
  <c r="J63" i="6" s="1"/>
  <c r="Q64" i="6"/>
  <c r="R64" i="6"/>
  <c r="U64" i="6" s="1"/>
  <c r="V64" i="6" s="1"/>
  <c r="E64" i="3"/>
  <c r="D62" i="6"/>
  <c r="C62" i="6"/>
  <c r="D63" i="6" l="1"/>
  <c r="C63" i="6"/>
  <c r="Q65" i="6"/>
  <c r="E65" i="3"/>
  <c r="R65" i="6"/>
  <c r="U65" i="6" s="1"/>
  <c r="V65" i="6" s="1"/>
  <c r="D66" i="3"/>
  <c r="C66" i="3"/>
  <c r="F64" i="3"/>
  <c r="J64" i="6" s="1"/>
  <c r="D67" i="3" l="1"/>
  <c r="C67" i="3"/>
  <c r="D64" i="6"/>
  <c r="C64" i="6"/>
  <c r="AO20" i="6"/>
  <c r="AP20" i="6" s="1"/>
  <c r="F65" i="3"/>
  <c r="J65" i="6" s="1"/>
  <c r="Q66" i="6"/>
  <c r="R66" i="6"/>
  <c r="U66" i="6" s="1"/>
  <c r="V66" i="6" s="1"/>
  <c r="E66" i="3"/>
  <c r="F66" i="3" l="1"/>
  <c r="J66" i="6" s="1"/>
  <c r="D65" i="6"/>
  <c r="C65" i="6"/>
  <c r="Q67" i="6"/>
  <c r="R67" i="6"/>
  <c r="U67" i="6" s="1"/>
  <c r="V67" i="6" s="1"/>
  <c r="E67" i="3"/>
  <c r="C68" i="3"/>
  <c r="D68" i="3"/>
  <c r="F67" i="3" l="1"/>
  <c r="J67" i="6" s="1"/>
  <c r="D69" i="3"/>
  <c r="C69" i="3"/>
  <c r="Q68" i="6"/>
  <c r="R68" i="6"/>
  <c r="U68" i="6" s="1"/>
  <c r="V68" i="6" s="1"/>
  <c r="E68" i="3"/>
  <c r="C66" i="6"/>
  <c r="D66" i="6"/>
  <c r="F68" i="3" l="1"/>
  <c r="J68" i="6" s="1"/>
  <c r="D70" i="3"/>
  <c r="C70" i="3"/>
  <c r="Q69" i="6"/>
  <c r="R69" i="6"/>
  <c r="U69" i="6" s="1"/>
  <c r="V69" i="6" s="1"/>
  <c r="E69" i="3"/>
  <c r="C67" i="6"/>
  <c r="D67" i="6"/>
  <c r="D71" i="3" l="1"/>
  <c r="C71" i="3"/>
  <c r="Q70" i="6"/>
  <c r="R70" i="6"/>
  <c r="U70" i="6" s="1"/>
  <c r="V70" i="6" s="1"/>
  <c r="E70" i="3"/>
  <c r="F69" i="3"/>
  <c r="J69" i="6" s="1"/>
  <c r="C68" i="6"/>
  <c r="AO19" i="6"/>
  <c r="AP19" i="6" s="1"/>
  <c r="D68" i="6"/>
  <c r="C72" i="3" l="1"/>
  <c r="D72" i="3"/>
  <c r="F70" i="3"/>
  <c r="J70" i="6" s="1"/>
  <c r="Q71" i="6"/>
  <c r="R71" i="6"/>
  <c r="U71" i="6" s="1"/>
  <c r="V71" i="6" s="1"/>
  <c r="E71" i="3"/>
  <c r="C69" i="6"/>
  <c r="D69" i="6"/>
  <c r="C70" i="6" l="1"/>
  <c r="D70" i="6"/>
  <c r="D73" i="3"/>
  <c r="C73" i="3"/>
  <c r="Q72" i="6"/>
  <c r="R72" i="6"/>
  <c r="U72" i="6" s="1"/>
  <c r="V72" i="6" s="1"/>
  <c r="E72" i="3"/>
  <c r="F71" i="3"/>
  <c r="J71" i="6" s="1"/>
  <c r="D74" i="3" l="1"/>
  <c r="C74" i="3"/>
  <c r="Q73" i="6"/>
  <c r="R73" i="6"/>
  <c r="U73" i="6" s="1"/>
  <c r="V73" i="6" s="1"/>
  <c r="E73" i="3"/>
  <c r="C71" i="6"/>
  <c r="D71" i="6"/>
  <c r="F72" i="3"/>
  <c r="J72" i="6" s="1"/>
  <c r="D75" i="3" l="1"/>
  <c r="C75" i="3"/>
  <c r="C72" i="6"/>
  <c r="D72" i="6"/>
  <c r="Q74" i="6"/>
  <c r="R74" i="6"/>
  <c r="U74" i="6" s="1"/>
  <c r="V74" i="6" s="1"/>
  <c r="E74" i="3"/>
  <c r="F73" i="3"/>
  <c r="J73" i="6" s="1"/>
  <c r="C76" i="3" l="1"/>
  <c r="D76" i="3"/>
  <c r="F74" i="3"/>
  <c r="J74" i="6" s="1"/>
  <c r="Q75" i="6"/>
  <c r="R75" i="6"/>
  <c r="U75" i="6" s="1"/>
  <c r="V75" i="6" s="1"/>
  <c r="E75" i="3"/>
  <c r="C73" i="6"/>
  <c r="D73" i="6"/>
  <c r="AO18" i="6"/>
  <c r="AP18" i="6" s="1"/>
  <c r="K34" i="3" l="1"/>
  <c r="C77" i="3"/>
  <c r="D77" i="3"/>
  <c r="Q76" i="6"/>
  <c r="R76" i="6"/>
  <c r="U76" i="6" s="1"/>
  <c r="V76" i="6" s="1"/>
  <c r="E76" i="3"/>
  <c r="F75" i="3"/>
  <c r="J75" i="6" s="1"/>
  <c r="C74" i="6"/>
  <c r="D74" i="6"/>
  <c r="C75" i="6" l="1"/>
  <c r="D75" i="6"/>
  <c r="D78" i="3"/>
  <c r="C78" i="3"/>
  <c r="F76" i="3"/>
  <c r="J76" i="6" s="1"/>
  <c r="Q77" i="6"/>
  <c r="R77" i="6"/>
  <c r="U77" i="6" s="1"/>
  <c r="V77" i="6" s="1"/>
  <c r="E77" i="3"/>
  <c r="F77" i="3" l="1"/>
  <c r="J77" i="6" s="1"/>
  <c r="C76" i="6"/>
  <c r="D76" i="6"/>
  <c r="D79" i="3"/>
  <c r="C79" i="3"/>
  <c r="Q78" i="6"/>
  <c r="R78" i="6"/>
  <c r="U78" i="6" s="1"/>
  <c r="V78" i="6" s="1"/>
  <c r="E78" i="3"/>
  <c r="Q79" i="6" l="1"/>
  <c r="R79" i="6"/>
  <c r="U79" i="6" s="1"/>
  <c r="V79" i="6" s="1"/>
  <c r="E79" i="3"/>
  <c r="D80" i="3"/>
  <c r="C80" i="3"/>
  <c r="F78" i="3"/>
  <c r="J78" i="6" s="1"/>
  <c r="C77" i="6"/>
  <c r="D77" i="6"/>
  <c r="C78" i="6" l="1"/>
  <c r="D78" i="6"/>
  <c r="Q80" i="6"/>
  <c r="R80" i="6"/>
  <c r="U80" i="6" s="1"/>
  <c r="V80" i="6" s="1"/>
  <c r="E80" i="3"/>
  <c r="F79" i="3"/>
  <c r="J79" i="6" s="1"/>
  <c r="D81" i="3"/>
  <c r="C81" i="3"/>
  <c r="D82" i="3" l="1"/>
  <c r="C82" i="3"/>
  <c r="C79" i="6"/>
  <c r="D79" i="6"/>
  <c r="Q81" i="6"/>
  <c r="R81" i="6"/>
  <c r="U81" i="6" s="1"/>
  <c r="V81" i="6" s="1"/>
  <c r="E81" i="3"/>
  <c r="F80" i="3"/>
  <c r="J80" i="6" s="1"/>
  <c r="C80" i="6" l="1"/>
  <c r="D80" i="6"/>
  <c r="F81" i="3"/>
  <c r="J81" i="6" s="1"/>
  <c r="Q82" i="6"/>
  <c r="E82" i="3"/>
  <c r="R82" i="6"/>
  <c r="U82" i="6" s="1"/>
  <c r="V82" i="6" s="1"/>
  <c r="D83" i="3"/>
  <c r="C83" i="3"/>
  <c r="D84" i="3" l="1"/>
  <c r="C84" i="3"/>
  <c r="Q83" i="6"/>
  <c r="R83" i="6"/>
  <c r="U83" i="6" s="1"/>
  <c r="V83" i="6" s="1"/>
  <c r="E83" i="3"/>
  <c r="F82" i="3"/>
  <c r="J82" i="6" s="1"/>
  <c r="C81" i="6"/>
  <c r="AO17" i="6"/>
  <c r="AP17" i="6" s="1"/>
  <c r="D81" i="6"/>
  <c r="D85" i="3" l="1"/>
  <c r="C85" i="3"/>
  <c r="C82" i="6"/>
  <c r="D82" i="6"/>
  <c r="F83" i="3"/>
  <c r="J83" i="6" s="1"/>
  <c r="Q84" i="6"/>
  <c r="R84" i="6"/>
  <c r="U84" i="6" s="1"/>
  <c r="V84" i="6" s="1"/>
  <c r="E84" i="3"/>
  <c r="F84" i="3" l="1"/>
  <c r="J84" i="6" s="1"/>
  <c r="D86" i="3"/>
  <c r="C86" i="3"/>
  <c r="Q85" i="6"/>
  <c r="R85" i="6"/>
  <c r="U85" i="6" s="1"/>
  <c r="V85" i="6" s="1"/>
  <c r="E85" i="3"/>
  <c r="C83" i="6"/>
  <c r="D83" i="6"/>
  <c r="D87" i="3" l="1"/>
  <c r="C87" i="3"/>
  <c r="F85" i="3"/>
  <c r="J85" i="6" s="1"/>
  <c r="Q86" i="6"/>
  <c r="R86" i="6"/>
  <c r="U86" i="6" s="1"/>
  <c r="V86" i="6" s="1"/>
  <c r="E86" i="3"/>
  <c r="C84" i="6"/>
  <c r="D84" i="6"/>
  <c r="D88" i="3" l="1"/>
  <c r="C88" i="3"/>
  <c r="C85" i="6"/>
  <c r="D85" i="6"/>
  <c r="Q87" i="6"/>
  <c r="R87" i="6"/>
  <c r="U87" i="6" s="1"/>
  <c r="V87" i="6" s="1"/>
  <c r="E87" i="3"/>
  <c r="F86" i="3"/>
  <c r="J86" i="6" s="1"/>
  <c r="F87" i="3" l="1"/>
  <c r="J87" i="6" s="1"/>
  <c r="C86" i="6"/>
  <c r="D86" i="6"/>
  <c r="C89" i="3"/>
  <c r="D89" i="3"/>
  <c r="Q88" i="6"/>
  <c r="R88" i="6"/>
  <c r="U88" i="6" s="1"/>
  <c r="V88" i="6" s="1"/>
  <c r="E88" i="3"/>
  <c r="C87" i="6" l="1"/>
  <c r="D87" i="6"/>
  <c r="F88" i="3"/>
  <c r="J88" i="6" s="1"/>
  <c r="D90" i="3"/>
  <c r="C90" i="3"/>
  <c r="Q89" i="6"/>
  <c r="R89" i="6"/>
  <c r="U89" i="6" s="1"/>
  <c r="V89" i="6" s="1"/>
  <c r="E89" i="3"/>
  <c r="C88" i="6" l="1"/>
  <c r="D88" i="6"/>
  <c r="D91" i="3"/>
  <c r="C91" i="3"/>
  <c r="Q90" i="6"/>
  <c r="R90" i="6"/>
  <c r="U90" i="6" s="1"/>
  <c r="V90" i="6" s="1"/>
  <c r="E90" i="3"/>
  <c r="F89" i="3"/>
  <c r="J89" i="6" s="1"/>
  <c r="D92" i="3" l="1"/>
  <c r="C92" i="3"/>
  <c r="Q91" i="6"/>
  <c r="R91" i="6"/>
  <c r="U91" i="6" s="1"/>
  <c r="V91" i="6" s="1"/>
  <c r="E91" i="3"/>
  <c r="F90" i="3"/>
  <c r="J90" i="6" s="1"/>
  <c r="C89" i="6"/>
  <c r="D89" i="6"/>
  <c r="Q92" i="6" l="1"/>
  <c r="R92" i="6"/>
  <c r="U92" i="6" s="1"/>
  <c r="V92" i="6" s="1"/>
  <c r="E92" i="3"/>
  <c r="C90" i="6"/>
  <c r="D90" i="6"/>
  <c r="F91" i="3"/>
  <c r="J91" i="6" s="1"/>
  <c r="D93" i="3"/>
  <c r="C93" i="3"/>
  <c r="C91" i="6" l="1"/>
  <c r="D91" i="6"/>
  <c r="AO16" i="6"/>
  <c r="AP16" i="6" s="1"/>
  <c r="Q93" i="6"/>
  <c r="R93" i="6"/>
  <c r="U93" i="6" s="1"/>
  <c r="V93" i="6" s="1"/>
  <c r="E93" i="3"/>
  <c r="F92" i="3"/>
  <c r="J92" i="6" s="1"/>
  <c r="C94" i="3"/>
  <c r="D94" i="3"/>
  <c r="Q94" i="6" l="1"/>
  <c r="R94" i="6"/>
  <c r="U94" i="6" s="1"/>
  <c r="V94" i="6" s="1"/>
  <c r="E94" i="3"/>
  <c r="D95" i="3"/>
  <c r="C95" i="3"/>
  <c r="AC17" i="6"/>
  <c r="C92" i="6"/>
  <c r="D92" i="6"/>
  <c r="F93" i="3"/>
  <c r="J93" i="6" s="1"/>
  <c r="D96" i="3" l="1"/>
  <c r="C96" i="3"/>
  <c r="Q95" i="6"/>
  <c r="R95" i="6"/>
  <c r="U95" i="6" s="1"/>
  <c r="V95" i="6" s="1"/>
  <c r="E95" i="3"/>
  <c r="F94" i="3"/>
  <c r="J94" i="6" s="1"/>
  <c r="C93" i="6"/>
  <c r="D93" i="6"/>
  <c r="C97" i="3" l="1"/>
  <c r="D97" i="3"/>
  <c r="F95" i="3"/>
  <c r="J95" i="6" s="1"/>
  <c r="Q96" i="6"/>
  <c r="R96" i="6"/>
  <c r="U96" i="6" s="1"/>
  <c r="V96" i="6" s="1"/>
  <c r="E96" i="3"/>
  <c r="C94" i="6"/>
  <c r="D94" i="6"/>
  <c r="C95" i="6" l="1"/>
  <c r="D95" i="6"/>
  <c r="AO15" i="6"/>
  <c r="AP15" i="6" s="1"/>
  <c r="C98" i="3"/>
  <c r="D98" i="3"/>
  <c r="F96" i="3"/>
  <c r="J96" i="6" s="1"/>
  <c r="Q97" i="6"/>
  <c r="R97" i="6"/>
  <c r="U97" i="6" s="1"/>
  <c r="V97" i="6" s="1"/>
  <c r="E97" i="3"/>
  <c r="R98" i="6" l="1"/>
  <c r="U98" i="6" s="1"/>
  <c r="V98" i="6" s="1"/>
  <c r="Q98" i="6"/>
  <c r="E98" i="3"/>
  <c r="D99" i="3"/>
  <c r="C99" i="3"/>
  <c r="F97" i="3"/>
  <c r="J97" i="6" s="1"/>
  <c r="C96" i="6"/>
  <c r="D96" i="6"/>
  <c r="C100" i="3" l="1"/>
  <c r="D100" i="3"/>
  <c r="F98" i="3"/>
  <c r="J98" i="6" s="1"/>
  <c r="C97" i="6"/>
  <c r="D97" i="6"/>
  <c r="R99" i="6"/>
  <c r="U99" i="6" s="1"/>
  <c r="V99" i="6" s="1"/>
  <c r="Q99" i="6"/>
  <c r="E99" i="3"/>
  <c r="D98" i="6" l="1"/>
  <c r="C98" i="6"/>
  <c r="F99" i="3"/>
  <c r="J99" i="6" s="1"/>
  <c r="C101" i="3"/>
  <c r="D101" i="3"/>
  <c r="R100" i="6"/>
  <c r="U100" i="6" s="1"/>
  <c r="V100" i="6" s="1"/>
  <c r="Q100" i="6"/>
  <c r="E100" i="3"/>
  <c r="F100" i="3" l="1"/>
  <c r="J100" i="6" s="1"/>
  <c r="D102" i="3"/>
  <c r="C102" i="3"/>
  <c r="D99" i="6"/>
  <c r="C99" i="6"/>
  <c r="AO14" i="6"/>
  <c r="AP14" i="6" s="1"/>
  <c r="R101" i="6"/>
  <c r="U101" i="6" s="1"/>
  <c r="V101" i="6" s="1"/>
  <c r="Q101" i="6"/>
  <c r="E101" i="3"/>
  <c r="D103" i="3" l="1"/>
  <c r="C103" i="3"/>
  <c r="F101" i="3"/>
  <c r="J101" i="6" s="1"/>
  <c r="R102" i="6"/>
  <c r="U102" i="6" s="1"/>
  <c r="V102" i="6" s="1"/>
  <c r="Q102" i="6"/>
  <c r="E102" i="3"/>
  <c r="D100" i="6"/>
  <c r="C100" i="6"/>
  <c r="R103" i="6" l="1"/>
  <c r="U103" i="6" s="1"/>
  <c r="V103" i="6" s="1"/>
  <c r="Q103" i="6"/>
  <c r="E103" i="3"/>
  <c r="F102" i="3"/>
  <c r="J102" i="6" s="1"/>
  <c r="C101" i="6"/>
  <c r="D101" i="6"/>
  <c r="C104" i="3"/>
  <c r="D104" i="3"/>
  <c r="R104" i="6" l="1"/>
  <c r="U104" i="6" s="1"/>
  <c r="V104" i="6" s="1"/>
  <c r="Q104" i="6"/>
  <c r="E104" i="3"/>
  <c r="D105" i="3"/>
  <c r="C105" i="3"/>
  <c r="D102" i="6"/>
  <c r="C102" i="6"/>
  <c r="F103" i="3"/>
  <c r="J103" i="6" s="1"/>
  <c r="R105" i="6" l="1"/>
  <c r="U105" i="6" s="1"/>
  <c r="V105" i="6" s="1"/>
  <c r="Q105" i="6"/>
  <c r="E105" i="3"/>
  <c r="F104" i="3"/>
  <c r="J104" i="6" s="1"/>
  <c r="C103" i="6"/>
  <c r="D103" i="6"/>
  <c r="D106" i="3"/>
  <c r="C106" i="3"/>
  <c r="D107" i="3" l="1"/>
  <c r="C107" i="3"/>
  <c r="R106" i="6"/>
  <c r="U106" i="6" s="1"/>
  <c r="V106" i="6" s="1"/>
  <c r="Q106" i="6"/>
  <c r="E106" i="3"/>
  <c r="D104" i="6"/>
  <c r="C104" i="6"/>
  <c r="F105" i="3"/>
  <c r="J105" i="6" s="1"/>
  <c r="F106" i="3" l="1"/>
  <c r="J106" i="6" s="1"/>
  <c r="D108" i="3"/>
  <c r="C108" i="3"/>
  <c r="C105" i="6"/>
  <c r="D105" i="6"/>
  <c r="R107" i="6"/>
  <c r="U107" i="6" s="1"/>
  <c r="V107" i="6" s="1"/>
  <c r="Q107" i="6"/>
  <c r="E107" i="3"/>
  <c r="R108" i="6" l="1"/>
  <c r="U108" i="6" s="1"/>
  <c r="V108" i="6" s="1"/>
  <c r="Q108" i="6"/>
  <c r="E108" i="3"/>
  <c r="F107" i="3"/>
  <c r="J107" i="6" s="1"/>
  <c r="D106" i="6"/>
  <c r="C106" i="6"/>
  <c r="D109" i="3"/>
  <c r="C109" i="3"/>
  <c r="C107" i="6" l="1"/>
  <c r="D107" i="6"/>
  <c r="AO13" i="6"/>
  <c r="AP13" i="6" s="1"/>
  <c r="D110" i="3"/>
  <c r="C110" i="3"/>
  <c r="F108" i="3"/>
  <c r="J108" i="6" s="1"/>
  <c r="R109" i="6"/>
  <c r="U109" i="6" s="1"/>
  <c r="V109" i="6" s="1"/>
  <c r="Q109" i="6"/>
  <c r="E109" i="3"/>
  <c r="D108" i="6" l="1"/>
  <c r="C108" i="6"/>
  <c r="D111" i="3"/>
  <c r="C111" i="3"/>
  <c r="F109" i="3"/>
  <c r="J109" i="6" s="1"/>
  <c r="R110" i="6"/>
  <c r="U110" i="6" s="1"/>
  <c r="V110" i="6" s="1"/>
  <c r="Q110" i="6"/>
  <c r="E110" i="3"/>
  <c r="R111" i="6" l="1"/>
  <c r="U111" i="6" s="1"/>
  <c r="V111" i="6" s="1"/>
  <c r="Q111" i="6"/>
  <c r="E111" i="3"/>
  <c r="C109" i="6"/>
  <c r="D109" i="6"/>
  <c r="C112" i="3"/>
  <c r="D112" i="3"/>
  <c r="F110" i="3"/>
  <c r="J110" i="6" s="1"/>
  <c r="R112" i="6" l="1"/>
  <c r="U112" i="6" s="1"/>
  <c r="V112" i="6" s="1"/>
  <c r="Q112" i="6"/>
  <c r="E112" i="3"/>
  <c r="F111" i="3"/>
  <c r="J111" i="6" s="1"/>
  <c r="D113" i="3"/>
  <c r="C113" i="3"/>
  <c r="D110" i="6"/>
  <c r="C110" i="6"/>
  <c r="F112" i="3" l="1"/>
  <c r="J112" i="6" s="1"/>
  <c r="D114" i="3"/>
  <c r="C114" i="3"/>
  <c r="C111" i="6"/>
  <c r="D111" i="6"/>
  <c r="Q113" i="6"/>
  <c r="R113" i="6"/>
  <c r="U113" i="6" s="1"/>
  <c r="V113" i="6" s="1"/>
  <c r="E113" i="3"/>
  <c r="D115" i="3" l="1"/>
  <c r="C115" i="3"/>
  <c r="Q114" i="6"/>
  <c r="R114" i="6"/>
  <c r="U114" i="6" s="1"/>
  <c r="V114" i="6" s="1"/>
  <c r="E114" i="3"/>
  <c r="F113" i="3"/>
  <c r="J113" i="6" s="1"/>
  <c r="D112" i="6"/>
  <c r="C112" i="6"/>
  <c r="D113" i="6" l="1"/>
  <c r="C113" i="6"/>
  <c r="C116" i="3"/>
  <c r="D116" i="3"/>
  <c r="Q115" i="6"/>
  <c r="R115" i="6"/>
  <c r="U115" i="6" s="1"/>
  <c r="V115" i="6" s="1"/>
  <c r="E115" i="3"/>
  <c r="F114" i="3"/>
  <c r="J114" i="6" s="1"/>
  <c r="Q116" i="6" l="1"/>
  <c r="R116" i="6"/>
  <c r="U116" i="6" s="1"/>
  <c r="V116" i="6" s="1"/>
  <c r="E116" i="3"/>
  <c r="C117" i="3"/>
  <c r="D117" i="3"/>
  <c r="D114" i="6"/>
  <c r="C114" i="6"/>
  <c r="F115" i="3"/>
  <c r="J115" i="6" s="1"/>
  <c r="D115" i="6" l="1"/>
  <c r="C115" i="6"/>
  <c r="Q117" i="6"/>
  <c r="R117" i="6"/>
  <c r="U117" i="6" s="1"/>
  <c r="V117" i="6" s="1"/>
  <c r="E117" i="3"/>
  <c r="D118" i="3"/>
  <c r="C118" i="3"/>
  <c r="F116" i="3"/>
  <c r="J116" i="6" s="1"/>
  <c r="D119" i="3" l="1"/>
  <c r="C119" i="3"/>
  <c r="Q118" i="6"/>
  <c r="R118" i="6"/>
  <c r="U118" i="6" s="1"/>
  <c r="V118" i="6" s="1"/>
  <c r="E118" i="3"/>
  <c r="D116" i="6"/>
  <c r="C116" i="6"/>
  <c r="F117" i="3"/>
  <c r="J117" i="6" s="1"/>
  <c r="C120" i="3" l="1"/>
  <c r="D120" i="3"/>
  <c r="Q119" i="6"/>
  <c r="R119" i="6"/>
  <c r="U119" i="6" s="1"/>
  <c r="V119" i="6" s="1"/>
  <c r="E119" i="3"/>
  <c r="F118" i="3"/>
  <c r="J118" i="6" s="1"/>
  <c r="D117" i="6"/>
  <c r="C117" i="6"/>
  <c r="AO12" i="6"/>
  <c r="AP12" i="6" s="1"/>
  <c r="F119" i="3" l="1"/>
  <c r="J119" i="6" s="1"/>
  <c r="D121" i="3"/>
  <c r="C121" i="3"/>
  <c r="D118" i="6"/>
  <c r="C118" i="6"/>
  <c r="Q120" i="6"/>
  <c r="R120" i="6"/>
  <c r="U120" i="6" s="1"/>
  <c r="V120" i="6" s="1"/>
  <c r="E120" i="3"/>
  <c r="Q121" i="6" l="1"/>
  <c r="R121" i="6"/>
  <c r="U121" i="6" s="1"/>
  <c r="V121" i="6" s="1"/>
  <c r="E121" i="3"/>
  <c r="D122" i="3"/>
  <c r="C122" i="3"/>
  <c r="F120" i="3"/>
  <c r="J120" i="6" s="1"/>
  <c r="D119" i="6"/>
  <c r="C119" i="6"/>
  <c r="D123" i="3" l="1"/>
  <c r="C123" i="3"/>
  <c r="F121" i="3"/>
  <c r="J121" i="6" s="1"/>
  <c r="D120" i="6"/>
  <c r="C120" i="6"/>
  <c r="AO11" i="6"/>
  <c r="AP11" i="6" s="1"/>
  <c r="Q122" i="6"/>
  <c r="R122" i="6"/>
  <c r="U122" i="6" s="1"/>
  <c r="V122" i="6" s="1"/>
  <c r="E122" i="3"/>
  <c r="C124" i="3" l="1"/>
  <c r="D124" i="3"/>
  <c r="F122" i="3"/>
  <c r="J122" i="6" s="1"/>
  <c r="D121" i="6"/>
  <c r="C121" i="6"/>
  <c r="Q123" i="6"/>
  <c r="R123" i="6"/>
  <c r="U123" i="6" s="1"/>
  <c r="V123" i="6" s="1"/>
  <c r="E123" i="3"/>
  <c r="Q124" i="6" l="1"/>
  <c r="R124" i="6"/>
  <c r="U124" i="6" s="1"/>
  <c r="V124" i="6" s="1"/>
  <c r="E124" i="3"/>
  <c r="F123" i="3"/>
  <c r="J123" i="6" s="1"/>
  <c r="D122" i="6"/>
  <c r="C122" i="6"/>
  <c r="C125" i="3"/>
  <c r="D125" i="3"/>
  <c r="D123" i="6" l="1"/>
  <c r="C123" i="6"/>
  <c r="F124" i="3"/>
  <c r="J124" i="6" s="1"/>
  <c r="Q125" i="6"/>
  <c r="R125" i="6"/>
  <c r="U125" i="6" s="1"/>
  <c r="V125" i="6" s="1"/>
  <c r="E125" i="3"/>
  <c r="D126" i="3"/>
  <c r="C126" i="3"/>
  <c r="F125" i="3" l="1"/>
  <c r="J125" i="6" s="1"/>
  <c r="D124" i="6"/>
  <c r="C124" i="6"/>
  <c r="D127" i="3"/>
  <c r="C127" i="3"/>
  <c r="Q126" i="6"/>
  <c r="R126" i="6"/>
  <c r="U126" i="6" s="1"/>
  <c r="V126" i="6" s="1"/>
  <c r="E126" i="3"/>
  <c r="F126" i="3" l="1"/>
  <c r="J126" i="6" s="1"/>
  <c r="Q127" i="6"/>
  <c r="R127" i="6"/>
  <c r="U127" i="6" s="1"/>
  <c r="V127" i="6" s="1"/>
  <c r="E127" i="3"/>
  <c r="C128" i="3"/>
  <c r="D128" i="3"/>
  <c r="D125" i="6"/>
  <c r="C125" i="6"/>
  <c r="AO10" i="6"/>
  <c r="AP10" i="6" s="1"/>
  <c r="C129" i="3" l="1"/>
  <c r="D129" i="3"/>
  <c r="F127" i="3"/>
  <c r="J127" i="6" s="1"/>
  <c r="D126" i="6"/>
  <c r="C126" i="6"/>
  <c r="Q128" i="6"/>
  <c r="R128" i="6"/>
  <c r="U128" i="6" s="1"/>
  <c r="V128" i="6" s="1"/>
  <c r="E128" i="3"/>
  <c r="F128" i="3" l="1"/>
  <c r="J128" i="6" s="1"/>
  <c r="D127" i="6"/>
  <c r="C127" i="6"/>
  <c r="D130" i="3"/>
  <c r="C130" i="3"/>
  <c r="R129" i="6"/>
  <c r="U129" i="6" s="1"/>
  <c r="V129" i="6" s="1"/>
  <c r="Q129" i="6"/>
  <c r="E129" i="3"/>
  <c r="R130" i="6" l="1"/>
  <c r="U130" i="6" s="1"/>
  <c r="V130" i="6" s="1"/>
  <c r="Q130" i="6"/>
  <c r="E130" i="3"/>
  <c r="F129" i="3"/>
  <c r="J129" i="6" s="1"/>
  <c r="D131" i="3"/>
  <c r="C131" i="3"/>
  <c r="D128" i="6"/>
  <c r="C128" i="6"/>
  <c r="D129" i="6" l="1"/>
  <c r="C129" i="6"/>
  <c r="C132" i="3"/>
  <c r="D132" i="3"/>
  <c r="F130" i="3"/>
  <c r="J130" i="6" s="1"/>
  <c r="R131" i="6"/>
  <c r="U131" i="6" s="1"/>
  <c r="V131" i="6" s="1"/>
  <c r="Q131" i="6"/>
  <c r="E131" i="3"/>
  <c r="R132" i="6" l="1"/>
  <c r="U132" i="6" s="1"/>
  <c r="V132" i="6" s="1"/>
  <c r="Q132" i="6"/>
  <c r="E132" i="3"/>
  <c r="D130" i="6"/>
  <c r="C130" i="6"/>
  <c r="F131" i="3"/>
  <c r="J131" i="6" s="1"/>
  <c r="D133" i="3"/>
  <c r="C133" i="3"/>
  <c r="F132" i="3" l="1"/>
  <c r="J132" i="6" s="1"/>
  <c r="D134" i="3"/>
  <c r="C134" i="3"/>
  <c r="R133" i="6"/>
  <c r="U133" i="6" s="1"/>
  <c r="V133" i="6" s="1"/>
  <c r="Q133" i="6"/>
  <c r="E133" i="3"/>
  <c r="D131" i="6"/>
  <c r="C131" i="6"/>
  <c r="F133" i="3" l="1"/>
  <c r="J133" i="6" s="1"/>
  <c r="R134" i="6"/>
  <c r="U134" i="6" s="1"/>
  <c r="V134" i="6" s="1"/>
  <c r="Q134" i="6"/>
  <c r="E134" i="3"/>
  <c r="D135" i="3"/>
  <c r="C135" i="3"/>
  <c r="D132" i="6"/>
  <c r="C132" i="6"/>
  <c r="C136" i="3" l="1"/>
  <c r="G135" i="6" s="1"/>
  <c r="D136" i="3"/>
  <c r="F134" i="3"/>
  <c r="J134" i="6" s="1"/>
  <c r="Q135" i="6"/>
  <c r="R135" i="6"/>
  <c r="U135" i="6" s="1"/>
  <c r="V135" i="6" s="1"/>
  <c r="E135" i="3"/>
  <c r="D133" i="6"/>
  <c r="C133" i="6"/>
  <c r="AO9" i="6"/>
  <c r="AP9" i="6" s="1"/>
  <c r="D134" i="6" l="1"/>
  <c r="C134" i="6"/>
  <c r="F135" i="3"/>
  <c r="J135" i="6" s="1"/>
  <c r="G136" i="6"/>
  <c r="H136" i="6" s="1"/>
  <c r="Q136" i="6"/>
  <c r="R136" i="6"/>
  <c r="U136" i="6" s="1"/>
  <c r="V136" i="6" s="1"/>
  <c r="P9" i="6" s="1"/>
  <c r="E136" i="3"/>
  <c r="H30" i="3"/>
  <c r="G18" i="6"/>
  <c r="H18" i="6" s="1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H131" i="6" l="1"/>
  <c r="H123" i="6"/>
  <c r="H115" i="6"/>
  <c r="H107" i="6"/>
  <c r="H99" i="6"/>
  <c r="H91" i="6"/>
  <c r="H83" i="6"/>
  <c r="H75" i="6"/>
  <c r="H67" i="6"/>
  <c r="H59" i="6"/>
  <c r="H51" i="6"/>
  <c r="H43" i="6"/>
  <c r="H35" i="6"/>
  <c r="H27" i="6"/>
  <c r="H19" i="6"/>
  <c r="H127" i="6"/>
  <c r="H119" i="6"/>
  <c r="H111" i="6"/>
  <c r="H103" i="6"/>
  <c r="H95" i="6"/>
  <c r="H87" i="6"/>
  <c r="H79" i="6"/>
  <c r="H71" i="6"/>
  <c r="H63" i="6"/>
  <c r="H55" i="6"/>
  <c r="H47" i="6"/>
  <c r="H39" i="6"/>
  <c r="H31" i="6"/>
  <c r="H23" i="6"/>
  <c r="H132" i="6"/>
  <c r="H124" i="6"/>
  <c r="H116" i="6"/>
  <c r="H108" i="6"/>
  <c r="H100" i="6"/>
  <c r="H92" i="6"/>
  <c r="H84" i="6"/>
  <c r="H76" i="6"/>
  <c r="H68" i="6"/>
  <c r="H60" i="6"/>
  <c r="H52" i="6"/>
  <c r="H44" i="6"/>
  <c r="H36" i="6"/>
  <c r="H28" i="6"/>
  <c r="H130" i="6"/>
  <c r="H122" i="6"/>
  <c r="H114" i="6"/>
  <c r="H106" i="6"/>
  <c r="H98" i="6"/>
  <c r="H90" i="6"/>
  <c r="H82" i="6"/>
  <c r="H74" i="6"/>
  <c r="H66" i="6"/>
  <c r="H58" i="6"/>
  <c r="H50" i="6"/>
  <c r="H42" i="6"/>
  <c r="H34" i="6"/>
  <c r="H26" i="6"/>
  <c r="H128" i="6"/>
  <c r="H120" i="6"/>
  <c r="H112" i="6"/>
  <c r="H104" i="6"/>
  <c r="H96" i="6"/>
  <c r="H88" i="6"/>
  <c r="H80" i="6"/>
  <c r="H72" i="6"/>
  <c r="H64" i="6"/>
  <c r="H56" i="6"/>
  <c r="H48" i="6"/>
  <c r="H40" i="6"/>
  <c r="H32" i="6"/>
  <c r="H24" i="6"/>
  <c r="H134" i="6"/>
  <c r="H126" i="6"/>
  <c r="H118" i="6"/>
  <c r="H110" i="6"/>
  <c r="H102" i="6"/>
  <c r="H94" i="6"/>
  <c r="H86" i="6"/>
  <c r="H78" i="6"/>
  <c r="H70" i="6"/>
  <c r="H62" i="6"/>
  <c r="H54" i="6"/>
  <c r="H46" i="6"/>
  <c r="H38" i="6"/>
  <c r="H30" i="6"/>
  <c r="H22" i="6"/>
  <c r="H20" i="6"/>
  <c r="H133" i="6"/>
  <c r="H125" i="6"/>
  <c r="H117" i="6"/>
  <c r="H109" i="6"/>
  <c r="H101" i="6"/>
  <c r="H93" i="6"/>
  <c r="H85" i="6"/>
  <c r="H77" i="6"/>
  <c r="H69" i="6"/>
  <c r="H61" i="6"/>
  <c r="H53" i="6"/>
  <c r="H45" i="6"/>
  <c r="H37" i="6"/>
  <c r="H29" i="6"/>
  <c r="H21" i="6"/>
  <c r="H135" i="6"/>
  <c r="F136" i="3"/>
  <c r="J136" i="6" s="1"/>
  <c r="D135" i="6"/>
  <c r="C135" i="6"/>
  <c r="AO8" i="6"/>
  <c r="O4" i="5"/>
  <c r="M9" i="3"/>
  <c r="O4" i="4"/>
  <c r="H129" i="6"/>
  <c r="H121" i="6"/>
  <c r="H113" i="6"/>
  <c r="H105" i="6"/>
  <c r="H97" i="6"/>
  <c r="H89" i="6"/>
  <c r="H81" i="6"/>
  <c r="H73" i="6"/>
  <c r="H65" i="6"/>
  <c r="H57" i="6"/>
  <c r="H49" i="6"/>
  <c r="H41" i="6"/>
  <c r="H33" i="6"/>
  <c r="H25" i="6"/>
  <c r="K30" i="3"/>
  <c r="M10" i="3" s="1"/>
  <c r="P10" i="6" s="1"/>
  <c r="J30" i="3"/>
  <c r="L30" i="3" s="1"/>
  <c r="M11" i="3" s="1"/>
  <c r="P11" i="6" s="1"/>
  <c r="K19" i="6" l="1"/>
  <c r="K68" i="6"/>
  <c r="K120" i="6"/>
  <c r="K115" i="6"/>
  <c r="K114" i="6"/>
  <c r="K113" i="6"/>
  <c r="K51" i="6"/>
  <c r="K81" i="6"/>
  <c r="K97" i="6"/>
  <c r="K136" i="6"/>
  <c r="K23" i="6"/>
  <c r="K123" i="6"/>
  <c r="K129" i="6"/>
  <c r="K80" i="6"/>
  <c r="K86" i="6"/>
  <c r="K127" i="6"/>
  <c r="K118" i="6"/>
  <c r="K116" i="6"/>
  <c r="K72" i="6"/>
  <c r="K70" i="6"/>
  <c r="K75" i="6"/>
  <c r="K73" i="6"/>
  <c r="K107" i="6"/>
  <c r="K45" i="6"/>
  <c r="K124" i="6"/>
  <c r="K18" i="6"/>
  <c r="K21" i="6"/>
  <c r="K64" i="6"/>
  <c r="K103" i="6"/>
  <c r="K30" i="6"/>
  <c r="K79" i="6"/>
  <c r="K63" i="6"/>
  <c r="K93" i="6"/>
  <c r="K134" i="6"/>
  <c r="K46" i="6"/>
  <c r="K33" i="6"/>
  <c r="K135" i="6"/>
  <c r="K131" i="6"/>
  <c r="K88" i="6"/>
  <c r="K122" i="6"/>
  <c r="K49" i="6"/>
  <c r="K69" i="6"/>
  <c r="K76" i="6"/>
  <c r="K29" i="6"/>
  <c r="K108" i="6"/>
  <c r="K32" i="6"/>
  <c r="K39" i="6"/>
  <c r="K126" i="6"/>
  <c r="K121" i="6"/>
  <c r="K62" i="6"/>
  <c r="K89" i="6"/>
  <c r="K54" i="6"/>
  <c r="K109" i="6"/>
  <c r="AP8" i="6"/>
  <c r="AP7" i="6"/>
  <c r="K133" i="6"/>
  <c r="K112" i="6"/>
  <c r="K91" i="6"/>
  <c r="K66" i="6"/>
  <c r="K84" i="6"/>
  <c r="K52" i="6"/>
  <c r="K56" i="6"/>
  <c r="K74" i="6"/>
  <c r="K38" i="6"/>
  <c r="K128" i="6"/>
  <c r="K59" i="6"/>
  <c r="K105" i="6"/>
  <c r="K98" i="6"/>
  <c r="K34" i="6"/>
  <c r="K41" i="6"/>
  <c r="K67" i="6"/>
  <c r="K22" i="6"/>
  <c r="K82" i="6"/>
  <c r="K60" i="6"/>
  <c r="K28" i="6"/>
  <c r="K57" i="6"/>
  <c r="K26" i="6"/>
  <c r="K100" i="6"/>
  <c r="K36" i="6"/>
  <c r="K99" i="6"/>
  <c r="K87" i="6"/>
  <c r="K24" i="6"/>
  <c r="K53" i="6"/>
  <c r="K106" i="6"/>
  <c r="O6" i="5"/>
  <c r="O6" i="4"/>
  <c r="D136" i="6"/>
  <c r="S132" i="6" s="1"/>
  <c r="W132" i="6" s="1"/>
  <c r="C136" i="6"/>
  <c r="K90" i="6"/>
  <c r="K48" i="6"/>
  <c r="K35" i="6"/>
  <c r="K83" i="6"/>
  <c r="K40" i="6"/>
  <c r="K65" i="6"/>
  <c r="K71" i="6"/>
  <c r="K44" i="6"/>
  <c r="K31" i="6"/>
  <c r="K119" i="6"/>
  <c r="K77" i="6"/>
  <c r="K42" i="6"/>
  <c r="K20" i="6"/>
  <c r="K96" i="6"/>
  <c r="K43" i="6"/>
  <c r="K50" i="6"/>
  <c r="K92" i="6"/>
  <c r="K125" i="6"/>
  <c r="O5" i="5"/>
  <c r="O5" i="4"/>
  <c r="K58" i="6"/>
  <c r="K132" i="6"/>
  <c r="K130" i="6"/>
  <c r="K104" i="6"/>
  <c r="K25" i="6"/>
  <c r="K78" i="6"/>
  <c r="K111" i="6"/>
  <c r="K55" i="6"/>
  <c r="K61" i="6"/>
  <c r="K27" i="6"/>
  <c r="K85" i="6"/>
  <c r="K95" i="6"/>
  <c r="K117" i="6"/>
  <c r="K110" i="6"/>
  <c r="K47" i="6"/>
  <c r="K94" i="6"/>
  <c r="K102" i="6"/>
  <c r="K101" i="6"/>
  <c r="K37" i="6"/>
  <c r="S134" i="6" l="1"/>
  <c r="W134" i="6" s="1"/>
  <c r="S135" i="6"/>
  <c r="W135" i="6" s="1"/>
  <c r="S130" i="6"/>
  <c r="W130" i="6" s="1"/>
  <c r="S136" i="6"/>
  <c r="W136" i="6" s="1"/>
  <c r="S18" i="6"/>
  <c r="S19" i="6"/>
  <c r="W19" i="6" s="1"/>
  <c r="S22" i="6"/>
  <c r="W22" i="6" s="1"/>
  <c r="S20" i="6"/>
  <c r="W20" i="6" s="1"/>
  <c r="S21" i="6"/>
  <c r="W21" i="6" s="1"/>
  <c r="S23" i="6"/>
  <c r="W23" i="6" s="1"/>
  <c r="S24" i="6"/>
  <c r="W24" i="6" s="1"/>
  <c r="S25" i="6"/>
  <c r="W25" i="6" s="1"/>
  <c r="S27" i="6"/>
  <c r="W27" i="6" s="1"/>
  <c r="S26" i="6"/>
  <c r="W26" i="6" s="1"/>
  <c r="S28" i="6"/>
  <c r="W28" i="6" s="1"/>
  <c r="S30" i="6"/>
  <c r="W30" i="6" s="1"/>
  <c r="S29" i="6"/>
  <c r="W29" i="6" s="1"/>
  <c r="S31" i="6"/>
  <c r="W31" i="6" s="1"/>
  <c r="S32" i="6"/>
  <c r="W32" i="6" s="1"/>
  <c r="S34" i="6"/>
  <c r="W34" i="6" s="1"/>
  <c r="S33" i="6"/>
  <c r="W33" i="6" s="1"/>
  <c r="S35" i="6"/>
  <c r="W35" i="6" s="1"/>
  <c r="S36" i="6"/>
  <c r="W36" i="6" s="1"/>
  <c r="S39" i="6"/>
  <c r="W39" i="6" s="1"/>
  <c r="S38" i="6"/>
  <c r="W38" i="6" s="1"/>
  <c r="S37" i="6"/>
  <c r="W37" i="6" s="1"/>
  <c r="S40" i="6"/>
  <c r="W40" i="6" s="1"/>
  <c r="S41" i="6"/>
  <c r="W41" i="6" s="1"/>
  <c r="S42" i="6"/>
  <c r="W42" i="6" s="1"/>
  <c r="S43" i="6"/>
  <c r="W43" i="6" s="1"/>
  <c r="S44" i="6"/>
  <c r="W44" i="6" s="1"/>
  <c r="S45" i="6"/>
  <c r="W45" i="6" s="1"/>
  <c r="S48" i="6"/>
  <c r="W48" i="6" s="1"/>
  <c r="S46" i="6"/>
  <c r="W46" i="6" s="1"/>
  <c r="S49" i="6"/>
  <c r="W49" i="6" s="1"/>
  <c r="S47" i="6"/>
  <c r="W47" i="6" s="1"/>
  <c r="S52" i="6"/>
  <c r="W52" i="6" s="1"/>
  <c r="S50" i="6"/>
  <c r="W50" i="6" s="1"/>
  <c r="S53" i="6"/>
  <c r="W53" i="6" s="1"/>
  <c r="S51" i="6"/>
  <c r="W51" i="6" s="1"/>
  <c r="S54" i="6"/>
  <c r="W54" i="6" s="1"/>
  <c r="S55" i="6"/>
  <c r="W55" i="6" s="1"/>
  <c r="S57" i="6"/>
  <c r="W57" i="6" s="1"/>
  <c r="S58" i="6"/>
  <c r="W58" i="6" s="1"/>
  <c r="S56" i="6"/>
  <c r="W56" i="6" s="1"/>
  <c r="S59" i="6"/>
  <c r="W59" i="6" s="1"/>
  <c r="S61" i="6"/>
  <c r="W61" i="6" s="1"/>
  <c r="S60" i="6"/>
  <c r="W60" i="6" s="1"/>
  <c r="S62" i="6"/>
  <c r="W62" i="6" s="1"/>
  <c r="S63" i="6"/>
  <c r="W63" i="6" s="1"/>
  <c r="S64" i="6"/>
  <c r="W64" i="6" s="1"/>
  <c r="S65" i="6"/>
  <c r="W65" i="6" s="1"/>
  <c r="S66" i="6"/>
  <c r="W66" i="6" s="1"/>
  <c r="S68" i="6"/>
  <c r="W68" i="6" s="1"/>
  <c r="S67" i="6"/>
  <c r="W67" i="6" s="1"/>
  <c r="S71" i="6"/>
  <c r="W71" i="6" s="1"/>
  <c r="S69" i="6"/>
  <c r="W69" i="6" s="1"/>
  <c r="S72" i="6"/>
  <c r="W72" i="6" s="1"/>
  <c r="S73" i="6"/>
  <c r="W73" i="6" s="1"/>
  <c r="S70" i="6"/>
  <c r="W70" i="6" s="1"/>
  <c r="S75" i="6"/>
  <c r="W75" i="6" s="1"/>
  <c r="S74" i="6"/>
  <c r="W74" i="6" s="1"/>
  <c r="S79" i="6"/>
  <c r="W79" i="6" s="1"/>
  <c r="S77" i="6"/>
  <c r="W77" i="6" s="1"/>
  <c r="S76" i="6"/>
  <c r="W76" i="6" s="1"/>
  <c r="S81" i="6"/>
  <c r="W81" i="6" s="1"/>
  <c r="S78" i="6"/>
  <c r="W78" i="6" s="1"/>
  <c r="S83" i="6"/>
  <c r="W83" i="6" s="1"/>
  <c r="S80" i="6"/>
  <c r="W80" i="6" s="1"/>
  <c r="S85" i="6"/>
  <c r="W85" i="6" s="1"/>
  <c r="S82" i="6"/>
  <c r="W82" i="6" s="1"/>
  <c r="S84" i="6"/>
  <c r="W84" i="6" s="1"/>
  <c r="S86" i="6"/>
  <c r="W86" i="6" s="1"/>
  <c r="S88" i="6"/>
  <c r="W88" i="6" s="1"/>
  <c r="S87" i="6"/>
  <c r="W87" i="6" s="1"/>
  <c r="S92" i="6"/>
  <c r="W92" i="6" s="1"/>
  <c r="S90" i="6"/>
  <c r="W90" i="6" s="1"/>
  <c r="S89" i="6"/>
  <c r="W89" i="6" s="1"/>
  <c r="S91" i="6"/>
  <c r="W91" i="6" s="1"/>
  <c r="S96" i="6"/>
  <c r="W96" i="6" s="1"/>
  <c r="S94" i="6"/>
  <c r="W94" i="6" s="1"/>
  <c r="S93" i="6"/>
  <c r="W93" i="6" s="1"/>
  <c r="S95" i="6"/>
  <c r="W95" i="6" s="1"/>
  <c r="S97" i="6"/>
  <c r="W97" i="6" s="1"/>
  <c r="S98" i="6"/>
  <c r="W98" i="6" s="1"/>
  <c r="S103" i="6"/>
  <c r="W103" i="6" s="1"/>
  <c r="S99" i="6"/>
  <c r="W99" i="6" s="1"/>
  <c r="S101" i="6"/>
  <c r="W101" i="6" s="1"/>
  <c r="S100" i="6"/>
  <c r="W100" i="6" s="1"/>
  <c r="S102" i="6"/>
  <c r="W102" i="6" s="1"/>
  <c r="S104" i="6"/>
  <c r="W104" i="6" s="1"/>
  <c r="S105" i="6"/>
  <c r="W105" i="6" s="1"/>
  <c r="S106" i="6"/>
  <c r="W106" i="6" s="1"/>
  <c r="S107" i="6"/>
  <c r="W107" i="6" s="1"/>
  <c r="S109" i="6"/>
  <c r="W109" i="6" s="1"/>
  <c r="S108" i="6"/>
  <c r="W108" i="6" s="1"/>
  <c r="S111" i="6"/>
  <c r="W111" i="6" s="1"/>
  <c r="S110" i="6"/>
  <c r="W110" i="6" s="1"/>
  <c r="S112" i="6"/>
  <c r="W112" i="6" s="1"/>
  <c r="S114" i="6"/>
  <c r="W114" i="6" s="1"/>
  <c r="S115" i="6"/>
  <c r="W115" i="6" s="1"/>
  <c r="S117" i="6"/>
  <c r="W117" i="6" s="1"/>
  <c r="S113" i="6"/>
  <c r="W113" i="6" s="1"/>
  <c r="S116" i="6"/>
  <c r="W116" i="6" s="1"/>
  <c r="S118" i="6"/>
  <c r="W118" i="6" s="1"/>
  <c r="S119" i="6"/>
  <c r="W119" i="6" s="1"/>
  <c r="S120" i="6"/>
  <c r="W120" i="6" s="1"/>
  <c r="S121" i="6"/>
  <c r="W121" i="6" s="1"/>
  <c r="S122" i="6"/>
  <c r="W122" i="6" s="1"/>
  <c r="S123" i="6"/>
  <c r="W123" i="6" s="1"/>
  <c r="S126" i="6"/>
  <c r="W126" i="6" s="1"/>
  <c r="S124" i="6"/>
  <c r="W124" i="6" s="1"/>
  <c r="S127" i="6"/>
  <c r="W127" i="6" s="1"/>
  <c r="S128" i="6"/>
  <c r="W128" i="6" s="1"/>
  <c r="S125" i="6"/>
  <c r="W125" i="6" s="1"/>
  <c r="S129" i="6"/>
  <c r="W129" i="6" s="1"/>
  <c r="S133" i="6"/>
  <c r="W133" i="6" s="1"/>
  <c r="S131" i="6"/>
  <c r="W131" i="6" s="1"/>
  <c r="W18" i="6" l="1"/>
  <c r="X18" i="6" s="1"/>
  <c r="X19" i="6" s="1"/>
  <c r="AD17" i="6"/>
  <c r="AE17" i="6" s="1"/>
  <c r="X20" i="6" l="1"/>
  <c r="X21" i="6" l="1"/>
  <c r="X22" i="6" l="1"/>
  <c r="X23" i="6" l="1"/>
  <c r="X24" i="6" l="1"/>
  <c r="X25" i="6" l="1"/>
  <c r="X26" i="6" l="1"/>
  <c r="X27" i="6" l="1"/>
  <c r="X28" i="6" l="1"/>
  <c r="X29" i="6" l="1"/>
  <c r="X30" i="6" l="1"/>
  <c r="X31" i="6" l="1"/>
  <c r="X32" i="6" l="1"/>
  <c r="X33" i="6" l="1"/>
  <c r="X34" i="6" l="1"/>
  <c r="X35" i="6" l="1"/>
  <c r="X36" i="6" l="1"/>
  <c r="X37" i="6" l="1"/>
  <c r="X38" i="6" l="1"/>
  <c r="X39" i="6" l="1"/>
  <c r="X40" i="6" l="1"/>
  <c r="X41" i="6" l="1"/>
  <c r="X42" i="6" l="1"/>
  <c r="X43" i="6" l="1"/>
  <c r="X44" i="6" l="1"/>
  <c r="X45" i="6" l="1"/>
  <c r="X46" i="6" l="1"/>
  <c r="X47" i="6" l="1"/>
  <c r="X48" i="6" l="1"/>
  <c r="X49" i="6" l="1"/>
  <c r="X50" i="6" l="1"/>
  <c r="X51" i="6" l="1"/>
  <c r="X52" i="6" l="1"/>
  <c r="X53" i="6" l="1"/>
  <c r="X54" i="6" l="1"/>
  <c r="X55" i="6" l="1"/>
  <c r="X56" i="6" l="1"/>
  <c r="X57" i="6" l="1"/>
  <c r="X58" i="6" l="1"/>
  <c r="X59" i="6" l="1"/>
  <c r="X60" i="6" l="1"/>
  <c r="X61" i="6" l="1"/>
  <c r="X62" i="6" l="1"/>
  <c r="X63" i="6" l="1"/>
  <c r="X64" i="6" l="1"/>
  <c r="X65" i="6" l="1"/>
  <c r="X66" i="6" l="1"/>
  <c r="X67" i="6" l="1"/>
  <c r="X68" i="6" l="1"/>
  <c r="X69" i="6" l="1"/>
  <c r="X70" i="6" l="1"/>
  <c r="X71" i="6" l="1"/>
  <c r="X72" i="6" l="1"/>
  <c r="X73" i="6" l="1"/>
  <c r="X74" i="6" l="1"/>
  <c r="X75" i="6" l="1"/>
  <c r="X76" i="6" l="1"/>
  <c r="X77" i="6" l="1"/>
  <c r="X78" i="6" l="1"/>
  <c r="X79" i="6" l="1"/>
  <c r="X80" i="6" l="1"/>
  <c r="X81" i="6" l="1"/>
  <c r="X82" i="6" l="1"/>
  <c r="X83" i="6" l="1"/>
  <c r="X84" i="6" l="1"/>
  <c r="X85" i="6" l="1"/>
  <c r="X86" i="6" l="1"/>
  <c r="X87" i="6" l="1"/>
  <c r="X88" i="6" l="1"/>
  <c r="X89" i="6" l="1"/>
  <c r="X90" i="6" l="1"/>
  <c r="X91" i="6" l="1"/>
  <c r="X92" i="6" l="1"/>
  <c r="X93" i="6" l="1"/>
  <c r="X94" i="6" l="1"/>
  <c r="X95" i="6" l="1"/>
  <c r="X96" i="6" l="1"/>
  <c r="X97" i="6" l="1"/>
  <c r="X98" i="6" l="1"/>
  <c r="X99" i="6" l="1"/>
  <c r="X100" i="6" l="1"/>
  <c r="X101" i="6" l="1"/>
  <c r="X102" i="6" l="1"/>
  <c r="X103" i="6" l="1"/>
  <c r="X104" i="6" l="1"/>
  <c r="X105" i="6" l="1"/>
  <c r="X106" i="6" l="1"/>
  <c r="X107" i="6" l="1"/>
  <c r="X108" i="6" l="1"/>
  <c r="X109" i="6" l="1"/>
  <c r="X110" i="6" l="1"/>
  <c r="X111" i="6" l="1"/>
  <c r="X112" i="6" l="1"/>
  <c r="X113" i="6" l="1"/>
  <c r="X114" i="6" l="1"/>
  <c r="X115" i="6" l="1"/>
  <c r="X116" i="6" l="1"/>
  <c r="X117" i="6" l="1"/>
  <c r="X118" i="6" l="1"/>
  <c r="X119" i="6" l="1"/>
  <c r="X120" i="6" l="1"/>
  <c r="X121" i="6" l="1"/>
  <c r="X122" i="6" l="1"/>
  <c r="X123" i="6" l="1"/>
  <c r="X124" i="6" l="1"/>
  <c r="X125" i="6" l="1"/>
  <c r="X126" i="6" l="1"/>
  <c r="X127" i="6" l="1"/>
  <c r="X128" i="6" l="1"/>
  <c r="X129" i="6" l="1"/>
  <c r="X130" i="6" l="1"/>
  <c r="X131" i="6" l="1"/>
  <c r="X132" i="6" l="1"/>
  <c r="X133" i="6" l="1"/>
  <c r="X134" i="6" l="1"/>
  <c r="X135" i="6" l="1"/>
  <c r="X136" i="6" l="1"/>
  <c r="T136" i="6" l="1"/>
  <c r="T19" i="6"/>
  <c r="T18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</calcChain>
</file>

<file path=xl/sharedStrings.xml><?xml version="1.0" encoding="utf-8"?>
<sst xmlns="http://schemas.openxmlformats.org/spreadsheetml/2006/main" count="175" uniqueCount="98">
  <si>
    <t>air/oil</t>
  </si>
  <si>
    <t>Above Free Water, ft</t>
  </si>
  <si>
    <t>Bulk</t>
  </si>
  <si>
    <t>Volume,</t>
  </si>
  <si>
    <t>Gas-Oil,</t>
  </si>
  <si>
    <t>Saturation,</t>
  </si>
  <si>
    <t>Inc. (mD)</t>
  </si>
  <si>
    <t>Cumulative</t>
  </si>
  <si>
    <t>Hg Sat</t>
  </si>
  <si>
    <t>Weight,</t>
  </si>
  <si>
    <t>Laboratory TcosTheta</t>
  </si>
  <si>
    <t>MERCURY INJECTION CAPILLARY PRESSURE</t>
  </si>
  <si>
    <t>Gas:</t>
  </si>
  <si>
    <t>cumulative</t>
  </si>
  <si>
    <t>Oil:</t>
  </si>
  <si>
    <t>Sample</t>
  </si>
  <si>
    <t>incremental</t>
  </si>
  <si>
    <t>Estimated Height</t>
  </si>
  <si>
    <t>grams</t>
  </si>
  <si>
    <t>Helium</t>
  </si>
  <si>
    <t>Funct.</t>
  </si>
  <si>
    <t>%BV</t>
  </si>
  <si>
    <t>Mercury IFT</t>
  </si>
  <si>
    <t>Grain Density, grams/cc:</t>
  </si>
  <si>
    <t>Reservoir Contact Angle</t>
  </si>
  <si>
    <t>fraction</t>
  </si>
  <si>
    <t>grams/cc</t>
  </si>
  <si>
    <t>Sb/Pc</t>
  </si>
  <si>
    <t>oil/water</t>
  </si>
  <si>
    <t>Laboratory IFT</t>
  </si>
  <si>
    <t>PSD HISTOGRAM</t>
  </si>
  <si>
    <t>Laboratory Contact Angle</t>
  </si>
  <si>
    <t>intrusion</t>
  </si>
  <si>
    <t>Saturation</t>
  </si>
  <si>
    <t>O-W</t>
  </si>
  <si>
    <t>cc</t>
  </si>
  <si>
    <t>Conformance Correction,</t>
  </si>
  <si>
    <t>Norm. Pore</t>
  </si>
  <si>
    <t xml:space="preserve"> </t>
  </si>
  <si>
    <t>Density,</t>
  </si>
  <si>
    <t>Sample Number:</t>
  </si>
  <si>
    <t>Oil-Water,</t>
  </si>
  <si>
    <t>Contribution</t>
  </si>
  <si>
    <t>Size Dist.</t>
  </si>
  <si>
    <t>Pore Throat</t>
  </si>
  <si>
    <t xml:space="preserve"> 1.0-Mercury </t>
  </si>
  <si>
    <t>Radius, µm</t>
  </si>
  <si>
    <t>Fluid Density Gradients</t>
  </si>
  <si>
    <t>psia</t>
  </si>
  <si>
    <t xml:space="preserve">Mercury </t>
  </si>
  <si>
    <t>Conversion Parameters</t>
  </si>
  <si>
    <t>air/water</t>
  </si>
  <si>
    <t>Porosity, fraction:</t>
  </si>
  <si>
    <t>Diameter,</t>
  </si>
  <si>
    <t>microns</t>
  </si>
  <si>
    <t>frequency</t>
  </si>
  <si>
    <t>Corrected</t>
  </si>
  <si>
    <t>Uncorrected</t>
  </si>
  <si>
    <t>Normalized</t>
  </si>
  <si>
    <t>%PV</t>
  </si>
  <si>
    <t>Reservoir TcosTheta</t>
  </si>
  <si>
    <t>Porosity,</t>
  </si>
  <si>
    <t>Mercury</t>
  </si>
  <si>
    <t>micron</t>
  </si>
  <si>
    <t>Injection Pressure,</t>
  </si>
  <si>
    <t>G-W</t>
  </si>
  <si>
    <t>air/Hg</t>
  </si>
  <si>
    <t>d Log</t>
  </si>
  <si>
    <t>Function</t>
  </si>
  <si>
    <t>Mercury Saturation</t>
  </si>
  <si>
    <t>ml</t>
  </si>
  <si>
    <t>Water:</t>
  </si>
  <si>
    <t>IFT * Cosine Contact Angle:</t>
  </si>
  <si>
    <t>Gas-Water,</t>
  </si>
  <si>
    <t>Permeability to Air (calc), mD:</t>
  </si>
  <si>
    <t>Pore Radius,</t>
  </si>
  <si>
    <t>Mercury Injection</t>
  </si>
  <si>
    <t>Pressure,</t>
  </si>
  <si>
    <t>Radius,</t>
  </si>
  <si>
    <t>d Sw/d Log</t>
  </si>
  <si>
    <t>Reservoir IFT</t>
  </si>
  <si>
    <t>&lt; 0.0018</t>
  </si>
  <si>
    <t>Mercury Contact Angle</t>
  </si>
  <si>
    <t>Grain</t>
  </si>
  <si>
    <t>Injection</t>
  </si>
  <si>
    <t>Other Laboratory Systems</t>
  </si>
  <si>
    <t>Permeability</t>
  </si>
  <si>
    <t>J</t>
  </si>
  <si>
    <t>Pore</t>
  </si>
  <si>
    <t>Cum. (mD)</t>
  </si>
  <si>
    <t>Incremental</t>
  </si>
  <si>
    <t>MC 26</t>
  </si>
  <si>
    <t>Shell Exploration &amp; Production Company</t>
  </si>
  <si>
    <t>Sample Depth, feet:</t>
  </si>
  <si>
    <t>Offshore</t>
  </si>
  <si>
    <t>HH-77445</t>
  </si>
  <si>
    <t>OSC-Y-2321 Burger J 001</t>
  </si>
  <si>
    <t>55-352-00004-00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</si>
</sst>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0.0_)"/>
    <numFmt numFmtId="165" formatCode="0.0"/>
    <numFmt numFmtId="166" formatCode="0.000"/>
    <numFmt numFmtId="167" formatCode="0.0000"/>
    <numFmt numFmtId="168" formatCode="???0.00"/>
    <numFmt numFmtId="169" formatCode="[&lt;1]0.?0;[&gt;10]0;0.0"/>
    <numFmt numFmtId="170" formatCode="[&lt;1]0.000;[&gt;10]0.0;0.00"/>
    <numFmt numFmtId="171" formatCode="[&lt;0.1]0.000;[&gt;0.1]0.00;0.0"/>
    <numFmt numFmtId="172" formatCode="[Blue]General"/>
    <numFmt numFmtId="173" formatCode="?????.0"/>
    <numFmt numFmtId="174" formatCode="[&lt;10]???0.00;[&gt;100]???0;???0.0"/>
    <numFmt numFmtId="175" formatCode="?????"/>
    <numFmt numFmtId="176" formatCode="?????.00"/>
    <numFmt numFmtId="177" formatCode="[&lt;100]????0.0;[&gt;100]?????;General"/>
    <numFmt numFmtId="178" formatCode="????0.00"/>
    <numFmt numFmtId="179" formatCode="??0."/>
    <numFmt numFmtId="180" formatCode="??????0.0000"/>
    <numFmt numFmtId="181" formatCode="????0.0?"/>
    <numFmt numFmtId="182" formatCode="????0.??"/>
    <numFmt numFmtId="183" formatCode="0.00??"/>
    <numFmt numFmtId="184" formatCode="0.00000"/>
    <numFmt numFmtId="185" formatCode="m\-dd\-yy"/>
    <numFmt numFmtId="186" formatCode="??0.000"/>
    <numFmt numFmtId="187" formatCode="???0.000"/>
    <numFmt numFmtId="188" formatCode="????0.000"/>
    <numFmt numFmtId="189" formatCode="??0.0000"/>
    <numFmt numFmtId="190" formatCode="0.0\ \ \ \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177">
    <xf numFmtId="0" fontId="0" fillId="0" borderId="0" xfId="0"/>
    <xf numFmtId="182" fontId="0" fillId="0" borderId="0" xfId="5" applyNumberFormat="1" applyFont="1" applyAlignment="1" applyProtection="1">
      <alignment horizontal="center"/>
    </xf>
    <xf numFmtId="0" fontId="2" fillId="0" borderId="0" xfId="5" applyFont="1" applyAlignment="1" applyProtection="1">
      <alignment horizontal="centerContinuous"/>
    </xf>
    <xf numFmtId="0" fontId="0" fillId="0" borderId="2" xfId="5" applyFont="1" applyBorder="1" applyAlignment="1">
      <alignment horizontal="center"/>
    </xf>
    <xf numFmtId="171" fontId="0" fillId="0" borderId="0" xfId="5" applyNumberFormat="1" applyFont="1" applyBorder="1" applyAlignment="1" applyProtection="1">
      <alignment horizontal="center"/>
    </xf>
    <xf numFmtId="0" fontId="0" fillId="0" borderId="4" xfId="5" applyFont="1" applyBorder="1" applyAlignment="1" applyProtection="1">
      <alignment horizontal="centerContinuous" vertical="center"/>
    </xf>
    <xf numFmtId="0" fontId="0" fillId="0" borderId="5" xfId="5" applyFont="1" applyBorder="1" applyAlignment="1" applyProtection="1">
      <alignment horizontal="centerContinuous" vertical="center"/>
    </xf>
    <xf numFmtId="1" fontId="0" fillId="0" borderId="0" xfId="5" applyNumberFormat="1" applyFont="1" applyProtection="1"/>
    <xf numFmtId="178" fontId="0" fillId="0" borderId="0" xfId="5" applyNumberFormat="1" applyFont="1" applyBorder="1" applyAlignment="1" applyProtection="1">
      <alignment horizontal="centerContinuous"/>
    </xf>
    <xf numFmtId="2" fontId="0" fillId="0" borderId="0" xfId="0" applyNumberFormat="1" applyFont="1" applyAlignment="1">
      <alignment horizontal="right"/>
    </xf>
    <xf numFmtId="188" fontId="0" fillId="0" borderId="0" xfId="5" applyNumberFormat="1" applyFont="1" applyAlignment="1" applyProtection="1">
      <alignment horizontal="left"/>
    </xf>
    <xf numFmtId="0" fontId="0" fillId="0" borderId="0" xfId="5" applyFont="1" applyAlignment="1" applyProtection="1">
      <alignment horizontal="centerContinuous"/>
    </xf>
    <xf numFmtId="165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4" xfId="5" applyFont="1" applyBorder="1"/>
    <xf numFmtId="0" fontId="0" fillId="0" borderId="0" xfId="5" applyFont="1" applyAlignment="1"/>
    <xf numFmtId="0" fontId="0" fillId="0" borderId="5" xfId="5" applyFont="1" applyBorder="1"/>
    <xf numFmtId="165" fontId="0" fillId="0" borderId="0" xfId="5" applyNumberFormat="1" applyFont="1" applyProtection="1"/>
    <xf numFmtId="0" fontId="2" fillId="0" borderId="0" xfId="5" applyFont="1" applyAlignment="1" applyProtection="1">
      <alignment horizontal="center"/>
    </xf>
    <xf numFmtId="0" fontId="0" fillId="0" borderId="4" xfId="5" applyFont="1" applyBorder="1" applyAlignment="1" applyProtection="1">
      <alignment horizontal="left"/>
    </xf>
    <xf numFmtId="166" fontId="0" fillId="0" borderId="0" xfId="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5" applyNumberFormat="1" applyFont="1" applyBorder="1" applyAlignment="1" applyProtection="1">
      <alignment horizontal="centerContinuous"/>
    </xf>
    <xf numFmtId="189" fontId="0" fillId="0" borderId="0" xfId="5" applyNumberFormat="1" applyFont="1" applyAlignment="1" applyProtection="1">
      <alignment horizontal="center"/>
    </xf>
    <xf numFmtId="166" fontId="0" fillId="0" borderId="0" xfId="0" applyNumberFormat="1" applyFont="1" applyAlignment="1">
      <alignment horizontal="center"/>
    </xf>
    <xf numFmtId="178" fontId="0" fillId="0" borderId="0" xfId="5" applyNumberFormat="1" applyFont="1" applyBorder="1" applyAlignment="1" applyProtection="1">
      <alignment horizontal="center"/>
    </xf>
    <xf numFmtId="186" fontId="0" fillId="0" borderId="0" xfId="5" applyNumberFormat="1" applyFont="1" applyBorder="1" applyAlignment="1" applyProtection="1">
      <alignment horizontal="centerContinuous"/>
    </xf>
    <xf numFmtId="0" fontId="3" fillId="2" borderId="0" xfId="0" applyFont="1" applyFill="1" applyBorder="1" applyAlignment="1">
      <alignment vertical="center"/>
    </xf>
    <xf numFmtId="0" fontId="0" fillId="0" borderId="0" xfId="5" applyFont="1" applyAlignment="1" applyProtection="1">
      <alignment horizontal="center"/>
    </xf>
    <xf numFmtId="175" fontId="0" fillId="0" borderId="0" xfId="5" applyNumberFormat="1" applyFont="1" applyBorder="1" applyAlignment="1" applyProtection="1">
      <alignment horizontal="center"/>
    </xf>
    <xf numFmtId="169" fontId="0" fillId="0" borderId="0" xfId="5" applyNumberFormat="1" applyFont="1" applyAlignment="1" applyProtection="1">
      <alignment horizontal="center"/>
    </xf>
    <xf numFmtId="0" fontId="0" fillId="0" borderId="4" xfId="5" applyFont="1" applyBorder="1" applyProtection="1"/>
    <xf numFmtId="0" fontId="0" fillId="0" borderId="5" xfId="5" applyFont="1" applyBorder="1" applyProtection="1"/>
    <xf numFmtId="166" fontId="0" fillId="0" borderId="0" xfId="5" applyNumberFormat="1" applyFont="1" applyBorder="1" applyAlignment="1" applyProtection="1">
      <alignment horizontal="center"/>
    </xf>
    <xf numFmtId="186" fontId="0" fillId="0" borderId="0" xfId="5" applyNumberFormat="1" applyFont="1" applyBorder="1" applyAlignment="1" applyProtection="1">
      <alignment horizontal="center"/>
    </xf>
    <xf numFmtId="0" fontId="0" fillId="0" borderId="0" xfId="5" applyFont="1" applyAlignment="1">
      <alignment horizontal="right"/>
    </xf>
    <xf numFmtId="2" fontId="0" fillId="0" borderId="0" xfId="0" applyNumberFormat="1" applyBorder="1" applyAlignment="1">
      <alignment horizontal="center"/>
    </xf>
    <xf numFmtId="1" fontId="0" fillId="0" borderId="0" xfId="0" quotePrefix="1" applyNumberFormat="1" applyFont="1" applyAlignment="1">
      <alignment horizontal="right"/>
    </xf>
    <xf numFmtId="188" fontId="0" fillId="0" borderId="0" xfId="5" applyNumberFormat="1" applyFont="1" applyAlignment="1" applyProtection="1">
      <alignment horizontal="center"/>
    </xf>
    <xf numFmtId="0" fontId="0" fillId="0" borderId="6" xfId="5" applyFont="1" applyBorder="1" applyAlignment="1" applyProtection="1">
      <alignment horizontal="center" vertical="center"/>
    </xf>
    <xf numFmtId="174" fontId="0" fillId="0" borderId="0" xfId="5" applyNumberFormat="1" applyFont="1" applyBorder="1" applyProtection="1"/>
    <xf numFmtId="179" fontId="0" fillId="0" borderId="0" xfId="0" applyNumberFormat="1" applyBorder="1" applyAlignment="1">
      <alignment horizontal="center"/>
    </xf>
    <xf numFmtId="178" fontId="0" fillId="0" borderId="10" xfId="5" applyNumberFormat="1" applyFont="1" applyBorder="1" applyAlignment="1" applyProtection="1">
      <alignment horizontal="centerContinuous"/>
    </xf>
    <xf numFmtId="0" fontId="0" fillId="0" borderId="6" xfId="5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5" applyFont="1" applyBorder="1" applyAlignment="1" applyProtection="1">
      <alignment horizontal="centerContinuous" vertical="center"/>
    </xf>
    <xf numFmtId="0" fontId="0" fillId="0" borderId="13" xfId="5" applyFont="1" applyBorder="1" applyAlignment="1" applyProtection="1">
      <alignment horizontal="centerContinuous" vertical="center"/>
    </xf>
    <xf numFmtId="0" fontId="0" fillId="0" borderId="2" xfId="5" applyFont="1" applyBorder="1"/>
    <xf numFmtId="166" fontId="4" fillId="0" borderId="7" xfId="5" applyNumberFormat="1" applyFont="1" applyBorder="1" applyProtection="1">
      <protection locked="0"/>
    </xf>
    <xf numFmtId="0" fontId="0" fillId="0" borderId="0" xfId="5" applyFont="1" applyAlignment="1" applyProtection="1">
      <alignment horizontal="right"/>
    </xf>
    <xf numFmtId="166" fontId="4" fillId="0" borderId="13" xfId="5" applyNumberFormat="1" applyFont="1" applyBorder="1" applyProtection="1">
      <protection locked="0"/>
    </xf>
    <xf numFmtId="0" fontId="0" fillId="0" borderId="0" xfId="5" applyFont="1"/>
    <xf numFmtId="180" fontId="0" fillId="0" borderId="0" xfId="0" applyNumberFormat="1" applyBorder="1" applyAlignment="1">
      <alignment horizontal="center"/>
    </xf>
    <xf numFmtId="170" fontId="0" fillId="0" borderId="0" xfId="5" applyNumberFormat="1" applyFont="1" applyBorder="1" applyAlignment="1" applyProtection="1">
      <alignment horizontal="center"/>
    </xf>
    <xf numFmtId="0" fontId="0" fillId="0" borderId="0" xfId="5" applyFont="1" applyAlignment="1" applyProtection="1">
      <alignment horizontal="left"/>
    </xf>
    <xf numFmtId="184" fontId="0" fillId="0" borderId="0" xfId="0" applyNumberFormat="1" applyFont="1" applyAlignment="1">
      <alignment horizontal="right"/>
    </xf>
    <xf numFmtId="0" fontId="0" fillId="0" borderId="0" xfId="5" applyFont="1" applyFill="1"/>
    <xf numFmtId="166" fontId="0" fillId="0" borderId="0" xfId="5" applyNumberFormat="1" applyFont="1" applyBorder="1"/>
    <xf numFmtId="0" fontId="0" fillId="0" borderId="0" xfId="0" applyFont="1" applyBorder="1"/>
    <xf numFmtId="0" fontId="0" fillId="0" borderId="0" xfId="5" applyNumberFormat="1" applyFont="1" applyProtection="1"/>
    <xf numFmtId="173" fontId="0" fillId="0" borderId="0" xfId="5" applyNumberFormat="1" applyFont="1" applyBorder="1" applyAlignment="1" applyProtection="1">
      <alignment horizontal="center"/>
    </xf>
    <xf numFmtId="166" fontId="0" fillId="0" borderId="0" xfId="0" applyNumberFormat="1" applyFont="1"/>
    <xf numFmtId="0" fontId="0" fillId="0" borderId="0" xfId="5" applyFont="1" applyProtection="1"/>
    <xf numFmtId="166" fontId="4" fillId="0" borderId="0" xfId="5" applyNumberFormat="1" applyFont="1" applyBorder="1" applyProtection="1">
      <protection locked="0"/>
    </xf>
    <xf numFmtId="0" fontId="2" fillId="0" borderId="0" xfId="5" applyFont="1" applyBorder="1" applyAlignment="1">
      <alignment horizontal="centerContinuous"/>
    </xf>
    <xf numFmtId="0" fontId="0" fillId="0" borderId="0" xfId="5" applyFont="1" applyFill="1" applyProtection="1"/>
    <xf numFmtId="166" fontId="0" fillId="0" borderId="0" xfId="5" applyNumberFormat="1" applyFont="1" applyAlignment="1" applyProtection="1">
      <alignment horizontal="right"/>
    </xf>
    <xf numFmtId="185" fontId="0" fillId="0" borderId="0" xfId="0" applyNumberFormat="1" applyAlignment="1">
      <alignment horizontal="left"/>
    </xf>
    <xf numFmtId="166" fontId="4" fillId="0" borderId="0" xfId="5" applyNumberFormat="1" applyFont="1" applyFill="1" applyBorder="1" applyProtection="1">
      <protection locked="0"/>
    </xf>
    <xf numFmtId="0" fontId="0" fillId="0" borderId="1" xfId="5" applyFont="1" applyBorder="1" applyAlignment="1" applyProtection="1">
      <alignment horizontal="center" vertical="center"/>
    </xf>
    <xf numFmtId="0" fontId="5" fillId="0" borderId="0" xfId="5" applyFont="1" applyProtection="1"/>
    <xf numFmtId="164" fontId="0" fillId="0" borderId="0" xfId="5" applyNumberFormat="1" applyFont="1" applyBorder="1" applyAlignment="1" applyProtection="1">
      <alignment horizontal="center"/>
    </xf>
    <xf numFmtId="0" fontId="0" fillId="0" borderId="14" xfId="5" applyFont="1" applyBorder="1" applyAlignment="1">
      <alignment horizontal="center"/>
    </xf>
    <xf numFmtId="1" fontId="4" fillId="0" borderId="7" xfId="5" applyNumberFormat="1" applyFont="1" applyBorder="1" applyAlignment="1" applyProtection="1">
      <alignment horizontal="center"/>
      <protection locked="0"/>
    </xf>
    <xf numFmtId="0" fontId="0" fillId="0" borderId="0" xfId="5" applyFont="1" applyBorder="1" applyAlignment="1">
      <alignment horizontal="centerContinuous"/>
    </xf>
    <xf numFmtId="172" fontId="0" fillId="0" borderId="7" xfId="5" applyNumberFormat="1" applyFont="1" applyBorder="1" applyAlignment="1" applyProtection="1">
      <alignment horizontal="center"/>
      <protection locked="0"/>
    </xf>
    <xf numFmtId="167" fontId="0" fillId="0" borderId="0" xfId="0" applyNumberFormat="1" applyBorder="1" applyAlignment="1">
      <alignment horizontal="center"/>
    </xf>
    <xf numFmtId="190" fontId="0" fillId="0" borderId="0" xfId="0" quotePrefix="1" applyNumberFormat="1" applyFont="1" applyBorder="1" applyAlignment="1">
      <alignment horizontal="left"/>
    </xf>
    <xf numFmtId="177" fontId="0" fillId="0" borderId="0" xfId="5" applyNumberFormat="1" applyFont="1" applyBorder="1" applyAlignment="1" applyProtection="1">
      <alignment horizontal="center"/>
    </xf>
    <xf numFmtId="166" fontId="4" fillId="0" borderId="0" xfId="0" applyNumberFormat="1" applyFont="1"/>
    <xf numFmtId="187" fontId="0" fillId="0" borderId="0" xfId="5" applyNumberFormat="1" applyFont="1" applyAlignment="1" applyProtection="1">
      <alignment horizontal="center"/>
    </xf>
    <xf numFmtId="2" fontId="0" fillId="0" borderId="0" xfId="0" applyNumberFormat="1" applyFont="1"/>
    <xf numFmtId="166" fontId="0" fillId="0" borderId="0" xfId="0" applyNumberFormat="1" applyAlignment="1">
      <alignment horizontal="center"/>
    </xf>
    <xf numFmtId="185" fontId="0" fillId="0" borderId="0" xfId="4" applyNumberFormat="1" applyFont="1" applyFill="1"/>
    <xf numFmtId="1" fontId="0" fillId="0" borderId="0" xfId="5" applyNumberFormat="1" applyFont="1" applyBorder="1" applyProtection="1"/>
    <xf numFmtId="0" fontId="0" fillId="0" borderId="9" xfId="5" applyFont="1" applyBorder="1" applyAlignment="1" applyProtection="1">
      <alignment horizontal="centerContinuous" vertical="center"/>
    </xf>
    <xf numFmtId="0" fontId="0" fillId="0" borderId="0" xfId="5" applyFont="1" applyBorder="1" applyAlignment="1">
      <alignment horizontal="center"/>
    </xf>
    <xf numFmtId="187" fontId="0" fillId="0" borderId="0" xfId="5" applyNumberFormat="1" applyFont="1" applyFill="1" applyAlignment="1" applyProtection="1">
      <alignment horizontal="center"/>
    </xf>
    <xf numFmtId="166" fontId="0" fillId="0" borderId="0" xfId="5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5" applyFont="1" applyBorder="1" applyAlignment="1" applyProtection="1">
      <alignment horizontal="center"/>
    </xf>
    <xf numFmtId="0" fontId="0" fillId="0" borderId="0" xfId="5" applyFont="1" applyBorder="1" applyAlignment="1" applyProtection="1">
      <alignment horizontal="centerContinuous"/>
    </xf>
    <xf numFmtId="165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0" fillId="0" borderId="0" xfId="0" applyNumberFormat="1" applyFont="1"/>
    <xf numFmtId="0" fontId="4" fillId="0" borderId="0" xfId="5" applyNumberFormat="1" applyFont="1" applyBorder="1" applyAlignment="1" applyProtection="1">
      <alignment horizontal="center"/>
      <protection locked="0"/>
    </xf>
    <xf numFmtId="167" fontId="0" fillId="0" borderId="0" xfId="0" applyNumberFormat="1" applyFill="1" applyBorder="1" applyAlignment="1"/>
    <xf numFmtId="178" fontId="0" fillId="0" borderId="0" xfId="5" applyNumberFormat="1" applyFont="1" applyAlignment="1" applyProtection="1">
      <alignment horizontal="center"/>
    </xf>
    <xf numFmtId="0" fontId="0" fillId="0" borderId="0" xfId="5" applyFont="1" applyBorder="1" applyAlignment="1"/>
    <xf numFmtId="2" fontId="0" fillId="0" borderId="0" xfId="5" applyNumberFormat="1" applyFont="1" applyAlignment="1" applyProtection="1">
      <alignment horizontal="right"/>
    </xf>
    <xf numFmtId="165" fontId="0" fillId="0" borderId="0" xfId="5" applyNumberFormat="1" applyFont="1" applyBorder="1" applyProtection="1"/>
    <xf numFmtId="1" fontId="4" fillId="0" borderId="0" xfId="5" applyNumberFormat="1" applyFont="1" applyBorder="1" applyAlignment="1" applyProtection="1">
      <alignment horizontal="center"/>
      <protection locked="0"/>
    </xf>
    <xf numFmtId="0" fontId="0" fillId="0" borderId="0" xfId="5" applyNumberFormat="1" applyFont="1" applyBorder="1" applyAlignment="1" applyProtection="1">
      <alignment horizontal="center"/>
    </xf>
    <xf numFmtId="166" fontId="0" fillId="0" borderId="0" xfId="0" applyNumberFormat="1" applyFont="1" applyBorder="1" applyAlignment="1">
      <alignment horizontal="center"/>
    </xf>
    <xf numFmtId="172" fontId="0" fillId="0" borderId="0" xfId="5" applyNumberFormat="1" applyFont="1" applyBorder="1" applyAlignment="1" applyProtection="1">
      <alignment horizontal="center"/>
      <protection locked="0"/>
    </xf>
    <xf numFmtId="183" fontId="0" fillId="0" borderId="0" xfId="5" applyNumberFormat="1" applyFont="1" applyAlignment="1" applyProtection="1">
      <alignment horizontal="center"/>
    </xf>
    <xf numFmtId="0" fontId="0" fillId="0" borderId="0" xfId="5" applyFont="1" applyBorder="1" applyAlignment="1" applyProtection="1">
      <alignment horizontal="center"/>
    </xf>
    <xf numFmtId="166" fontId="0" fillId="0" borderId="0" xfId="5" applyNumberFormat="1" applyFont="1" applyAlignment="1" applyProtection="1">
      <alignment horizontal="center"/>
    </xf>
    <xf numFmtId="164" fontId="0" fillId="0" borderId="3" xfId="5" applyNumberFormat="1" applyFont="1" applyBorder="1" applyAlignment="1" applyProtection="1">
      <alignment horizontal="center"/>
    </xf>
    <xf numFmtId="0" fontId="4" fillId="0" borderId="2" xfId="5" applyNumberFormat="1" applyFont="1" applyBorder="1" applyAlignment="1" applyProtection="1">
      <alignment horizontal="center"/>
      <protection locked="0"/>
    </xf>
    <xf numFmtId="186" fontId="0" fillId="0" borderId="0" xfId="5" applyNumberFormat="1" applyFont="1" applyAlignment="1" applyProtection="1">
      <alignment horizontal="center"/>
    </xf>
    <xf numFmtId="2" fontId="0" fillId="0" borderId="12" xfId="5" applyNumberFormat="1" applyFont="1" applyBorder="1" applyAlignment="1" applyProtection="1">
      <alignment horizontal="centerContinuous"/>
    </xf>
    <xf numFmtId="2" fontId="0" fillId="0" borderId="0" xfId="0" applyNumberFormat="1" applyAlignment="1">
      <alignment horizontal="center"/>
    </xf>
    <xf numFmtId="0" fontId="0" fillId="0" borderId="2" xfId="5" applyNumberFormat="1" applyFont="1" applyBorder="1" applyAlignment="1" applyProtection="1">
      <alignment horizontal="center"/>
    </xf>
    <xf numFmtId="0" fontId="0" fillId="0" borderId="15" xfId="5" applyFont="1" applyBorder="1" applyAlignment="1" applyProtection="1">
      <alignment horizontal="center" vertical="center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6" xfId="0" applyFont="1" applyBorder="1"/>
    <xf numFmtId="0" fontId="0" fillId="0" borderId="15" xfId="5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/>
    </xf>
    <xf numFmtId="0" fontId="7" fillId="0" borderId="0" xfId="5" applyFont="1" applyAlignment="1" applyProtection="1"/>
    <xf numFmtId="0" fontId="0" fillId="0" borderId="11" xfId="5" applyFont="1" applyBorder="1" applyAlignment="1" applyProtection="1">
      <alignment horizontal="center" vertical="center"/>
    </xf>
    <xf numFmtId="0" fontId="0" fillId="0" borderId="0" xfId="5" applyFont="1" applyBorder="1" applyAlignment="1" applyProtection="1">
      <alignment horizontal="centerContinuous" vertical="center"/>
    </xf>
    <xf numFmtId="0" fontId="0" fillId="0" borderId="8" xfId="5" applyFont="1" applyBorder="1"/>
    <xf numFmtId="180" fontId="0" fillId="0" borderId="0" xfId="0" applyNumberFormat="1" applyAlignment="1">
      <alignment horizontal="center"/>
    </xf>
    <xf numFmtId="1" fontId="4" fillId="0" borderId="3" xfId="5" applyNumberFormat="1" applyFont="1" applyBorder="1" applyAlignment="1" applyProtection="1">
      <alignment horizontal="center"/>
      <protection locked="0"/>
    </xf>
    <xf numFmtId="166" fontId="0" fillId="0" borderId="1" xfId="5" applyNumberFormat="1" applyFont="1" applyBorder="1" applyAlignment="1" applyProtection="1">
      <alignment horizontal="center"/>
    </xf>
    <xf numFmtId="168" fontId="0" fillId="0" borderId="0" xfId="5" applyNumberFormat="1" applyFont="1" applyAlignment="1" applyProtection="1">
      <alignment horizontal="center"/>
    </xf>
    <xf numFmtId="0" fontId="0" fillId="0" borderId="11" xfId="5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5" applyFont="1" applyBorder="1"/>
    <xf numFmtId="166" fontId="0" fillId="0" borderId="0" xfId="5" applyNumberFormat="1" applyFont="1"/>
    <xf numFmtId="0" fontId="0" fillId="2" borderId="0" xfId="0" applyFill="1" applyBorder="1" applyAlignment="1">
      <alignment vertical="center"/>
    </xf>
    <xf numFmtId="0" fontId="0" fillId="0" borderId="0" xfId="0" applyFont="1"/>
    <xf numFmtId="0" fontId="0" fillId="0" borderId="0" xfId="5" applyFont="1" applyBorder="1" applyAlignment="1" applyProtection="1">
      <alignment horizontal="center"/>
      <protection locked="0"/>
    </xf>
    <xf numFmtId="0" fontId="0" fillId="0" borderId="0" xfId="5" applyFont="1" applyBorder="1" applyAlignment="1" applyProtection="1">
      <alignment horizontal="center" vertical="center"/>
    </xf>
    <xf numFmtId="0" fontId="0" fillId="0" borderId="0" xfId="5" applyFont="1" applyBorder="1" applyAlignment="1" applyProtection="1">
      <alignment horizontal="left"/>
    </xf>
    <xf numFmtId="181" fontId="0" fillId="0" borderId="0" xfId="5" applyNumberFormat="1" applyFont="1" applyAlignment="1" applyProtection="1">
      <alignment horizontal="center"/>
    </xf>
    <xf numFmtId="0" fontId="0" fillId="0" borderId="10" xfId="5" applyFont="1" applyBorder="1" applyAlignment="1" applyProtection="1">
      <alignment horizontal="center"/>
    </xf>
    <xf numFmtId="0" fontId="0" fillId="0" borderId="8" xfId="5" applyFont="1" applyBorder="1" applyProtection="1"/>
    <xf numFmtId="0" fontId="0" fillId="0" borderId="0" xfId="5" applyNumberFormat="1" applyFont="1" applyBorder="1" applyProtection="1"/>
    <xf numFmtId="167" fontId="0" fillId="0" borderId="0" xfId="5" applyNumberFormat="1" applyFont="1" applyAlignment="1" applyProtection="1">
      <alignment horizontal="right"/>
    </xf>
    <xf numFmtId="0" fontId="0" fillId="0" borderId="0" xfId="0" applyBorder="1" applyAlignment="1">
      <alignment horizontal="center"/>
    </xf>
    <xf numFmtId="166" fontId="0" fillId="0" borderId="0" xfId="0" applyNumberFormat="1" applyFont="1" applyBorder="1"/>
    <xf numFmtId="2" fontId="0" fillId="0" borderId="0" xfId="0" applyNumberFormat="1" applyFont="1" applyAlignment="1"/>
    <xf numFmtId="186" fontId="0" fillId="0" borderId="12" xfId="5" applyNumberFormat="1" applyFont="1" applyBorder="1" applyAlignment="1" applyProtection="1">
      <alignment horizontal="centerContinuous"/>
    </xf>
    <xf numFmtId="0" fontId="2" fillId="0" borderId="0" xfId="5" applyFont="1" applyAlignment="1">
      <alignment horizontal="centerContinuous"/>
    </xf>
    <xf numFmtId="0" fontId="0" fillId="0" borderId="0" xfId="5" applyFont="1" applyBorder="1" applyProtection="1"/>
    <xf numFmtId="0" fontId="0" fillId="0" borderId="0" xfId="5" applyNumberFormat="1" applyFont="1" applyAlignment="1" applyProtection="1">
      <alignment horizontal="left"/>
    </xf>
    <xf numFmtId="0" fontId="0" fillId="0" borderId="2" xfId="5" applyFont="1" applyBorder="1" applyAlignment="1" applyProtection="1">
      <alignment horizontal="center"/>
      <protection locked="0"/>
    </xf>
    <xf numFmtId="2" fontId="0" fillId="0" borderId="1" xfId="5" applyNumberFormat="1" applyFont="1" applyBorder="1" applyAlignment="1" applyProtection="1">
      <alignment horizontal="center"/>
    </xf>
    <xf numFmtId="176" fontId="0" fillId="0" borderId="0" xfId="5" applyNumberFormat="1" applyFont="1" applyBorder="1" applyAlignment="1" applyProtection="1">
      <alignment horizontal="center"/>
    </xf>
    <xf numFmtId="2" fontId="0" fillId="0" borderId="0" xfId="5" applyNumberFormat="1" applyFont="1" applyBorder="1" applyAlignment="1" applyProtection="1">
      <alignment horizontal="center"/>
    </xf>
    <xf numFmtId="174" fontId="0" fillId="0" borderId="0" xfId="5" applyNumberFormat="1" applyFont="1" applyBorder="1" applyAlignment="1" applyProtection="1">
      <alignment horizontal="center"/>
    </xf>
    <xf numFmtId="0" fontId="0" fillId="0" borderId="0" xfId="5" applyFont="1" applyAlignment="1">
      <alignment horizontal="centerContinuous"/>
    </xf>
    <xf numFmtId="0" fontId="0" fillId="0" borderId="7" xfId="0" applyFont="1" applyBorder="1" applyAlignment="1">
      <alignment horizontal="center"/>
    </xf>
    <xf numFmtId="178" fontId="0" fillId="0" borderId="14" xfId="5" applyNumberFormat="1" applyFont="1" applyBorder="1" applyAlignment="1" applyProtection="1">
      <alignment horizontal="centerContinuous"/>
    </xf>
    <xf numFmtId="166" fontId="4" fillId="0" borderId="3" xfId="5" applyNumberFormat="1" applyFont="1" applyBorder="1" applyProtection="1">
      <protection locked="0"/>
    </xf>
    <xf numFmtId="164" fontId="0" fillId="0" borderId="7" xfId="5" applyNumberFormat="1" applyFont="1" applyBorder="1" applyAlignment="1" applyProtection="1">
      <alignment horizontal="center"/>
    </xf>
    <xf numFmtId="167" fontId="0" fillId="0" borderId="12" xfId="5" applyNumberFormat="1" applyFont="1" applyBorder="1" applyAlignment="1" applyProtection="1">
      <alignment horizontal="centerContinuous"/>
    </xf>
    <xf numFmtId="167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9" xfId="5" applyFont="1" applyBorder="1"/>
    <xf numFmtId="166" fontId="0" fillId="0" borderId="0" xfId="0" applyNumberFormat="1" applyFont="1" applyAlignment="1">
      <alignment horizontal="right"/>
    </xf>
    <xf numFmtId="0" fontId="7" fillId="0" borderId="0" xfId="5" applyFont="1" applyAlignment="1" applyProtection="1">
      <alignment horizontal="center"/>
    </xf>
    <xf numFmtId="186" fontId="0" fillId="0" borderId="5" xfId="5" applyNumberFormat="1" applyFont="1" applyBorder="1" applyAlignment="1" applyProtection="1">
      <alignment horizontal="center"/>
    </xf>
    <xf numFmtId="186" fontId="0" fillId="0" borderId="13" xfId="5" applyNumberFormat="1" applyFont="1" applyBorder="1" applyAlignment="1" applyProtection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/>
    <xf numFmtId="185" fontId="8" fillId="0" borderId="0" xfId="0" quotePrefix="1" applyNumberFormat="1" applyFont="1" applyAlignment="1">
      <alignment horizontal="left"/>
    </xf>
    <xf numFmtId="0" fontId="10" fillId="0" borderId="0" xfId="0" quotePrefix="1" applyFont="1"/>
    <xf numFmtId="0" fontId="8" fillId="0" borderId="0" xfId="5" quotePrefix="1" applyNumberFormat="1" applyFont="1" applyProtection="1"/>
  </cellXfs>
  <cellStyles count="6">
    <cellStyle name="Normal" xfId="0" builtinId="0"/>
    <cellStyle name="Normal 2" xfId="1"/>
    <cellStyle name="Normal 2 2" xfId="2"/>
    <cellStyle name="Normal 3" xfId="3"/>
    <cellStyle name="Normal_Core Data H-3258" xfId="4"/>
    <cellStyle name="Normal_HG-DATA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5492957746478872"/>
          <c:y val="7.0234113712374549E-2"/>
          <c:w val="0.76760563380283331"/>
          <c:h val="0.8160535117056855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2.9279076142609591E-4</c:v>
                </c:pt>
                <c:pt idx="34">
                  <c:v>8.6804052287209256E-4</c:v>
                </c:pt>
                <c:pt idx="35">
                  <c:v>1.3924028564756047E-3</c:v>
                </c:pt>
                <c:pt idx="36">
                  <c:v>2.0522049214381009E-3</c:v>
                </c:pt>
                <c:pt idx="37">
                  <c:v>3.0752292399651836E-3</c:v>
                </c:pt>
                <c:pt idx="38">
                  <c:v>4.2892930628318938E-3</c:v>
                </c:pt>
                <c:pt idx="39">
                  <c:v>5.6227436704273147E-3</c:v>
                </c:pt>
                <c:pt idx="40">
                  <c:v>7.0617301603437934E-3</c:v>
                </c:pt>
                <c:pt idx="41">
                  <c:v>8.47719179737964E-3</c:v>
                </c:pt>
                <c:pt idx="42">
                  <c:v>1.0140680604310094E-2</c:v>
                </c:pt>
                <c:pt idx="43">
                  <c:v>1.2617863836677361E-2</c:v>
                </c:pt>
                <c:pt idx="44">
                  <c:v>1.5297732481744476E-2</c:v>
                </c:pt>
                <c:pt idx="45">
                  <c:v>1.9511235695665756E-2</c:v>
                </c:pt>
                <c:pt idx="46">
                  <c:v>2.6610328337086181E-2</c:v>
                </c:pt>
                <c:pt idx="47">
                  <c:v>3.6442295025631663E-2</c:v>
                </c:pt>
                <c:pt idx="48">
                  <c:v>5.088523317282511E-2</c:v>
                </c:pt>
                <c:pt idx="49">
                  <c:v>6.9336440472601887E-2</c:v>
                </c:pt>
                <c:pt idx="50">
                  <c:v>9.2486341121304272E-2</c:v>
                </c:pt>
                <c:pt idx="51">
                  <c:v>0.11562027141847116</c:v>
                </c:pt>
                <c:pt idx="52">
                  <c:v>0.1382355163198864</c:v>
                </c:pt>
                <c:pt idx="53">
                  <c:v>0.16204275003018315</c:v>
                </c:pt>
                <c:pt idx="54">
                  <c:v>0.1845097131379177</c:v>
                </c:pt>
                <c:pt idx="55">
                  <c:v>0.20527199608503838</c:v>
                </c:pt>
                <c:pt idx="56">
                  <c:v>0.22553667898416799</c:v>
                </c:pt>
                <c:pt idx="57">
                  <c:v>0.24524127274647611</c:v>
                </c:pt>
                <c:pt idx="58">
                  <c:v>0.26376902800014035</c:v>
                </c:pt>
                <c:pt idx="59">
                  <c:v>0.28290996923725326</c:v>
                </c:pt>
                <c:pt idx="60">
                  <c:v>0.30150089793910456</c:v>
                </c:pt>
                <c:pt idx="61">
                  <c:v>0.31923243647934674</c:v>
                </c:pt>
                <c:pt idx="62">
                  <c:v>0.33709405049452612</c:v>
                </c:pt>
                <c:pt idx="63">
                  <c:v>0.35514428810752369</c:v>
                </c:pt>
                <c:pt idx="64">
                  <c:v>0.37293980244830194</c:v>
                </c:pt>
                <c:pt idx="65">
                  <c:v>0.39070426103345296</c:v>
                </c:pt>
                <c:pt idx="66">
                  <c:v>0.40868148458268855</c:v>
                </c:pt>
                <c:pt idx="67">
                  <c:v>0.42626607465006533</c:v>
                </c:pt>
                <c:pt idx="68">
                  <c:v>0.44430130355441622</c:v>
                </c:pt>
                <c:pt idx="69">
                  <c:v>0.46221901143823235</c:v>
                </c:pt>
                <c:pt idx="70">
                  <c:v>0.48052014935049198</c:v>
                </c:pt>
                <c:pt idx="71">
                  <c:v>0.49858161989637595</c:v>
                </c:pt>
                <c:pt idx="72">
                  <c:v>0.51677486501628922</c:v>
                </c:pt>
                <c:pt idx="73">
                  <c:v>0.53421564522440124</c:v>
                </c:pt>
                <c:pt idx="74">
                  <c:v>0.55279600175412402</c:v>
                </c:pt>
                <c:pt idx="75">
                  <c:v>0.57132099597176367</c:v>
                </c:pt>
                <c:pt idx="76">
                  <c:v>0.58928448513667164</c:v>
                </c:pt>
                <c:pt idx="77">
                  <c:v>0.60703308546363</c:v>
                </c:pt>
                <c:pt idx="78">
                  <c:v>0.62402374600393495</c:v>
                </c:pt>
                <c:pt idx="79">
                  <c:v>0.64150322791358849</c:v>
                </c:pt>
                <c:pt idx="80">
                  <c:v>0.65781349366191399</c:v>
                </c:pt>
                <c:pt idx="81">
                  <c:v>0.67299871982530524</c:v>
                </c:pt>
                <c:pt idx="82">
                  <c:v>0.68897865239181433</c:v>
                </c:pt>
                <c:pt idx="83">
                  <c:v>0.70308188281393702</c:v>
                </c:pt>
                <c:pt idx="84">
                  <c:v>0.7159652544823486</c:v>
                </c:pt>
                <c:pt idx="85">
                  <c:v>0.72947686804005241</c:v>
                </c:pt>
                <c:pt idx="86">
                  <c:v>0.74223290167095279</c:v>
                </c:pt>
                <c:pt idx="87">
                  <c:v>0.75395460872955666</c:v>
                </c:pt>
                <c:pt idx="88">
                  <c:v>0.76544240647981898</c:v>
                </c:pt>
                <c:pt idx="89">
                  <c:v>0.77582984877917915</c:v>
                </c:pt>
                <c:pt idx="90">
                  <c:v>0.78637634563243552</c:v>
                </c:pt>
                <c:pt idx="91">
                  <c:v>0.79586411496254539</c:v>
                </c:pt>
                <c:pt idx="92">
                  <c:v>0.80561883163889814</c:v>
                </c:pt>
                <c:pt idx="93">
                  <c:v>0.81437155182290033</c:v>
                </c:pt>
                <c:pt idx="94">
                  <c:v>0.82234089293106505</c:v>
                </c:pt>
                <c:pt idx="95">
                  <c:v>0.83086300761051601</c:v>
                </c:pt>
                <c:pt idx="96">
                  <c:v>0.84009695041514976</c:v>
                </c:pt>
                <c:pt idx="97">
                  <c:v>0.8431024679202308</c:v>
                </c:pt>
                <c:pt idx="98">
                  <c:v>0.85335634215207545</c:v>
                </c:pt>
                <c:pt idx="99">
                  <c:v>0.8606221618417299</c:v>
                </c:pt>
                <c:pt idx="100">
                  <c:v>0.86857960925625033</c:v>
                </c:pt>
                <c:pt idx="101">
                  <c:v>0.87208418992242931</c:v>
                </c:pt>
                <c:pt idx="102">
                  <c:v>0.87825531782482169</c:v>
                </c:pt>
                <c:pt idx="103">
                  <c:v>0.88356481369874729</c:v>
                </c:pt>
                <c:pt idx="104">
                  <c:v>0.89069055210770021</c:v>
                </c:pt>
                <c:pt idx="105">
                  <c:v>0.89069055210770021</c:v>
                </c:pt>
                <c:pt idx="106">
                  <c:v>0.89668223626709131</c:v>
                </c:pt>
                <c:pt idx="107">
                  <c:v>0.90107138679948007</c:v>
                </c:pt>
                <c:pt idx="108">
                  <c:v>0.90435772762672229</c:v>
                </c:pt>
                <c:pt idx="109">
                  <c:v>0.90751276585190521</c:v>
                </c:pt>
                <c:pt idx="110">
                  <c:v>0.90759536094665849</c:v>
                </c:pt>
                <c:pt idx="111">
                  <c:v>0.91058388746081886</c:v>
                </c:pt>
                <c:pt idx="112">
                  <c:v>0.9127434424068378</c:v>
                </c:pt>
                <c:pt idx="113">
                  <c:v>0.91419815441283037</c:v>
                </c:pt>
                <c:pt idx="114">
                  <c:v>0.91666921085906183</c:v>
                </c:pt>
                <c:pt idx="115">
                  <c:v>0.91784621455789528</c:v>
                </c:pt>
                <c:pt idx="116">
                  <c:v>0.92022542525876094</c:v>
                </c:pt>
                <c:pt idx="117">
                  <c:v>0.92022542525876094</c:v>
                </c:pt>
                <c:pt idx="118">
                  <c:v>0.92022542525876094</c:v>
                </c:pt>
              </c:numCache>
            </c:numRef>
          </c:xVal>
          <c:yVal>
            <c:numRef>
              <c:f>Table!$A$18:$A$136</c:f>
              <c:numCache>
                <c:formatCode>????0.00</c:formatCode>
                <c:ptCount val="119"/>
                <c:pt idx="0">
                  <c:v>1.4877049922943115</c:v>
                </c:pt>
                <c:pt idx="1">
                  <c:v>1.5774790048599243</c:v>
                </c:pt>
                <c:pt idx="2">
                  <c:v>1.7830077409744263</c:v>
                </c:pt>
                <c:pt idx="3">
                  <c:v>1.9855785369873047</c:v>
                </c:pt>
                <c:pt idx="4">
                  <c:v>2.1427428722381592</c:v>
                </c:pt>
                <c:pt idx="5">
                  <c:v>2.3324432373046875</c:v>
                </c:pt>
                <c:pt idx="6">
                  <c:v>2.562514066696167</c:v>
                </c:pt>
                <c:pt idx="7">
                  <c:v>2.7917051315307617</c:v>
                </c:pt>
                <c:pt idx="8">
                  <c:v>3.0887665748596191</c:v>
                </c:pt>
                <c:pt idx="9">
                  <c:v>3.3725578784942627</c:v>
                </c:pt>
                <c:pt idx="10">
                  <c:v>3.6760144233703613</c:v>
                </c:pt>
                <c:pt idx="11">
                  <c:v>4.0210404396057129</c:v>
                </c:pt>
                <c:pt idx="12">
                  <c:v>4.3908481597900391</c:v>
                </c:pt>
                <c:pt idx="13">
                  <c:v>4.8056631088256836</c:v>
                </c:pt>
                <c:pt idx="14">
                  <c:v>5.2518949508666992</c:v>
                </c:pt>
                <c:pt idx="15">
                  <c:v>5.7560033798217773</c:v>
                </c:pt>
                <c:pt idx="16">
                  <c:v>6.2936878204345703</c:v>
                </c:pt>
                <c:pt idx="17">
                  <c:v>6.8869314193725586</c:v>
                </c:pt>
                <c:pt idx="18">
                  <c:v>7.5302977561950684</c:v>
                </c:pt>
                <c:pt idx="19">
                  <c:v>8.242253303527832</c:v>
                </c:pt>
                <c:pt idx="20">
                  <c:v>9.024317741394043</c:v>
                </c:pt>
                <c:pt idx="21">
                  <c:v>9.8707351684570312</c:v>
                </c:pt>
                <c:pt idx="22">
                  <c:v>10.769113540649414</c:v>
                </c:pt>
                <c:pt idx="23">
                  <c:v>11.878936767578125</c:v>
                </c:pt>
                <c:pt idx="24">
                  <c:v>12.864531517028809</c:v>
                </c:pt>
                <c:pt idx="25">
                  <c:v>14.162136077880859</c:v>
                </c:pt>
                <c:pt idx="26">
                  <c:v>15.457582473754883</c:v>
                </c:pt>
                <c:pt idx="27">
                  <c:v>16.859670639038086</c:v>
                </c:pt>
                <c:pt idx="28">
                  <c:v>18.490869522094727</c:v>
                </c:pt>
                <c:pt idx="29">
                  <c:v>20.254451751708984</c:v>
                </c:pt>
                <c:pt idx="30">
                  <c:v>22.186550140380859</c:v>
                </c:pt>
                <c:pt idx="31">
                  <c:v>24.263900756835938</c:v>
                </c:pt>
                <c:pt idx="32">
                  <c:v>26.587152481079102</c:v>
                </c:pt>
                <c:pt idx="33">
                  <c:v>28.972755432128906</c:v>
                </c:pt>
                <c:pt idx="34">
                  <c:v>30.809900283813477</c:v>
                </c:pt>
                <c:pt idx="35">
                  <c:v>33.470127105712891</c:v>
                </c:pt>
                <c:pt idx="36">
                  <c:v>36.739761352539063</c:v>
                </c:pt>
                <c:pt idx="37">
                  <c:v>40.539108276367188</c:v>
                </c:pt>
                <c:pt idx="38">
                  <c:v>44.377071380615234</c:v>
                </c:pt>
                <c:pt idx="39">
                  <c:v>48.677082061767578</c:v>
                </c:pt>
                <c:pt idx="40">
                  <c:v>53.340179443359375</c:v>
                </c:pt>
                <c:pt idx="41">
                  <c:v>58.657379150390625</c:v>
                </c:pt>
                <c:pt idx="42">
                  <c:v>63.812255859375</c:v>
                </c:pt>
                <c:pt idx="43">
                  <c:v>70.363182067871094</c:v>
                </c:pt>
                <c:pt idx="44">
                  <c:v>76.74688720703125</c:v>
                </c:pt>
                <c:pt idx="45">
                  <c:v>84.146690368652344</c:v>
                </c:pt>
                <c:pt idx="46">
                  <c:v>92.00323486328125</c:v>
                </c:pt>
                <c:pt idx="47">
                  <c:v>101.10221099853516</c:v>
                </c:pt>
                <c:pt idx="48">
                  <c:v>110.89384460449219</c:v>
                </c:pt>
                <c:pt idx="49">
                  <c:v>120.61772155761719</c:v>
                </c:pt>
                <c:pt idx="50">
                  <c:v>132.68621826171875</c:v>
                </c:pt>
                <c:pt idx="51">
                  <c:v>144.88621520996094</c:v>
                </c:pt>
                <c:pt idx="52">
                  <c:v>159.00152587890625</c:v>
                </c:pt>
                <c:pt idx="53">
                  <c:v>173.70451354980469</c:v>
                </c:pt>
                <c:pt idx="54">
                  <c:v>189.97633361816406</c:v>
                </c:pt>
                <c:pt idx="55">
                  <c:v>207.88688659667969</c:v>
                </c:pt>
                <c:pt idx="56">
                  <c:v>227.68122863769531</c:v>
                </c:pt>
                <c:pt idx="57">
                  <c:v>249.86611938476562</c:v>
                </c:pt>
                <c:pt idx="58">
                  <c:v>272.73834228515625</c:v>
                </c:pt>
                <c:pt idx="59">
                  <c:v>298.59756469726562</c:v>
                </c:pt>
                <c:pt idx="60">
                  <c:v>326.63516235351563</c:v>
                </c:pt>
                <c:pt idx="61">
                  <c:v>357.53591918945312</c:v>
                </c:pt>
                <c:pt idx="62">
                  <c:v>391.8616943359375</c:v>
                </c:pt>
                <c:pt idx="63">
                  <c:v>428.64804077148437</c:v>
                </c:pt>
                <c:pt idx="64">
                  <c:v>469.199951171875</c:v>
                </c:pt>
                <c:pt idx="65">
                  <c:v>512.8580322265625</c:v>
                </c:pt>
                <c:pt idx="66">
                  <c:v>561.77740478515625</c:v>
                </c:pt>
                <c:pt idx="67">
                  <c:v>613.458740234375</c:v>
                </c:pt>
                <c:pt idx="68">
                  <c:v>671.80816650390625</c:v>
                </c:pt>
                <c:pt idx="69">
                  <c:v>734.5745849609375</c:v>
                </c:pt>
                <c:pt idx="70">
                  <c:v>804.4002685546875</c:v>
                </c:pt>
                <c:pt idx="71">
                  <c:v>880.11578369140625</c:v>
                </c:pt>
                <c:pt idx="72">
                  <c:v>962.4754638671875</c:v>
                </c:pt>
                <c:pt idx="73">
                  <c:v>1048.5760498046875</c:v>
                </c:pt>
                <c:pt idx="74">
                  <c:v>1148.3358154296875</c:v>
                </c:pt>
                <c:pt idx="75">
                  <c:v>1258.6380615234375</c:v>
                </c:pt>
                <c:pt idx="76">
                  <c:v>1378.488037109375</c:v>
                </c:pt>
                <c:pt idx="77">
                  <c:v>1508.3704833984375</c:v>
                </c:pt>
                <c:pt idx="78">
                  <c:v>1648.3974609375</c:v>
                </c:pt>
                <c:pt idx="79">
                  <c:v>1808.462646484375</c:v>
                </c:pt>
                <c:pt idx="80">
                  <c:v>1978.4178466796875</c:v>
                </c:pt>
                <c:pt idx="81">
                  <c:v>2158.409423828125</c:v>
                </c:pt>
                <c:pt idx="82">
                  <c:v>2368.582763671875</c:v>
                </c:pt>
                <c:pt idx="83">
                  <c:v>2588.760009765625</c:v>
                </c:pt>
                <c:pt idx="84">
                  <c:v>2825.946533203125</c:v>
                </c:pt>
                <c:pt idx="85">
                  <c:v>3099.234130859375</c:v>
                </c:pt>
                <c:pt idx="86">
                  <c:v>3388.214599609375</c:v>
                </c:pt>
                <c:pt idx="87">
                  <c:v>3708.189208984375</c:v>
                </c:pt>
                <c:pt idx="88">
                  <c:v>4058.746826171875</c:v>
                </c:pt>
                <c:pt idx="89">
                  <c:v>4435.2802734375</c:v>
                </c:pt>
                <c:pt idx="90">
                  <c:v>4845.98095703125</c:v>
                </c:pt>
                <c:pt idx="91">
                  <c:v>5304.080078125</c:v>
                </c:pt>
                <c:pt idx="92">
                  <c:v>5805.4560546875</c:v>
                </c:pt>
                <c:pt idx="93">
                  <c:v>6353.33935546875</c:v>
                </c:pt>
                <c:pt idx="94">
                  <c:v>6945.20703125</c:v>
                </c:pt>
                <c:pt idx="95">
                  <c:v>7603.89208984375</c:v>
                </c:pt>
                <c:pt idx="96">
                  <c:v>8313.3974609375</c:v>
                </c:pt>
                <c:pt idx="97">
                  <c:v>9094.6494140625</c:v>
                </c:pt>
                <c:pt idx="98">
                  <c:v>9954.0029296875</c:v>
                </c:pt>
                <c:pt idx="99">
                  <c:v>10895.234375</c:v>
                </c:pt>
                <c:pt idx="100">
                  <c:v>11896.720703125</c:v>
                </c:pt>
                <c:pt idx="101">
                  <c:v>12995.5205078125</c:v>
                </c:pt>
                <c:pt idx="102">
                  <c:v>14294.2802734375</c:v>
                </c:pt>
                <c:pt idx="103">
                  <c:v>15594.58203125</c:v>
                </c:pt>
                <c:pt idx="104">
                  <c:v>17095.107421875</c:v>
                </c:pt>
                <c:pt idx="105">
                  <c:v>18695.3671875</c:v>
                </c:pt>
                <c:pt idx="106">
                  <c:v>20394.369140625</c:v>
                </c:pt>
                <c:pt idx="107">
                  <c:v>22295.521484375</c:v>
                </c:pt>
                <c:pt idx="108">
                  <c:v>24396.67578125</c:v>
                </c:pt>
                <c:pt idx="109">
                  <c:v>26697.0546875</c:v>
                </c:pt>
                <c:pt idx="110">
                  <c:v>29296.841796875</c:v>
                </c:pt>
                <c:pt idx="111">
                  <c:v>31997.15625</c:v>
                </c:pt>
                <c:pt idx="112">
                  <c:v>34997.19140625</c:v>
                </c:pt>
                <c:pt idx="113">
                  <c:v>38297.421875</c:v>
                </c:pt>
                <c:pt idx="114">
                  <c:v>41897.19921875</c:v>
                </c:pt>
                <c:pt idx="115">
                  <c:v>45795.90625</c:v>
                </c:pt>
                <c:pt idx="116">
                  <c:v>50091.828125</c:v>
                </c:pt>
                <c:pt idx="117">
                  <c:v>54784.2734375</c:v>
                </c:pt>
                <c:pt idx="118">
                  <c:v>59484.26953125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74496"/>
        <c:axId val="118876800"/>
      </c:scatterChart>
      <c:valAx>
        <c:axId val="118874496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700" b="0"/>
                  <a:t>Mercury Saturation</a:t>
                </a:r>
              </a:p>
            </c:rich>
          </c:tx>
          <c:layout>
            <c:manualLayout>
              <c:xMode val="edge"/>
              <c:yMode val="edge"/>
              <c:x val="0.39370372327620123"/>
              <c:y val="0.9364548771026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18876800"/>
        <c:crossesAt val="1.0000000000000041E-3"/>
        <c:crossBetween val="midCat"/>
        <c:majorUnit val="0.2"/>
        <c:minorUnit val="0.1"/>
      </c:valAx>
      <c:valAx>
        <c:axId val="118876800"/>
        <c:scaling>
          <c:logBase val="10"/>
          <c:orientation val="minMax"/>
          <c:max val="1000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Injection Pressure, psia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33779264214047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18874496"/>
        <c:crosses val="max"/>
        <c:crossBetween val="midCat"/>
        <c:majorUnit val="10"/>
        <c:minorUnit val="1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chemeClr val="dk1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4041119369915644"/>
          <c:y val="5.3511705685618735E-2"/>
          <c:w val="0.71747821581027194"/>
          <c:h val="0.8104070436011552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0066"/>
              </a:solidFill>
            </a:ln>
          </c:spPr>
          <c:marker>
            <c:symbol val="circ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0.99970720923857392</c:v>
                </c:pt>
                <c:pt idx="34">
                  <c:v>0.99913195947712796</c:v>
                </c:pt>
                <c:pt idx="35">
                  <c:v>0.99860759714352443</c:v>
                </c:pt>
                <c:pt idx="36">
                  <c:v>0.99794779507856191</c:v>
                </c:pt>
                <c:pt idx="37">
                  <c:v>0.99692477076003483</c:v>
                </c:pt>
                <c:pt idx="38">
                  <c:v>0.99571070693716812</c:v>
                </c:pt>
                <c:pt idx="39">
                  <c:v>0.99437725632957263</c:v>
                </c:pt>
                <c:pt idx="40">
                  <c:v>0.99293826983965616</c:v>
                </c:pt>
                <c:pt idx="41">
                  <c:v>0.9915228082026204</c:v>
                </c:pt>
                <c:pt idx="42">
                  <c:v>0.98985931939568994</c:v>
                </c:pt>
                <c:pt idx="43">
                  <c:v>0.9873821361633226</c:v>
                </c:pt>
                <c:pt idx="44">
                  <c:v>0.98470226751825551</c:v>
                </c:pt>
                <c:pt idx="45">
                  <c:v>0.98048876430433429</c:v>
                </c:pt>
                <c:pt idx="46">
                  <c:v>0.97338967166291379</c:v>
                </c:pt>
                <c:pt idx="47">
                  <c:v>0.96355770497436832</c:v>
                </c:pt>
                <c:pt idx="48">
                  <c:v>0.94911476682717488</c:v>
                </c:pt>
                <c:pt idx="49">
                  <c:v>0.9306635595273981</c:v>
                </c:pt>
                <c:pt idx="50">
                  <c:v>0.90751365887869573</c:v>
                </c:pt>
                <c:pt idx="51">
                  <c:v>0.8843797285815288</c:v>
                </c:pt>
                <c:pt idx="52">
                  <c:v>0.8617644836801136</c:v>
                </c:pt>
                <c:pt idx="53">
                  <c:v>0.83795724996981691</c:v>
                </c:pt>
                <c:pt idx="54">
                  <c:v>0.81549028686208236</c:v>
                </c:pt>
                <c:pt idx="55">
                  <c:v>0.79472800391496157</c:v>
                </c:pt>
                <c:pt idx="56">
                  <c:v>0.77446332101583204</c:v>
                </c:pt>
                <c:pt idx="57">
                  <c:v>0.75475872725352389</c:v>
                </c:pt>
                <c:pt idx="58">
                  <c:v>0.73623097199985965</c:v>
                </c:pt>
                <c:pt idx="59">
                  <c:v>0.7170900307627468</c:v>
                </c:pt>
                <c:pt idx="60">
                  <c:v>0.69849910206089549</c:v>
                </c:pt>
                <c:pt idx="61">
                  <c:v>0.68076756352065326</c:v>
                </c:pt>
                <c:pt idx="62">
                  <c:v>0.66290594950547388</c:v>
                </c:pt>
                <c:pt idx="63">
                  <c:v>0.64485571189247626</c:v>
                </c:pt>
                <c:pt idx="64">
                  <c:v>0.62706019755169806</c:v>
                </c:pt>
                <c:pt idx="65">
                  <c:v>0.60929573896654698</c:v>
                </c:pt>
                <c:pt idx="66">
                  <c:v>0.59131851541731151</c:v>
                </c:pt>
                <c:pt idx="67">
                  <c:v>0.57373392534993473</c:v>
                </c:pt>
                <c:pt idx="68">
                  <c:v>0.55569869644558378</c:v>
                </c:pt>
                <c:pt idx="69">
                  <c:v>0.5377809885617677</c:v>
                </c:pt>
                <c:pt idx="70">
                  <c:v>0.51947985064950797</c:v>
                </c:pt>
                <c:pt idx="71">
                  <c:v>0.50141838010362405</c:v>
                </c:pt>
                <c:pt idx="72">
                  <c:v>0.48322513498371078</c:v>
                </c:pt>
                <c:pt idx="73">
                  <c:v>0.46578435477559876</c:v>
                </c:pt>
                <c:pt idx="74">
                  <c:v>0.44720399824587598</c:v>
                </c:pt>
                <c:pt idx="75">
                  <c:v>0.42867900402823633</c:v>
                </c:pt>
                <c:pt idx="76">
                  <c:v>0.41071551486332836</c:v>
                </c:pt>
                <c:pt idx="77">
                  <c:v>0.39296691453637</c:v>
                </c:pt>
                <c:pt idx="78">
                  <c:v>0.37597625399606505</c:v>
                </c:pt>
                <c:pt idx="79">
                  <c:v>0.35849677208641151</c:v>
                </c:pt>
                <c:pt idx="80">
                  <c:v>0.34218650633808601</c:v>
                </c:pt>
                <c:pt idx="81">
                  <c:v>0.32700128017469476</c:v>
                </c:pt>
                <c:pt idx="82">
                  <c:v>0.31102134760818567</c:v>
                </c:pt>
                <c:pt idx="83">
                  <c:v>0.29691811718606298</c:v>
                </c:pt>
                <c:pt idx="84">
                  <c:v>0.2840347455176514</c:v>
                </c:pt>
                <c:pt idx="85">
                  <c:v>0.27052313195994759</c:v>
                </c:pt>
                <c:pt idx="86">
                  <c:v>0.25776709832904721</c:v>
                </c:pt>
                <c:pt idx="87">
                  <c:v>0.24604539127044334</c:v>
                </c:pt>
                <c:pt idx="88">
                  <c:v>0.23455759352018102</c:v>
                </c:pt>
                <c:pt idx="89">
                  <c:v>0.22417015122082085</c:v>
                </c:pt>
                <c:pt idx="90">
                  <c:v>0.21362365436756448</c:v>
                </c:pt>
                <c:pt idx="91">
                  <c:v>0.20413588503745461</c:v>
                </c:pt>
                <c:pt idx="92">
                  <c:v>0.19438116836110186</c:v>
                </c:pt>
                <c:pt idx="93">
                  <c:v>0.18562844817709967</c:v>
                </c:pt>
                <c:pt idx="94">
                  <c:v>0.17765910706893495</c:v>
                </c:pt>
                <c:pt idx="95">
                  <c:v>0.16913699238948399</c:v>
                </c:pt>
                <c:pt idx="96">
                  <c:v>0.15990304958485024</c:v>
                </c:pt>
                <c:pt idx="97">
                  <c:v>0.1568975320797692</c:v>
                </c:pt>
                <c:pt idx="98">
                  <c:v>0.14664365784792455</c:v>
                </c:pt>
                <c:pt idx="99">
                  <c:v>0.1393778381582701</c:v>
                </c:pt>
                <c:pt idx="100">
                  <c:v>0.13142039074374967</c:v>
                </c:pt>
                <c:pt idx="101">
                  <c:v>0.12791581007757069</c:v>
                </c:pt>
                <c:pt idx="102">
                  <c:v>0.12174468217517831</c:v>
                </c:pt>
                <c:pt idx="103">
                  <c:v>0.11643518630125271</c:v>
                </c:pt>
                <c:pt idx="104">
                  <c:v>0.10930944789229979</c:v>
                </c:pt>
                <c:pt idx="105">
                  <c:v>0.10930944789229979</c:v>
                </c:pt>
                <c:pt idx="106">
                  <c:v>0.10331776373290869</c:v>
                </c:pt>
                <c:pt idx="107">
                  <c:v>9.8928613200519933E-2</c:v>
                </c:pt>
                <c:pt idx="108">
                  <c:v>9.5642272373277715E-2</c:v>
                </c:pt>
                <c:pt idx="109">
                  <c:v>9.2487234148094788E-2</c:v>
                </c:pt>
                <c:pt idx="110">
                  <c:v>9.2404639053341509E-2</c:v>
                </c:pt>
                <c:pt idx="111">
                  <c:v>8.9416112539181136E-2</c:v>
                </c:pt>
                <c:pt idx="112">
                  <c:v>8.7256557593162198E-2</c:v>
                </c:pt>
                <c:pt idx="113">
                  <c:v>8.5801845587169634E-2</c:v>
                </c:pt>
                <c:pt idx="114">
                  <c:v>8.3330789140938166E-2</c:v>
                </c:pt>
                <c:pt idx="115">
                  <c:v>8.2153785442104721E-2</c:v>
                </c:pt>
                <c:pt idx="116">
                  <c:v>7.9774574741239057E-2</c:v>
                </c:pt>
                <c:pt idx="117">
                  <c:v>7.9774574741239057E-2</c:v>
                </c:pt>
                <c:pt idx="118">
                  <c:v>7.9774574741239057E-2</c:v>
                </c:pt>
              </c:numCache>
            </c:numRef>
          </c:xVal>
          <c:yVal>
            <c:numRef>
              <c:f>Table!$L$18:$L$136</c:f>
              <c:numCache>
                <c:formatCode>????0.00</c:formatCode>
                <c:ptCount val="119"/>
                <c:pt idx="0">
                  <c:v>0.28029745544781676</c:v>
                </c:pt>
                <c:pt idx="1">
                  <c:v>0.29721171426782311</c:v>
                </c:pt>
                <c:pt idx="2">
                  <c:v>0.33593523946447978</c:v>
                </c:pt>
                <c:pt idx="3">
                  <c:v>0.37410146123865251</c:v>
                </c:pt>
                <c:pt idx="4">
                  <c:v>0.403712683548275</c:v>
                </c:pt>
                <c:pt idx="5">
                  <c:v>0.43945399644369526</c:v>
                </c:pt>
                <c:pt idx="6">
                  <c:v>0.48280148024271635</c:v>
                </c:pt>
                <c:pt idx="7">
                  <c:v>0.5259832082178576</c:v>
                </c:pt>
                <c:pt idx="8">
                  <c:v>0.58195234666130924</c:v>
                </c:pt>
                <c:pt idx="9">
                  <c:v>0.63542126738082305</c:v>
                </c:pt>
                <c:pt idx="10">
                  <c:v>0.69259530242696588</c:v>
                </c:pt>
                <c:pt idx="11">
                  <c:v>0.75760141245212742</c:v>
                </c:pt>
                <c:pt idx="12">
                  <c:v>0.82727662595851503</c:v>
                </c:pt>
                <c:pt idx="13">
                  <c:v>0.90543161992482213</c:v>
                </c:pt>
                <c:pt idx="14">
                  <c:v>0.98950584869446301</c:v>
                </c:pt>
                <c:pt idx="15">
                  <c:v>1.0844845646615273</c:v>
                </c:pt>
                <c:pt idx="16">
                  <c:v>1.1857893134647319</c:v>
                </c:pt>
                <c:pt idx="17">
                  <c:v>1.2975619243683103</c:v>
                </c:pt>
                <c:pt idx="18">
                  <c:v>1.4187781252052953</c:v>
                </c:pt>
                <c:pt idx="19">
                  <c:v>1.5529171711471756</c:v>
                </c:pt>
                <c:pt idx="20">
                  <c:v>1.7002653840425719</c:v>
                </c:pt>
                <c:pt idx="21">
                  <c:v>1.8597382985527013</c:v>
                </c:pt>
                <c:pt idx="22">
                  <c:v>2.0290011383355635</c:v>
                </c:pt>
                <c:pt idx="23">
                  <c:v>2.2381021550803282</c:v>
                </c:pt>
                <c:pt idx="24">
                  <c:v>2.4237973714065921</c:v>
                </c:pt>
                <c:pt idx="25">
                  <c:v>2.6682781377333868</c:v>
                </c:pt>
                <c:pt idx="26">
                  <c:v>2.9123522857084851</c:v>
                </c:pt>
                <c:pt idx="27">
                  <c:v>3.1765187347544748</c:v>
                </c:pt>
                <c:pt idx="28">
                  <c:v>3.4838517736420966</c:v>
                </c:pt>
                <c:pt idx="29">
                  <c:v>3.8161270661189479</c:v>
                </c:pt>
                <c:pt idx="30">
                  <c:v>4.1801523700768017</c:v>
                </c:pt>
                <c:pt idx="31">
                  <c:v>4.5715445445208331</c:v>
                </c:pt>
                <c:pt idx="32">
                  <c:v>5.009266774427342</c:v>
                </c:pt>
                <c:pt idx="33">
                  <c:v>5.4587365552989109</c:v>
                </c:pt>
                <c:pt idx="34">
                  <c:v>5.8048717298687693</c:v>
                </c:pt>
                <c:pt idx="35">
                  <c:v>6.30608320187069</c:v>
                </c:pt>
                <c:pt idx="36">
                  <c:v>6.9221126999078324</c:v>
                </c:pt>
                <c:pt idx="37">
                  <c:v>7.6379449923505502</c:v>
                </c:pt>
                <c:pt idx="38">
                  <c:v>8.3610529322952143</c:v>
                </c:pt>
                <c:pt idx="39">
                  <c:v>9.1712149325360492</c:v>
                </c:pt>
                <c:pt idx="40">
                  <c:v>10.049785843661272</c:v>
                </c:pt>
                <c:pt idx="41">
                  <c:v>11.051595715718147</c:v>
                </c:pt>
                <c:pt idx="42">
                  <c:v>12.022822425421687</c:v>
                </c:pt>
                <c:pt idx="43">
                  <c:v>13.257077843383351</c:v>
                </c:pt>
                <c:pt idx="44">
                  <c:v>14.459827256811252</c:v>
                </c:pt>
                <c:pt idx="45">
                  <c:v>15.854018986865469</c:v>
                </c:pt>
                <c:pt idx="46">
                  <c:v>17.334265031520392</c:v>
                </c:pt>
                <c:pt idx="47">
                  <c:v>19.048596751251242</c:v>
                </c:pt>
                <c:pt idx="48">
                  <c:v>20.893431579824654</c:v>
                </c:pt>
                <c:pt idx="49">
                  <c:v>22.725500424902112</c:v>
                </c:pt>
                <c:pt idx="50">
                  <c:v>24.999317434834428</c:v>
                </c:pt>
                <c:pt idx="51">
                  <c:v>27.29791031364821</c:v>
                </c:pt>
                <c:pt idx="52">
                  <c:v>29.957366108885658</c:v>
                </c:pt>
                <c:pt idx="53">
                  <c:v>32.727545716388214</c:v>
                </c:pt>
                <c:pt idx="54">
                  <c:v>35.793307936915582</c:v>
                </c:pt>
                <c:pt idx="55">
                  <c:v>39.167822677098748</c:v>
                </c:pt>
                <c:pt idx="56">
                  <c:v>42.897260794936834</c:v>
                </c:pt>
                <c:pt idx="57">
                  <c:v>47.077100519882421</c:v>
                </c:pt>
                <c:pt idx="58">
                  <c:v>51.386440014352893</c:v>
                </c:pt>
                <c:pt idx="59">
                  <c:v>56.258557994407028</c:v>
                </c:pt>
                <c:pt idx="60">
                  <c:v>61.541102128238791</c:v>
                </c:pt>
                <c:pt idx="61">
                  <c:v>67.363092077447448</c:v>
                </c:pt>
                <c:pt idx="62">
                  <c:v>73.83038732729095</c:v>
                </c:pt>
                <c:pt idx="63">
                  <c:v>80.761277090055032</c:v>
                </c:pt>
                <c:pt idx="64">
                  <c:v>88.401634121624838</c:v>
                </c:pt>
                <c:pt idx="65">
                  <c:v>96.627222590271018</c:v>
                </c:pt>
                <c:pt idx="66">
                  <c:v>105.84408730558746</c:v>
                </c:pt>
                <c:pt idx="67">
                  <c:v>115.58133151434743</c:v>
                </c:pt>
                <c:pt idx="68">
                  <c:v>126.57490604350654</c:v>
                </c:pt>
                <c:pt idx="69">
                  <c:v>138.40068297657089</c:v>
                </c:pt>
                <c:pt idx="70">
                  <c:v>151.55649110896746</c:v>
                </c:pt>
                <c:pt idx="71">
                  <c:v>165.82199827649629</c:v>
                </c:pt>
                <c:pt idx="72">
                  <c:v>181.33932792473919</c:v>
                </c:pt>
                <c:pt idx="73">
                  <c:v>197.56147900701032</c:v>
                </c:pt>
                <c:pt idx="74">
                  <c:v>216.35714656582851</c:v>
                </c:pt>
                <c:pt idx="75">
                  <c:v>237.13911548466416</c:v>
                </c:pt>
                <c:pt idx="76">
                  <c:v>259.71996542885489</c:v>
                </c:pt>
                <c:pt idx="77">
                  <c:v>284.19102615038793</c:v>
                </c:pt>
                <c:pt idx="78">
                  <c:v>310.5734108984006</c:v>
                </c:pt>
                <c:pt idx="79">
                  <c:v>340.7311803802254</c:v>
                </c:pt>
                <c:pt idx="80">
                  <c:v>372.7523205939205</c:v>
                </c:pt>
                <c:pt idx="81">
                  <c:v>406.66440755878409</c:v>
                </c:pt>
                <c:pt idx="82">
                  <c:v>446.26301929048287</c:v>
                </c:pt>
                <c:pt idx="83">
                  <c:v>487.74645999092036</c:v>
                </c:pt>
                <c:pt idx="84">
                  <c:v>532.4346067205463</c:v>
                </c:pt>
                <c:pt idx="85">
                  <c:v>583.92453155460873</c:v>
                </c:pt>
                <c:pt idx="86">
                  <c:v>638.37113923845129</c:v>
                </c:pt>
                <c:pt idx="87">
                  <c:v>698.65733124578355</c:v>
                </c:pt>
                <c:pt idx="88">
                  <c:v>764.70564633140452</c:v>
                </c:pt>
                <c:pt idx="89">
                  <c:v>835.64804936574899</c:v>
                </c:pt>
                <c:pt idx="90">
                  <c:v>913.02787746222771</c:v>
                </c:pt>
                <c:pt idx="91">
                  <c:v>999.33801196506158</c:v>
                </c:pt>
                <c:pt idx="92">
                  <c:v>1093.801908490947</c:v>
                </c:pt>
                <c:pt idx="93">
                  <c:v>1197.0282173940998</c:v>
                </c:pt>
                <c:pt idx="94">
                  <c:v>1308.5415915795634</c:v>
                </c:pt>
                <c:pt idx="95">
                  <c:v>1432.6439820545693</c:v>
                </c:pt>
                <c:pt idx="96">
                  <c:v>1566.3213920076269</c:v>
                </c:pt>
                <c:pt idx="97">
                  <c:v>1713.5165252220843</c:v>
                </c:pt>
                <c:pt idx="98">
                  <c:v>1875.4267191163392</c:v>
                </c:pt>
                <c:pt idx="99">
                  <c:v>2052.7634763868105</c:v>
                </c:pt>
                <c:pt idx="100">
                  <c:v>2241.4528139189124</c:v>
                </c:pt>
                <c:pt idx="101">
                  <c:v>2448.4769154012142</c:v>
                </c:pt>
                <c:pt idx="102">
                  <c:v>2693.1753330500492</c:v>
                </c:pt>
                <c:pt idx="103">
                  <c:v>2938.1642763667523</c:v>
                </c:pt>
                <c:pt idx="104">
                  <c:v>3220.877214083253</c:v>
                </c:pt>
                <c:pt idx="105">
                  <c:v>3522.3810355287019</c:v>
                </c:pt>
                <c:pt idx="106">
                  <c:v>3842.4888033512598</c:v>
                </c:pt>
                <c:pt idx="107">
                  <c:v>4200.6835846633585</c:v>
                </c:pt>
                <c:pt idx="108">
                  <c:v>4596.5605938606213</c:v>
                </c:pt>
                <c:pt idx="109">
                  <c:v>5029.9733721516468</c:v>
                </c:pt>
                <c:pt idx="110">
                  <c:v>5519.79744025539</c:v>
                </c:pt>
                <c:pt idx="111">
                  <c:v>6028.5617947747878</c:v>
                </c:pt>
                <c:pt idx="112">
                  <c:v>6593.7963170129933</c:v>
                </c:pt>
                <c:pt idx="113">
                  <c:v>7215.5904277898826</c:v>
                </c:pt>
                <c:pt idx="114">
                  <c:v>7893.8219554503166</c:v>
                </c:pt>
                <c:pt idx="115">
                  <c:v>8628.3746161297659</c:v>
                </c:pt>
                <c:pt idx="116">
                  <c:v>9437.766247267682</c:v>
                </c:pt>
                <c:pt idx="117">
                  <c:v>10321.866581496839</c:v>
                </c:pt>
                <c:pt idx="118">
                  <c:v>11207.389553131919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24352"/>
        <c:axId val="119126272"/>
      </c:scatterChart>
      <c:scatterChart>
        <c:scatterStyle val="lineMarker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0.99970720923857392</c:v>
                </c:pt>
                <c:pt idx="34">
                  <c:v>0.99913195947712796</c:v>
                </c:pt>
                <c:pt idx="35">
                  <c:v>0.99860759714352443</c:v>
                </c:pt>
                <c:pt idx="36">
                  <c:v>0.99794779507856191</c:v>
                </c:pt>
                <c:pt idx="37">
                  <c:v>0.99692477076003483</c:v>
                </c:pt>
                <c:pt idx="38">
                  <c:v>0.99571070693716812</c:v>
                </c:pt>
                <c:pt idx="39">
                  <c:v>0.99437725632957263</c:v>
                </c:pt>
                <c:pt idx="40">
                  <c:v>0.99293826983965616</c:v>
                </c:pt>
                <c:pt idx="41">
                  <c:v>0.9915228082026204</c:v>
                </c:pt>
                <c:pt idx="42">
                  <c:v>0.98985931939568994</c:v>
                </c:pt>
                <c:pt idx="43">
                  <c:v>0.9873821361633226</c:v>
                </c:pt>
                <c:pt idx="44">
                  <c:v>0.98470226751825551</c:v>
                </c:pt>
                <c:pt idx="45">
                  <c:v>0.98048876430433429</c:v>
                </c:pt>
                <c:pt idx="46">
                  <c:v>0.97338967166291379</c:v>
                </c:pt>
                <c:pt idx="47">
                  <c:v>0.96355770497436832</c:v>
                </c:pt>
                <c:pt idx="48">
                  <c:v>0.94911476682717488</c:v>
                </c:pt>
                <c:pt idx="49">
                  <c:v>0.9306635595273981</c:v>
                </c:pt>
                <c:pt idx="50">
                  <c:v>0.90751365887869573</c:v>
                </c:pt>
                <c:pt idx="51">
                  <c:v>0.8843797285815288</c:v>
                </c:pt>
                <c:pt idx="52">
                  <c:v>0.8617644836801136</c:v>
                </c:pt>
                <c:pt idx="53">
                  <c:v>0.83795724996981691</c:v>
                </c:pt>
                <c:pt idx="54">
                  <c:v>0.81549028686208236</c:v>
                </c:pt>
                <c:pt idx="55">
                  <c:v>0.79472800391496157</c:v>
                </c:pt>
                <c:pt idx="56">
                  <c:v>0.77446332101583204</c:v>
                </c:pt>
                <c:pt idx="57">
                  <c:v>0.75475872725352389</c:v>
                </c:pt>
                <c:pt idx="58">
                  <c:v>0.73623097199985965</c:v>
                </c:pt>
                <c:pt idx="59">
                  <c:v>0.7170900307627468</c:v>
                </c:pt>
                <c:pt idx="60">
                  <c:v>0.69849910206089549</c:v>
                </c:pt>
                <c:pt idx="61">
                  <c:v>0.68076756352065326</c:v>
                </c:pt>
                <c:pt idx="62">
                  <c:v>0.66290594950547388</c:v>
                </c:pt>
                <c:pt idx="63">
                  <c:v>0.64485571189247626</c:v>
                </c:pt>
                <c:pt idx="64">
                  <c:v>0.62706019755169806</c:v>
                </c:pt>
                <c:pt idx="65">
                  <c:v>0.60929573896654698</c:v>
                </c:pt>
                <c:pt idx="66">
                  <c:v>0.59131851541731151</c:v>
                </c:pt>
                <c:pt idx="67">
                  <c:v>0.57373392534993473</c:v>
                </c:pt>
                <c:pt idx="68">
                  <c:v>0.55569869644558378</c:v>
                </c:pt>
                <c:pt idx="69">
                  <c:v>0.5377809885617677</c:v>
                </c:pt>
                <c:pt idx="70">
                  <c:v>0.51947985064950797</c:v>
                </c:pt>
                <c:pt idx="71">
                  <c:v>0.50141838010362405</c:v>
                </c:pt>
                <c:pt idx="72">
                  <c:v>0.48322513498371078</c:v>
                </c:pt>
                <c:pt idx="73">
                  <c:v>0.46578435477559876</c:v>
                </c:pt>
                <c:pt idx="74">
                  <c:v>0.44720399824587598</c:v>
                </c:pt>
                <c:pt idx="75">
                  <c:v>0.42867900402823633</c:v>
                </c:pt>
                <c:pt idx="76">
                  <c:v>0.41071551486332836</c:v>
                </c:pt>
                <c:pt idx="77">
                  <c:v>0.39296691453637</c:v>
                </c:pt>
                <c:pt idx="78">
                  <c:v>0.37597625399606505</c:v>
                </c:pt>
                <c:pt idx="79">
                  <c:v>0.35849677208641151</c:v>
                </c:pt>
                <c:pt idx="80">
                  <c:v>0.34218650633808601</c:v>
                </c:pt>
                <c:pt idx="81">
                  <c:v>0.32700128017469476</c:v>
                </c:pt>
                <c:pt idx="82">
                  <c:v>0.31102134760818567</c:v>
                </c:pt>
                <c:pt idx="83">
                  <c:v>0.29691811718606298</c:v>
                </c:pt>
                <c:pt idx="84">
                  <c:v>0.2840347455176514</c:v>
                </c:pt>
                <c:pt idx="85">
                  <c:v>0.27052313195994759</c:v>
                </c:pt>
                <c:pt idx="86">
                  <c:v>0.25776709832904721</c:v>
                </c:pt>
                <c:pt idx="87">
                  <c:v>0.24604539127044334</c:v>
                </c:pt>
                <c:pt idx="88">
                  <c:v>0.23455759352018102</c:v>
                </c:pt>
                <c:pt idx="89">
                  <c:v>0.22417015122082085</c:v>
                </c:pt>
                <c:pt idx="90">
                  <c:v>0.21362365436756448</c:v>
                </c:pt>
                <c:pt idx="91">
                  <c:v>0.20413588503745461</c:v>
                </c:pt>
                <c:pt idx="92">
                  <c:v>0.19438116836110186</c:v>
                </c:pt>
                <c:pt idx="93">
                  <c:v>0.18562844817709967</c:v>
                </c:pt>
                <c:pt idx="94">
                  <c:v>0.17765910706893495</c:v>
                </c:pt>
                <c:pt idx="95">
                  <c:v>0.16913699238948399</c:v>
                </c:pt>
                <c:pt idx="96">
                  <c:v>0.15990304958485024</c:v>
                </c:pt>
                <c:pt idx="97">
                  <c:v>0.1568975320797692</c:v>
                </c:pt>
                <c:pt idx="98">
                  <c:v>0.14664365784792455</c:v>
                </c:pt>
                <c:pt idx="99">
                  <c:v>0.1393778381582701</c:v>
                </c:pt>
                <c:pt idx="100">
                  <c:v>0.13142039074374967</c:v>
                </c:pt>
                <c:pt idx="101">
                  <c:v>0.12791581007757069</c:v>
                </c:pt>
                <c:pt idx="102">
                  <c:v>0.12174468217517831</c:v>
                </c:pt>
                <c:pt idx="103">
                  <c:v>0.11643518630125271</c:v>
                </c:pt>
                <c:pt idx="104">
                  <c:v>0.10930944789229979</c:v>
                </c:pt>
                <c:pt idx="105">
                  <c:v>0.10930944789229979</c:v>
                </c:pt>
                <c:pt idx="106">
                  <c:v>0.10331776373290869</c:v>
                </c:pt>
                <c:pt idx="107">
                  <c:v>9.8928613200519933E-2</c:v>
                </c:pt>
                <c:pt idx="108">
                  <c:v>9.5642272373277715E-2</c:v>
                </c:pt>
                <c:pt idx="109">
                  <c:v>9.2487234148094788E-2</c:v>
                </c:pt>
                <c:pt idx="110">
                  <c:v>9.2404639053341509E-2</c:v>
                </c:pt>
                <c:pt idx="111">
                  <c:v>8.9416112539181136E-2</c:v>
                </c:pt>
                <c:pt idx="112">
                  <c:v>8.7256557593162198E-2</c:v>
                </c:pt>
                <c:pt idx="113">
                  <c:v>8.5801845587169634E-2</c:v>
                </c:pt>
                <c:pt idx="114">
                  <c:v>8.3330789140938166E-2</c:v>
                </c:pt>
                <c:pt idx="115">
                  <c:v>8.2153785442104721E-2</c:v>
                </c:pt>
                <c:pt idx="116">
                  <c:v>7.9774574741239057E-2</c:v>
                </c:pt>
                <c:pt idx="117">
                  <c:v>7.9774574741239057E-2</c:v>
                </c:pt>
                <c:pt idx="118">
                  <c:v>7.9774574741239057E-2</c:v>
                </c:pt>
              </c:numCache>
            </c:numRef>
          </c:xVal>
          <c:yVal>
            <c:numRef>
              <c:f>Table!$O$18:$O$136</c:f>
              <c:numCache>
                <c:formatCode>????0.00</c:formatCode>
                <c:ptCount val="119"/>
                <c:pt idx="0">
                  <c:v>0.60123864317421016</c:v>
                </c:pt>
                <c:pt idx="1">
                  <c:v>0.63751976462424531</c:v>
                </c:pt>
                <c:pt idx="2">
                  <c:v>0.72058180923311843</c:v>
                </c:pt>
                <c:pt idx="3">
                  <c:v>0.80244843680534661</c:v>
                </c:pt>
                <c:pt idx="4">
                  <c:v>0.86596457217562217</c:v>
                </c:pt>
                <c:pt idx="5">
                  <c:v>0.94262976500149154</c:v>
                </c:pt>
                <c:pt idx="6">
                  <c:v>1.0356102107308374</c:v>
                </c:pt>
                <c:pt idx="7">
                  <c:v>1.1282351098624146</c:v>
                </c:pt>
                <c:pt idx="8">
                  <c:v>1.2482890318775404</c:v>
                </c:pt>
                <c:pt idx="9">
                  <c:v>1.3629799815118471</c:v>
                </c:pt>
                <c:pt idx="10">
                  <c:v>1.4856184093242513</c:v>
                </c:pt>
                <c:pt idx="11">
                  <c:v>1.6250566547664682</c:v>
                </c:pt>
                <c:pt idx="12">
                  <c:v>1.7745101371911522</c:v>
                </c:pt>
                <c:pt idx="13">
                  <c:v>1.9421527668915108</c:v>
                </c:pt>
                <c:pt idx="14">
                  <c:v>2.1224921679417914</c:v>
                </c:pt>
                <c:pt idx="15">
                  <c:v>2.3262217174206938</c:v>
                </c:pt>
                <c:pt idx="16">
                  <c:v>2.5435206209024712</c:v>
                </c:pt>
                <c:pt idx="17">
                  <c:v>2.7832731110431372</c:v>
                </c:pt>
                <c:pt idx="18">
                  <c:v>3.043282121847481</c:v>
                </c:pt>
                <c:pt idx="19">
                  <c:v>3.3310106631213556</c:v>
                </c:pt>
                <c:pt idx="20">
                  <c:v>3.6470728958442131</c:v>
                </c:pt>
                <c:pt idx="21">
                  <c:v>3.9891426395381844</c:v>
                </c:pt>
                <c:pt idx="22">
                  <c:v>4.3522117939415788</c:v>
                </c:pt>
                <c:pt idx="23">
                  <c:v>4.8007339233812276</c:v>
                </c:pt>
                <c:pt idx="24">
                  <c:v>5.1990505607177013</c:v>
                </c:pt>
                <c:pt idx="25">
                  <c:v>5.7234623289004443</c:v>
                </c:pt>
                <c:pt idx="26">
                  <c:v>6.2470018998466017</c:v>
                </c:pt>
                <c:pt idx="27">
                  <c:v>6.8136394996878495</c:v>
                </c:pt>
                <c:pt idx="28">
                  <c:v>7.4728695273318255</c:v>
                </c:pt>
                <c:pt idx="29">
                  <c:v>8.185600742425887</c:v>
                </c:pt>
                <c:pt idx="30">
                  <c:v>8.966435800250542</c:v>
                </c:pt>
                <c:pt idx="31">
                  <c:v>9.8059728539700419</c:v>
                </c:pt>
                <c:pt idx="32">
                  <c:v>10.744887976034626</c:v>
                </c:pt>
                <c:pt idx="33">
                  <c:v>11.709001620117785</c:v>
                </c:pt>
                <c:pt idx="34">
                  <c:v>12.451462312030824</c:v>
                </c:pt>
                <c:pt idx="35">
                  <c:v>13.526561994574628</c:v>
                </c:pt>
                <c:pt idx="36">
                  <c:v>14.847946589248892</c:v>
                </c:pt>
                <c:pt idx="37">
                  <c:v>16.383408392000327</c:v>
                </c:pt>
                <c:pt idx="38">
                  <c:v>17.93447647424971</c:v>
                </c:pt>
                <c:pt idx="39">
                  <c:v>19.672275702565528</c:v>
                </c:pt>
                <c:pt idx="40">
                  <c:v>21.556812191465625</c:v>
                </c:pt>
                <c:pt idx="41">
                  <c:v>23.705696515911946</c:v>
                </c:pt>
                <c:pt idx="42">
                  <c:v>25.788979891509417</c:v>
                </c:pt>
                <c:pt idx="43">
                  <c:v>28.436460410517704</c:v>
                </c:pt>
                <c:pt idx="44">
                  <c:v>31.016360482220623</c:v>
                </c:pt>
                <c:pt idx="45">
                  <c:v>34.006904733731169</c:v>
                </c:pt>
                <c:pt idx="46">
                  <c:v>37.182035674646919</c:v>
                </c:pt>
                <c:pt idx="47">
                  <c:v>40.859280890714814</c:v>
                </c:pt>
                <c:pt idx="48">
                  <c:v>44.816455555179445</c:v>
                </c:pt>
                <c:pt idx="49">
                  <c:v>48.746247157662197</c:v>
                </c:pt>
                <c:pt idx="50">
                  <c:v>53.623589521309384</c:v>
                </c:pt>
                <c:pt idx="51">
                  <c:v>58.554076176851602</c:v>
                </c:pt>
                <c:pt idx="52">
                  <c:v>64.258614562174316</c:v>
                </c:pt>
                <c:pt idx="53">
                  <c:v>70.200655762308486</c:v>
                </c:pt>
                <c:pt idx="54">
                  <c:v>76.776722301406238</c:v>
                </c:pt>
                <c:pt idx="55">
                  <c:v>84.015063657440479</c:v>
                </c:pt>
                <c:pt idx="56">
                  <c:v>92.014716419855944</c:v>
                </c:pt>
                <c:pt idx="57">
                  <c:v>100.98048159562941</c:v>
                </c:pt>
                <c:pt idx="58">
                  <c:v>110.22402405481103</c:v>
                </c:pt>
                <c:pt idx="59">
                  <c:v>120.67472757273066</c:v>
                </c:pt>
                <c:pt idx="60">
                  <c:v>132.00579607086829</c:v>
                </c:pt>
                <c:pt idx="61">
                  <c:v>144.49397700010181</c:v>
                </c:pt>
                <c:pt idx="62">
                  <c:v>158.3663391833783</c:v>
                </c:pt>
                <c:pt idx="63">
                  <c:v>173.23311259128064</c:v>
                </c:pt>
                <c:pt idx="64">
                  <c:v>189.62169481258013</c:v>
                </c:pt>
                <c:pt idx="65">
                  <c:v>207.26559972173109</c:v>
                </c:pt>
                <c:pt idx="66">
                  <c:v>227.03579430627946</c:v>
                </c:pt>
                <c:pt idx="67">
                  <c:v>247.92220402047928</c:v>
                </c:pt>
                <c:pt idx="68">
                  <c:v>271.50344496676655</c:v>
                </c:pt>
                <c:pt idx="69">
                  <c:v>296.86976185450646</c:v>
                </c:pt>
                <c:pt idx="70">
                  <c:v>325.08899851773378</c:v>
                </c:pt>
                <c:pt idx="71">
                  <c:v>355.68854199162655</c:v>
                </c:pt>
                <c:pt idx="72">
                  <c:v>388.97324737181304</c:v>
                </c:pt>
                <c:pt idx="73">
                  <c:v>423.7697962398334</c:v>
                </c:pt>
                <c:pt idx="74">
                  <c:v>464.08654347024572</c:v>
                </c:pt>
                <c:pt idx="75">
                  <c:v>508.66391137851605</c:v>
                </c:pt>
                <c:pt idx="76">
                  <c:v>557.09988294477671</c:v>
                </c:pt>
                <c:pt idx="77">
                  <c:v>609.5903606829429</c:v>
                </c:pt>
                <c:pt idx="78">
                  <c:v>666.18063255770198</c:v>
                </c:pt>
                <c:pt idx="79">
                  <c:v>730.86911278469631</c:v>
                </c:pt>
                <c:pt idx="80">
                  <c:v>799.55452722848679</c:v>
                </c:pt>
                <c:pt idx="81">
                  <c:v>872.29602650961851</c:v>
                </c:pt>
                <c:pt idx="82">
                  <c:v>957.23513361321943</c:v>
                </c:pt>
                <c:pt idx="83">
                  <c:v>1046.2172028977272</c:v>
                </c:pt>
                <c:pt idx="84">
                  <c:v>1142.0733734889454</c:v>
                </c:pt>
                <c:pt idx="85">
                  <c:v>1252.5193727040087</c:v>
                </c:pt>
                <c:pt idx="86">
                  <c:v>1369.3074629739413</c:v>
                </c:pt>
                <c:pt idx="87">
                  <c:v>1498.6214741436802</c:v>
                </c:pt>
                <c:pt idx="88">
                  <c:v>1640.2952516761147</c:v>
                </c:pt>
                <c:pt idx="89">
                  <c:v>1792.4668583563903</c:v>
                </c:pt>
                <c:pt idx="90">
                  <c:v>1958.4467556032344</c:v>
                </c:pt>
                <c:pt idx="91">
                  <c:v>2143.5821792472366</c:v>
                </c:pt>
                <c:pt idx="92">
                  <c:v>2346.2074399205217</c:v>
                </c:pt>
                <c:pt idx="93">
                  <c:v>2567.6280939384383</c:v>
                </c:pt>
                <c:pt idx="94">
                  <c:v>2806.8245207626846</c:v>
                </c:pt>
                <c:pt idx="95">
                  <c:v>3073.0244145314664</c:v>
                </c:pt>
                <c:pt idx="96">
                  <c:v>3359.7627456191058</c:v>
                </c:pt>
                <c:pt idx="97">
                  <c:v>3675.4966220979936</c:v>
                </c:pt>
                <c:pt idx="98">
                  <c:v>4022.7943352988832</c:v>
                </c:pt>
                <c:pt idx="99">
                  <c:v>4403.1820600317697</c:v>
                </c:pt>
                <c:pt idx="100">
                  <c:v>4807.9210937771613</c:v>
                </c:pt>
                <c:pt idx="101">
                  <c:v>5251.9882355238406</c:v>
                </c:pt>
                <c:pt idx="102">
                  <c:v>5776.8668662592227</c:v>
                </c:pt>
                <c:pt idx="103">
                  <c:v>6302.3686751753594</c:v>
                </c:pt>
                <c:pt idx="104">
                  <c:v>6908.7885329971123</c:v>
                </c:pt>
                <c:pt idx="105">
                  <c:v>7555.5148767239425</c:v>
                </c:pt>
                <c:pt idx="106">
                  <c:v>8242.1467253351784</c:v>
                </c:pt>
                <c:pt idx="107">
                  <c:v>9010.4752995782055</c:v>
                </c:pt>
                <c:pt idx="108">
                  <c:v>9859.6323334633671</c:v>
                </c:pt>
                <c:pt idx="109">
                  <c:v>10789.303672568956</c:v>
                </c:pt>
                <c:pt idx="110">
                  <c:v>11839.977349325161</c:v>
                </c:pt>
                <c:pt idx="111">
                  <c:v>12931.277981069903</c:v>
                </c:pt>
                <c:pt idx="112">
                  <c:v>14143.707243700117</c:v>
                </c:pt>
                <c:pt idx="113">
                  <c:v>15477.456945066246</c:v>
                </c:pt>
                <c:pt idx="114">
                  <c:v>16932.265026705958</c:v>
                </c:pt>
                <c:pt idx="115">
                  <c:v>18507.882059480409</c:v>
                </c:pt>
                <c:pt idx="116">
                  <c:v>20244.028844418026</c:v>
                </c:pt>
                <c:pt idx="117">
                  <c:v>22140.425957736679</c:v>
                </c:pt>
                <c:pt idx="118">
                  <c:v>24039.874631342602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38560"/>
        <c:axId val="119136640"/>
      </c:scatterChart>
      <c:valAx>
        <c:axId val="11912435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14857000438896698"/>
              <c:y val="0.917649019898742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19126272"/>
        <c:crossesAt val="0"/>
        <c:crossBetween val="midCat"/>
        <c:majorUnit val="0.2"/>
        <c:minorUnit val="0.1"/>
      </c:valAx>
      <c:valAx>
        <c:axId val="11912627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Equivalent Gas-Water Capillary Pressure, psia</a:t>
                </a:r>
              </a:p>
            </c:rich>
          </c:tx>
          <c:layout>
            <c:manualLayout>
              <c:xMode val="edge"/>
              <c:yMode val="edge"/>
              <c:x val="3.1998164015806128E-3"/>
              <c:y val="0.14119338136716139"/>
            </c:manualLayout>
          </c:layout>
          <c:overlay val="0"/>
          <c:spPr>
            <a:noFill/>
            <a:ln w="25400">
              <a:noFill/>
            </a:ln>
          </c:spPr>
        </c:title>
        <c:numFmt formatCode="????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19124352"/>
        <c:crossesAt val="0"/>
        <c:crossBetween val="midCat"/>
        <c:majorUnit val="400"/>
        <c:minorUnit val="200"/>
      </c:valAx>
      <c:valAx>
        <c:axId val="119136640"/>
        <c:scaling>
          <c:orientation val="minMax"/>
          <c:max val="429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Estimated Height Above Free Water, ft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19138560"/>
        <c:crosses val="max"/>
        <c:crossBetween val="midCat"/>
        <c:majorUnit val="858"/>
        <c:minorUnit val="429"/>
      </c:valAx>
      <c:valAx>
        <c:axId val="119138560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119136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1199" r="0.75000000000001199" t="1" header="0.5" footer="0.5"/>
    <c:pageSetup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9031174022717789"/>
          <c:y val="7.0234113712374549E-2"/>
          <c:w val="0.73356525323931165"/>
          <c:h val="0.791527313266443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0.99970720923857392</c:v>
                </c:pt>
                <c:pt idx="34">
                  <c:v>0.99913195947712796</c:v>
                </c:pt>
                <c:pt idx="35">
                  <c:v>0.99860759714352443</c:v>
                </c:pt>
                <c:pt idx="36">
                  <c:v>0.99794779507856191</c:v>
                </c:pt>
                <c:pt idx="37">
                  <c:v>0.99692477076003483</c:v>
                </c:pt>
                <c:pt idx="38">
                  <c:v>0.99571070693716812</c:v>
                </c:pt>
                <c:pt idx="39">
                  <c:v>0.99437725632957263</c:v>
                </c:pt>
                <c:pt idx="40">
                  <c:v>0.99293826983965616</c:v>
                </c:pt>
                <c:pt idx="41">
                  <c:v>0.9915228082026204</c:v>
                </c:pt>
                <c:pt idx="42">
                  <c:v>0.98985931939568994</c:v>
                </c:pt>
                <c:pt idx="43">
                  <c:v>0.9873821361633226</c:v>
                </c:pt>
                <c:pt idx="44">
                  <c:v>0.98470226751825551</c:v>
                </c:pt>
                <c:pt idx="45">
                  <c:v>0.98048876430433429</c:v>
                </c:pt>
                <c:pt idx="46">
                  <c:v>0.97338967166291379</c:v>
                </c:pt>
                <c:pt idx="47">
                  <c:v>0.96355770497436832</c:v>
                </c:pt>
                <c:pt idx="48">
                  <c:v>0.94911476682717488</c:v>
                </c:pt>
                <c:pt idx="49">
                  <c:v>0.9306635595273981</c:v>
                </c:pt>
                <c:pt idx="50">
                  <c:v>0.90751365887869573</c:v>
                </c:pt>
                <c:pt idx="51">
                  <c:v>0.8843797285815288</c:v>
                </c:pt>
                <c:pt idx="52">
                  <c:v>0.8617644836801136</c:v>
                </c:pt>
                <c:pt idx="53">
                  <c:v>0.83795724996981691</c:v>
                </c:pt>
                <c:pt idx="54">
                  <c:v>0.81549028686208236</c:v>
                </c:pt>
                <c:pt idx="55">
                  <c:v>0.79472800391496157</c:v>
                </c:pt>
                <c:pt idx="56">
                  <c:v>0.77446332101583204</c:v>
                </c:pt>
                <c:pt idx="57">
                  <c:v>0.75475872725352389</c:v>
                </c:pt>
                <c:pt idx="58">
                  <c:v>0.73623097199985965</c:v>
                </c:pt>
                <c:pt idx="59">
                  <c:v>0.7170900307627468</c:v>
                </c:pt>
                <c:pt idx="60">
                  <c:v>0.69849910206089549</c:v>
                </c:pt>
                <c:pt idx="61">
                  <c:v>0.68076756352065326</c:v>
                </c:pt>
                <c:pt idx="62">
                  <c:v>0.66290594950547388</c:v>
                </c:pt>
                <c:pt idx="63">
                  <c:v>0.64485571189247626</c:v>
                </c:pt>
                <c:pt idx="64">
                  <c:v>0.62706019755169806</c:v>
                </c:pt>
                <c:pt idx="65">
                  <c:v>0.60929573896654698</c:v>
                </c:pt>
                <c:pt idx="66">
                  <c:v>0.59131851541731151</c:v>
                </c:pt>
                <c:pt idx="67">
                  <c:v>0.57373392534993473</c:v>
                </c:pt>
                <c:pt idx="68">
                  <c:v>0.55569869644558378</c:v>
                </c:pt>
                <c:pt idx="69">
                  <c:v>0.5377809885617677</c:v>
                </c:pt>
                <c:pt idx="70">
                  <c:v>0.51947985064950797</c:v>
                </c:pt>
                <c:pt idx="71">
                  <c:v>0.50141838010362405</c:v>
                </c:pt>
                <c:pt idx="72">
                  <c:v>0.48322513498371078</c:v>
                </c:pt>
                <c:pt idx="73">
                  <c:v>0.46578435477559876</c:v>
                </c:pt>
                <c:pt idx="74">
                  <c:v>0.44720399824587598</c:v>
                </c:pt>
                <c:pt idx="75">
                  <c:v>0.42867900402823633</c:v>
                </c:pt>
                <c:pt idx="76">
                  <c:v>0.41071551486332836</c:v>
                </c:pt>
                <c:pt idx="77">
                  <c:v>0.39296691453637</c:v>
                </c:pt>
                <c:pt idx="78">
                  <c:v>0.37597625399606505</c:v>
                </c:pt>
                <c:pt idx="79">
                  <c:v>0.35849677208641151</c:v>
                </c:pt>
                <c:pt idx="80">
                  <c:v>0.34218650633808601</c:v>
                </c:pt>
                <c:pt idx="81">
                  <c:v>0.32700128017469476</c:v>
                </c:pt>
                <c:pt idx="82">
                  <c:v>0.31102134760818567</c:v>
                </c:pt>
                <c:pt idx="83">
                  <c:v>0.29691811718606298</c:v>
                </c:pt>
                <c:pt idx="84">
                  <c:v>0.2840347455176514</c:v>
                </c:pt>
                <c:pt idx="85">
                  <c:v>0.27052313195994759</c:v>
                </c:pt>
                <c:pt idx="86">
                  <c:v>0.25776709832904721</c:v>
                </c:pt>
                <c:pt idx="87">
                  <c:v>0.24604539127044334</c:v>
                </c:pt>
                <c:pt idx="88">
                  <c:v>0.23455759352018102</c:v>
                </c:pt>
                <c:pt idx="89">
                  <c:v>0.22417015122082085</c:v>
                </c:pt>
                <c:pt idx="90">
                  <c:v>0.21362365436756448</c:v>
                </c:pt>
                <c:pt idx="91">
                  <c:v>0.20413588503745461</c:v>
                </c:pt>
                <c:pt idx="92">
                  <c:v>0.19438116836110186</c:v>
                </c:pt>
                <c:pt idx="93">
                  <c:v>0.18562844817709967</c:v>
                </c:pt>
                <c:pt idx="94">
                  <c:v>0.17765910706893495</c:v>
                </c:pt>
                <c:pt idx="95">
                  <c:v>0.16913699238948399</c:v>
                </c:pt>
                <c:pt idx="96">
                  <c:v>0.15990304958485024</c:v>
                </c:pt>
                <c:pt idx="97">
                  <c:v>0.1568975320797692</c:v>
                </c:pt>
                <c:pt idx="98">
                  <c:v>0.14664365784792455</c:v>
                </c:pt>
                <c:pt idx="99">
                  <c:v>0.1393778381582701</c:v>
                </c:pt>
                <c:pt idx="100">
                  <c:v>0.13142039074374967</c:v>
                </c:pt>
                <c:pt idx="101">
                  <c:v>0.12791581007757069</c:v>
                </c:pt>
                <c:pt idx="102">
                  <c:v>0.12174468217517831</c:v>
                </c:pt>
                <c:pt idx="103">
                  <c:v>0.11643518630125271</c:v>
                </c:pt>
                <c:pt idx="104">
                  <c:v>0.10930944789229979</c:v>
                </c:pt>
                <c:pt idx="105">
                  <c:v>0.10930944789229979</c:v>
                </c:pt>
                <c:pt idx="106">
                  <c:v>0.10331776373290869</c:v>
                </c:pt>
                <c:pt idx="107">
                  <c:v>9.8928613200519933E-2</c:v>
                </c:pt>
                <c:pt idx="108">
                  <c:v>9.5642272373277715E-2</c:v>
                </c:pt>
                <c:pt idx="109">
                  <c:v>9.2487234148094788E-2</c:v>
                </c:pt>
                <c:pt idx="110">
                  <c:v>9.2404639053341509E-2</c:v>
                </c:pt>
                <c:pt idx="111">
                  <c:v>8.9416112539181136E-2</c:v>
                </c:pt>
                <c:pt idx="112">
                  <c:v>8.7256557593162198E-2</c:v>
                </c:pt>
                <c:pt idx="113">
                  <c:v>8.5801845587169634E-2</c:v>
                </c:pt>
                <c:pt idx="114">
                  <c:v>8.3330789140938166E-2</c:v>
                </c:pt>
                <c:pt idx="115">
                  <c:v>8.2153785442104721E-2</c:v>
                </c:pt>
                <c:pt idx="116">
                  <c:v>7.9774574741239057E-2</c:v>
                </c:pt>
                <c:pt idx="117">
                  <c:v>7.9774574741239057E-2</c:v>
                </c:pt>
                <c:pt idx="118">
                  <c:v>7.9774574741239057E-2</c:v>
                </c:pt>
              </c:numCache>
            </c:numRef>
          </c:xVal>
          <c:yVal>
            <c:numRef>
              <c:f>Table!$K$18:$K$136</c:f>
              <c:numCache>
                <c:formatCode>??0.000</c:formatCode>
                <c:ptCount val="119"/>
                <c:pt idx="0">
                  <c:v>1.404738227363081E-3</c:v>
                </c:pt>
                <c:pt idx="1">
                  <c:v>1.489505696671769E-3</c:v>
                </c:pt>
                <c:pt idx="2">
                  <c:v>1.6835724464219399E-3</c:v>
                </c:pt>
                <c:pt idx="3">
                  <c:v>1.874846215334833E-3</c:v>
                </c:pt>
                <c:pt idx="4">
                  <c:v>2.0232457642027218E-3</c:v>
                </c:pt>
                <c:pt idx="5">
                  <c:v>2.2023668641075658E-3</c:v>
                </c:pt>
                <c:pt idx="6">
                  <c:v>2.4196070365351142E-3</c:v>
                </c:pt>
                <c:pt idx="7">
                  <c:v>2.6360165073715967E-3</c:v>
                </c:pt>
                <c:pt idx="8">
                  <c:v>2.9165113416842483E-3</c:v>
                </c:pt>
                <c:pt idx="9">
                  <c:v>3.184476089314753E-3</c:v>
                </c:pt>
                <c:pt idx="10">
                  <c:v>3.47100938129059E-3</c:v>
                </c:pt>
                <c:pt idx="11">
                  <c:v>3.7967938862502344E-3</c:v>
                </c:pt>
                <c:pt idx="12">
                  <c:v>4.1459780618815709E-3</c:v>
                </c:pt>
                <c:pt idx="13">
                  <c:v>4.5376594901285769E-3</c:v>
                </c:pt>
                <c:pt idx="14">
                  <c:v>4.9590057449495411E-3</c:v>
                </c:pt>
                <c:pt idx="15">
                  <c:v>5.4350009083435034E-3</c:v>
                </c:pt>
                <c:pt idx="16">
                  <c:v>5.9426996066064604E-3</c:v>
                </c:pt>
                <c:pt idx="17">
                  <c:v>6.5028590238854628E-3</c:v>
                </c:pt>
                <c:pt idx="18">
                  <c:v>7.1103459196169656E-3</c:v>
                </c:pt>
                <c:pt idx="19">
                  <c:v>7.7825969228075822E-3</c:v>
                </c:pt>
                <c:pt idx="20">
                  <c:v>8.5210469635227434E-3</c:v>
                </c:pt>
                <c:pt idx="21">
                  <c:v>9.3202611372064908E-3</c:v>
                </c:pt>
                <c:pt idx="22">
                  <c:v>1.0168538482911063E-2</c:v>
                </c:pt>
                <c:pt idx="23">
                  <c:v>1.1216468765162742E-2</c:v>
                </c:pt>
                <c:pt idx="24">
                  <c:v>1.2147098579818778E-2</c:v>
                </c:pt>
                <c:pt idx="25">
                  <c:v>1.3372337951919345E-2</c:v>
                </c:pt>
                <c:pt idx="26">
                  <c:v>1.45955395162144E-2</c:v>
                </c:pt>
                <c:pt idx="27">
                  <c:v>1.5919435620689558E-2</c:v>
                </c:pt>
                <c:pt idx="28">
                  <c:v>1.7459665329758324E-2</c:v>
                </c:pt>
                <c:pt idx="29">
                  <c:v>1.9124895592390438E-2</c:v>
                </c:pt>
                <c:pt idx="30">
                  <c:v>2.0949244155883777E-2</c:v>
                </c:pt>
                <c:pt idx="31">
                  <c:v>2.2910744478653027E-2</c:v>
                </c:pt>
                <c:pt idx="32">
                  <c:v>2.5104432424674205E-2</c:v>
                </c:pt>
                <c:pt idx="33">
                  <c:v>2.7356994376141315E-2</c:v>
                </c:pt>
                <c:pt idx="34">
                  <c:v>2.909168479912946E-2</c:v>
                </c:pt>
                <c:pt idx="35">
                  <c:v>3.1603555317501315E-2</c:v>
                </c:pt>
                <c:pt idx="36">
                  <c:v>3.4690847650189538E-2</c:v>
                </c:pt>
                <c:pt idx="37">
                  <c:v>3.8278311489162706E-2</c:v>
                </c:pt>
                <c:pt idx="38">
                  <c:v>4.1902237950168855E-2</c:v>
                </c:pt>
                <c:pt idx="39">
                  <c:v>4.5962444384355032E-2</c:v>
                </c:pt>
                <c:pt idx="40">
                  <c:v>5.0365488794212612E-2</c:v>
                </c:pt>
                <c:pt idx="41">
                  <c:v>5.5386157360681289E-2</c:v>
                </c:pt>
                <c:pt idx="42">
                  <c:v>6.0253555405294028E-2</c:v>
                </c:pt>
                <c:pt idx="43">
                  <c:v>6.6439147654680439E-2</c:v>
                </c:pt>
                <c:pt idx="44">
                  <c:v>7.2466844467986832E-2</c:v>
                </c:pt>
                <c:pt idx="45">
                  <c:v>7.9453973253553828E-2</c:v>
                </c:pt>
                <c:pt idx="46">
                  <c:v>8.6872371688558131E-2</c:v>
                </c:pt>
                <c:pt idx="47">
                  <c:v>9.5463913474906431E-2</c:v>
                </c:pt>
                <c:pt idx="48">
                  <c:v>0.10470948440856891</c:v>
                </c:pt>
                <c:pt idx="49">
                  <c:v>0.11389107736213162</c:v>
                </c:pt>
                <c:pt idx="50">
                  <c:v>0.12528653463011599</c:v>
                </c:pt>
                <c:pt idx="51">
                  <c:v>0.13680615859835926</c:v>
                </c:pt>
                <c:pt idx="52">
                  <c:v>0.15013428251437475</c:v>
                </c:pt>
                <c:pt idx="53">
                  <c:v>0.16401730969028488</c:v>
                </c:pt>
                <c:pt idx="54">
                  <c:v>0.17938167816198539</c:v>
                </c:pt>
                <c:pt idx="55">
                  <c:v>0.19629339021003855</c:v>
                </c:pt>
                <c:pt idx="56">
                  <c:v>0.21498383562397314</c:v>
                </c:pt>
                <c:pt idx="57">
                  <c:v>0.2359315129280754</c:v>
                </c:pt>
                <c:pt idx="58">
                  <c:v>0.25752819104595848</c:v>
                </c:pt>
                <c:pt idx="59">
                  <c:v>0.28194528881757636</c:v>
                </c:pt>
                <c:pt idx="60">
                  <c:v>0.3084192775688141</c:v>
                </c:pt>
                <c:pt idx="61">
                  <c:v>0.3375967520054296</c:v>
                </c:pt>
                <c:pt idx="62">
                  <c:v>0.37000823733477173</c:v>
                </c:pt>
                <c:pt idx="63">
                  <c:v>0.40474307209750371</c:v>
                </c:pt>
                <c:pt idx="64">
                  <c:v>0.44303347175811186</c:v>
                </c:pt>
                <c:pt idx="65">
                  <c:v>0.48425681624407491</c:v>
                </c:pt>
                <c:pt idx="66">
                  <c:v>0.53044803899832282</c:v>
                </c:pt>
                <c:pt idx="67">
                  <c:v>0.57924719469298225</c:v>
                </c:pt>
                <c:pt idx="68">
                  <c:v>0.63434257317867804</c:v>
                </c:pt>
                <c:pt idx="69">
                  <c:v>0.69360861574622001</c:v>
                </c:pt>
                <c:pt idx="70">
                  <c:v>0.75954024029809586</c:v>
                </c:pt>
                <c:pt idx="71">
                  <c:v>0.83103323055351563</c:v>
                </c:pt>
                <c:pt idx="72">
                  <c:v>0.90879985211865311</c:v>
                </c:pt>
                <c:pt idx="73">
                  <c:v>0.99009875552438897</c:v>
                </c:pt>
                <c:pt idx="74">
                  <c:v>1.0842950895100021</c:v>
                </c:pt>
                <c:pt idx="75">
                  <c:v>1.1884459678457306</c:v>
                </c:pt>
                <c:pt idx="76">
                  <c:v>1.3016121151169446</c:v>
                </c:pt>
                <c:pt idx="77">
                  <c:v>1.4242512393456708</c:v>
                </c:pt>
                <c:pt idx="78">
                  <c:v>1.5564691516535964</c:v>
                </c:pt>
                <c:pt idx="79">
                  <c:v>1.7076077753540526</c:v>
                </c:pt>
                <c:pt idx="80">
                  <c:v>1.8680848644880459</c:v>
                </c:pt>
                <c:pt idx="81">
                  <c:v>2.0380386189846647</c:v>
                </c:pt>
                <c:pt idx="82">
                  <c:v>2.2364909508517345</c:v>
                </c:pt>
                <c:pt idx="83">
                  <c:v>2.4443892882139262</c:v>
                </c:pt>
                <c:pt idx="84">
                  <c:v>2.6683483245912751</c:v>
                </c:pt>
                <c:pt idx="85">
                  <c:v>2.9263951399749595</c:v>
                </c:pt>
                <c:pt idx="86">
                  <c:v>3.1992596618506246</c:v>
                </c:pt>
                <c:pt idx="87">
                  <c:v>3.5013898340976444</c:v>
                </c:pt>
                <c:pt idx="88">
                  <c:v>3.8323974520778461</c:v>
                </c:pt>
                <c:pt idx="89">
                  <c:v>4.1879322724854307</c:v>
                </c:pt>
                <c:pt idx="90">
                  <c:v>4.575728880842953</c:v>
                </c:pt>
                <c:pt idx="91">
                  <c:v>5.0082805968450712</c:v>
                </c:pt>
                <c:pt idx="92">
                  <c:v>5.4816956920466255</c:v>
                </c:pt>
                <c:pt idx="93">
                  <c:v>5.999024477476306</c:v>
                </c:pt>
                <c:pt idx="94">
                  <c:v>6.557884704481566</c:v>
                </c:pt>
                <c:pt idx="95">
                  <c:v>7.1798360230508358</c:v>
                </c:pt>
                <c:pt idx="96">
                  <c:v>7.8497734921439344</c:v>
                </c:pt>
                <c:pt idx="97">
                  <c:v>8.587456359003367</c:v>
                </c:pt>
                <c:pt idx="98">
                  <c:v>9.3988851976978083</c:v>
                </c:pt>
                <c:pt idx="99">
                  <c:v>10.287625773870522</c:v>
                </c:pt>
                <c:pt idx="100">
                  <c:v>11.23326092101693</c:v>
                </c:pt>
                <c:pt idx="101">
                  <c:v>12.270782538446753</c:v>
                </c:pt>
                <c:pt idx="102">
                  <c:v>13.497112691524325</c:v>
                </c:pt>
                <c:pt idx="103">
                  <c:v>14.72489884252037</c:v>
                </c:pt>
                <c:pt idx="104">
                  <c:v>16.141742496509309</c:v>
                </c:pt>
                <c:pt idx="105">
                  <c:v>17.652758509850621</c:v>
                </c:pt>
                <c:pt idx="106">
                  <c:v>19.257010027645538</c:v>
                </c:pt>
                <c:pt idx="107">
                  <c:v>21.052138354255479</c:v>
                </c:pt>
                <c:pt idx="108">
                  <c:v>23.036114866868136</c:v>
                </c:pt>
                <c:pt idx="109">
                  <c:v>25.208205572865968</c:v>
                </c:pt>
                <c:pt idx="110">
                  <c:v>27.663006998189374</c:v>
                </c:pt>
                <c:pt idx="111">
                  <c:v>30.212729529103157</c:v>
                </c:pt>
                <c:pt idx="112">
                  <c:v>33.045457851751578</c:v>
                </c:pt>
                <c:pt idx="113">
                  <c:v>36.161640107355908</c:v>
                </c:pt>
                <c:pt idx="114">
                  <c:v>39.560664020667332</c:v>
                </c:pt>
                <c:pt idx="115">
                  <c:v>43.241946823677957</c:v>
                </c:pt>
                <c:pt idx="116">
                  <c:v>47.298292477443141</c:v>
                </c:pt>
                <c:pt idx="117">
                  <c:v>51.729048134257809</c:v>
                </c:pt>
                <c:pt idx="118">
                  <c:v>56.166933478156459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88928"/>
        <c:axId val="122191232"/>
      </c:scatterChart>
      <c:valAx>
        <c:axId val="12218892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2027230117574878"/>
              <c:y val="0.916579315164220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22191232"/>
        <c:crossesAt val="0"/>
        <c:crossBetween val="midCat"/>
        <c:majorUnit val="0.2"/>
        <c:minorUnit val="0.1"/>
      </c:valAx>
      <c:valAx>
        <c:axId val="122191232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Leverett J Function.</a:t>
                </a:r>
              </a:p>
            </c:rich>
          </c:tx>
          <c:layout>
            <c:manualLayout>
              <c:xMode val="edge"/>
              <c:yMode val="edge"/>
              <c:x val="5.5363321799309036E-2"/>
              <c:y val="0.331103678929774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22188928"/>
        <c:crosses val="autoZero"/>
        <c:crossBetween val="midCat"/>
        <c:majorUnit val="0.4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619718309859155"/>
          <c:y val="5.369136314257017E-2"/>
          <c:w val="0.79577464788732399"/>
          <c:h val="0.81320051436523455"/>
        </c:manualLayout>
      </c:layout>
      <c:scatterChart>
        <c:scatterStyle val="lineMarker"/>
        <c:varyColors val="0"/>
        <c:ser>
          <c:idx val="2"/>
          <c:order val="0"/>
          <c:tx>
            <c:v>Uncorrected</c:v>
          </c:tx>
          <c:spPr>
            <a:ln w="12700">
              <a:solidFill>
                <a:srgbClr val="99CCFF"/>
              </a:solidFill>
            </a:ln>
          </c:spPr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'Raw Data'!$D$18:$D$136</c:f>
              <c:numCache>
                <c:formatCode>0.000</c:formatCode>
                <c:ptCount val="119"/>
                <c:pt idx="0">
                  <c:v>0</c:v>
                </c:pt>
                <c:pt idx="1">
                  <c:v>1.4395150846955985E-4</c:v>
                </c:pt>
                <c:pt idx="2">
                  <c:v>1.564732140552685E-3</c:v>
                </c:pt>
                <c:pt idx="3">
                  <c:v>2.3760195089424013E-3</c:v>
                </c:pt>
                <c:pt idx="4">
                  <c:v>2.3760195089424013E-3</c:v>
                </c:pt>
                <c:pt idx="5">
                  <c:v>3.8212872820692525E-3</c:v>
                </c:pt>
                <c:pt idx="6">
                  <c:v>5.4903191785507198E-3</c:v>
                </c:pt>
                <c:pt idx="7">
                  <c:v>7.0608652740132847E-3</c:v>
                </c:pt>
                <c:pt idx="8">
                  <c:v>8.3720255304121517E-3</c:v>
                </c:pt>
                <c:pt idx="9">
                  <c:v>9.6519412423957621E-3</c:v>
                </c:pt>
                <c:pt idx="10">
                  <c:v>1.1055002553375564E-2</c:v>
                </c:pt>
                <c:pt idx="11">
                  <c:v>1.2904910701532879E-2</c:v>
                </c:pt>
                <c:pt idx="12">
                  <c:v>1.4592474503671522E-2</c:v>
                </c:pt>
                <c:pt idx="13">
                  <c:v>1.6035283966545157E-2</c:v>
                </c:pt>
                <c:pt idx="14">
                  <c:v>1.718760648117135E-2</c:v>
                </c:pt>
                <c:pt idx="15">
                  <c:v>1.7725284323979025E-2</c:v>
                </c:pt>
                <c:pt idx="16">
                  <c:v>1.8014219664375025E-2</c:v>
                </c:pt>
                <c:pt idx="17">
                  <c:v>1.8384573119424121E-2</c:v>
                </c:pt>
                <c:pt idx="18">
                  <c:v>1.8673164805229455E-2</c:v>
                </c:pt>
                <c:pt idx="19">
                  <c:v>1.8918090234333596E-2</c:v>
                </c:pt>
                <c:pt idx="20">
                  <c:v>1.9165617408922465E-2</c:v>
                </c:pt>
                <c:pt idx="21">
                  <c:v>1.9372482723381788E-2</c:v>
                </c:pt>
                <c:pt idx="22">
                  <c:v>1.9578707925856781E-2</c:v>
                </c:pt>
                <c:pt idx="23">
                  <c:v>1.9783916913683822E-2</c:v>
                </c:pt>
                <c:pt idx="24">
                  <c:v>1.9948673478943014E-2</c:v>
                </c:pt>
                <c:pt idx="25">
                  <c:v>2.0154624347710429E-2</c:v>
                </c:pt>
                <c:pt idx="26">
                  <c:v>2.0280685111077688E-2</c:v>
                </c:pt>
                <c:pt idx="27">
                  <c:v>2.0404095456850811E-2</c:v>
                </c:pt>
                <c:pt idx="28">
                  <c:v>2.0649193450706489E-2</c:v>
                </c:pt>
                <c:pt idx="29">
                  <c:v>2.0815531122065248E-2</c:v>
                </c:pt>
                <c:pt idx="30">
                  <c:v>2.1021088189220178E-2</c:v>
                </c:pt>
                <c:pt idx="31">
                  <c:v>2.1350576246227659E-2</c:v>
                </c:pt>
                <c:pt idx="32">
                  <c:v>2.1350576246227659E-2</c:v>
                </c:pt>
                <c:pt idx="33">
                  <c:v>2.1643367007653756E-2</c:v>
                </c:pt>
                <c:pt idx="34">
                  <c:v>2.2218616769099753E-2</c:v>
                </c:pt>
                <c:pt idx="35">
                  <c:v>2.2742979102703263E-2</c:v>
                </c:pt>
                <c:pt idx="36">
                  <c:v>2.3402781167665761E-2</c:v>
                </c:pt>
                <c:pt idx="37">
                  <c:v>2.4425805486192841E-2</c:v>
                </c:pt>
                <c:pt idx="38">
                  <c:v>2.5639869309059551E-2</c:v>
                </c:pt>
                <c:pt idx="39">
                  <c:v>2.6973319916654973E-2</c:v>
                </c:pt>
                <c:pt idx="40">
                  <c:v>2.8412306406571452E-2</c:v>
                </c:pt>
                <c:pt idx="41">
                  <c:v>2.9827768043607299E-2</c:v>
                </c:pt>
                <c:pt idx="42">
                  <c:v>3.1491256850537754E-2</c:v>
                </c:pt>
                <c:pt idx="43">
                  <c:v>3.3968440082905019E-2</c:v>
                </c:pt>
                <c:pt idx="44">
                  <c:v>3.6648308727972131E-2</c:v>
                </c:pt>
                <c:pt idx="45">
                  <c:v>4.0861811941893415E-2</c:v>
                </c:pt>
                <c:pt idx="46">
                  <c:v>4.796090458331384E-2</c:v>
                </c:pt>
                <c:pt idx="47">
                  <c:v>5.7792871271859315E-2</c:v>
                </c:pt>
                <c:pt idx="48">
                  <c:v>7.2235809419052763E-2</c:v>
                </c:pt>
                <c:pt idx="49">
                  <c:v>9.0687016718829547E-2</c:v>
                </c:pt>
                <c:pt idx="50">
                  <c:v>0.11383691736753193</c:v>
                </c:pt>
                <c:pt idx="51">
                  <c:v>0.13697084766469883</c:v>
                </c:pt>
                <c:pt idx="52">
                  <c:v>0.15958609256611409</c:v>
                </c:pt>
                <c:pt idx="53">
                  <c:v>0.18339332627641081</c:v>
                </c:pt>
                <c:pt idx="54">
                  <c:v>0.20586028938414536</c:v>
                </c:pt>
                <c:pt idx="55">
                  <c:v>0.22662257233126601</c:v>
                </c:pt>
                <c:pt idx="56">
                  <c:v>0.24688725523039565</c:v>
                </c:pt>
                <c:pt idx="57">
                  <c:v>0.26659184899270377</c:v>
                </c:pt>
                <c:pt idx="58">
                  <c:v>0.28511960424636801</c:v>
                </c:pt>
                <c:pt idx="59">
                  <c:v>0.30426054548348092</c:v>
                </c:pt>
                <c:pt idx="60">
                  <c:v>0.32285147418533217</c:v>
                </c:pt>
                <c:pt idx="61">
                  <c:v>0.34058301272557434</c:v>
                </c:pt>
                <c:pt idx="62">
                  <c:v>0.35844462674075378</c:v>
                </c:pt>
                <c:pt idx="63">
                  <c:v>0.37649486435375135</c:v>
                </c:pt>
                <c:pt idx="64">
                  <c:v>0.39429037869452954</c:v>
                </c:pt>
                <c:pt idx="65">
                  <c:v>0.41205483727968056</c:v>
                </c:pt>
                <c:pt idx="66">
                  <c:v>0.43003206082891621</c:v>
                </c:pt>
                <c:pt idx="67">
                  <c:v>0.44761665089629299</c:v>
                </c:pt>
                <c:pt idx="68">
                  <c:v>0.46565187980064388</c:v>
                </c:pt>
                <c:pt idx="69">
                  <c:v>0.48356958768446001</c:v>
                </c:pt>
                <c:pt idx="70">
                  <c:v>0.50187072559671964</c:v>
                </c:pt>
                <c:pt idx="71">
                  <c:v>0.51993219614260355</c:v>
                </c:pt>
                <c:pt idx="72">
                  <c:v>0.53812544126251693</c:v>
                </c:pt>
                <c:pt idx="73">
                  <c:v>0.55556622147062884</c:v>
                </c:pt>
                <c:pt idx="74">
                  <c:v>0.57414657800035174</c:v>
                </c:pt>
                <c:pt idx="75">
                  <c:v>0.59267157221799127</c:v>
                </c:pt>
                <c:pt idx="76">
                  <c:v>0.61063506138289936</c:v>
                </c:pt>
                <c:pt idx="77">
                  <c:v>0.62838366170985771</c:v>
                </c:pt>
                <c:pt idx="78">
                  <c:v>0.64537432225016256</c:v>
                </c:pt>
                <c:pt idx="79">
                  <c:v>0.6628538041598161</c:v>
                </c:pt>
                <c:pt idx="80">
                  <c:v>0.6791640699081416</c:v>
                </c:pt>
                <c:pt idx="81">
                  <c:v>0.69434929607153284</c:v>
                </c:pt>
                <c:pt idx="82">
                  <c:v>0.71032922863804193</c:v>
                </c:pt>
                <c:pt idx="83">
                  <c:v>0.72443245906016474</c:v>
                </c:pt>
                <c:pt idx="84">
                  <c:v>0.7373158307285762</c:v>
                </c:pt>
                <c:pt idx="85">
                  <c:v>0.75082744428628001</c:v>
                </c:pt>
                <c:pt idx="86">
                  <c:v>0.7635834779171804</c:v>
                </c:pt>
                <c:pt idx="87">
                  <c:v>0.77530518497578427</c:v>
                </c:pt>
                <c:pt idx="88">
                  <c:v>0.78679298272604659</c:v>
                </c:pt>
                <c:pt idx="89">
                  <c:v>0.79718042502540676</c:v>
                </c:pt>
                <c:pt idx="90">
                  <c:v>0.80772692187866324</c:v>
                </c:pt>
                <c:pt idx="91">
                  <c:v>0.8172146912087731</c:v>
                </c:pt>
                <c:pt idx="92">
                  <c:v>0.82696940788512574</c:v>
                </c:pt>
                <c:pt idx="93">
                  <c:v>0.83572212806912805</c:v>
                </c:pt>
                <c:pt idx="94">
                  <c:v>0.84369146917729276</c:v>
                </c:pt>
                <c:pt idx="95">
                  <c:v>0.85221358385674373</c:v>
                </c:pt>
                <c:pt idx="96">
                  <c:v>0.86144752666137736</c:v>
                </c:pt>
                <c:pt idx="97">
                  <c:v>0.86445304416645841</c:v>
                </c:pt>
                <c:pt idx="98">
                  <c:v>0.87470691839830306</c:v>
                </c:pt>
                <c:pt idx="99">
                  <c:v>0.88197273808795762</c:v>
                </c:pt>
                <c:pt idx="100">
                  <c:v>0.88993018550247793</c:v>
                </c:pt>
                <c:pt idx="101">
                  <c:v>0.89343476616865691</c:v>
                </c:pt>
                <c:pt idx="102">
                  <c:v>0.89960589407104929</c:v>
                </c:pt>
                <c:pt idx="103">
                  <c:v>0.904915389944975</c:v>
                </c:pt>
                <c:pt idx="104">
                  <c:v>0.91204112835392781</c:v>
                </c:pt>
                <c:pt idx="105">
                  <c:v>0.91204112835392781</c:v>
                </c:pt>
                <c:pt idx="106">
                  <c:v>0.91803281251331892</c:v>
                </c:pt>
                <c:pt idx="107">
                  <c:v>0.92242196304570767</c:v>
                </c:pt>
                <c:pt idx="108">
                  <c:v>0.92570830387295</c:v>
                </c:pt>
                <c:pt idx="109">
                  <c:v>0.92886334209813282</c:v>
                </c:pt>
                <c:pt idx="110">
                  <c:v>0.92894593719288621</c:v>
                </c:pt>
                <c:pt idx="111">
                  <c:v>0.93193446370704658</c:v>
                </c:pt>
                <c:pt idx="112">
                  <c:v>0.93409401865306541</c:v>
                </c:pt>
                <c:pt idx="113">
                  <c:v>0.93554873065905797</c:v>
                </c:pt>
                <c:pt idx="114">
                  <c:v>0.93801978710528944</c:v>
                </c:pt>
                <c:pt idx="115">
                  <c:v>0.93919679080412288</c:v>
                </c:pt>
                <c:pt idx="116">
                  <c:v>0.94157600150498866</c:v>
                </c:pt>
                <c:pt idx="117">
                  <c:v>0.94157600150498866</c:v>
                </c:pt>
                <c:pt idx="118">
                  <c:v>0.94157600150498866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73.42200080668016</c:v>
                </c:pt>
                <c:pt idx="1">
                  <c:v>69.24356952315469</c:v>
                </c:pt>
                <c:pt idx="2">
                  <c:v>61.261807581743831</c:v>
                </c:pt>
                <c:pt idx="3">
                  <c:v>55.011813992544901</c:v>
                </c:pt>
                <c:pt idx="4">
                  <c:v>50.976847740130736</c:v>
                </c:pt>
                <c:pt idx="5">
                  <c:v>46.830840466908342</c:v>
                </c:pt>
                <c:pt idx="6">
                  <c:v>42.626215623145804</c:v>
                </c:pt>
                <c:pt idx="7">
                  <c:v>39.126724348728537</c:v>
                </c:pt>
                <c:pt idx="8">
                  <c:v>35.363720273779329</c:v>
                </c:pt>
                <c:pt idx="9">
                  <c:v>32.387962217301606</c:v>
                </c:pt>
                <c:pt idx="10">
                  <c:v>29.714322242562652</c:v>
                </c:pt>
                <c:pt idx="11">
                  <c:v>27.164680083407898</c:v>
                </c:pt>
                <c:pt idx="12">
                  <c:v>24.876805840072183</c:v>
                </c:pt>
                <c:pt idx="13">
                  <c:v>22.729491158822963</c:v>
                </c:pt>
                <c:pt idx="14">
                  <c:v>20.79826008825809</c:v>
                </c:pt>
                <c:pt idx="15">
                  <c:v>18.976756950361125</c:v>
                </c:pt>
                <c:pt idx="16">
                  <c:v>17.355528310394153</c:v>
                </c:pt>
                <c:pt idx="17">
                  <c:v>15.860514718801511</c:v>
                </c:pt>
                <c:pt idx="18">
                  <c:v>14.505439317385937</c:v>
                </c:pt>
                <c:pt idx="19">
                  <c:v>13.252477583718827</c:v>
                </c:pt>
                <c:pt idx="20">
                  <c:v>12.103992819678972</c:v>
                </c:pt>
                <c:pt idx="21">
                  <c:v>11.066073122232257</c:v>
                </c:pt>
                <c:pt idx="22">
                  <c:v>10.142921860005581</c:v>
                </c:pt>
                <c:pt idx="23">
                  <c:v>9.1952907302666702</c:v>
                </c:pt>
                <c:pt idx="24">
                  <c:v>8.4908087791418367</c:v>
                </c:pt>
                <c:pt idx="25">
                  <c:v>7.7128391185942933</c:v>
                </c:pt>
                <c:pt idx="26">
                  <c:v>7.0664528123847914</c:v>
                </c:pt>
                <c:pt idx="27">
                  <c:v>6.4787906883195845</c:v>
                </c:pt>
                <c:pt idx="28">
                  <c:v>5.9072547677552896</c:v>
                </c:pt>
                <c:pt idx="29">
                  <c:v>5.3929021868053608</c:v>
                </c:pt>
                <c:pt idx="30">
                  <c:v>4.9232655123578386</c:v>
                </c:pt>
                <c:pt idx="31">
                  <c:v>4.5017607943175131</c:v>
                </c:pt>
                <c:pt idx="32">
                  <c:v>4.1083857032854265</c:v>
                </c:pt>
                <c:pt idx="33">
                  <c:v>3.7701031715887732</c:v>
                </c:pt>
                <c:pt idx="34">
                  <c:v>3.5452979768883282</c:v>
                </c:pt>
                <c:pt idx="35">
                  <c:v>3.263515456614174</c:v>
                </c:pt>
                <c:pt idx="36">
                  <c:v>2.9730807474824879</c:v>
                </c:pt>
                <c:pt idx="37">
                  <c:v>2.6944420286622903</c:v>
                </c:pt>
                <c:pt idx="38">
                  <c:v>2.4614124759942801</c:v>
                </c:pt>
                <c:pt idx="39">
                  <c:v>2.2439775047676438</c:v>
                </c:pt>
                <c:pt idx="40">
                  <c:v>2.0478048308840804</c:v>
                </c:pt>
                <c:pt idx="41">
                  <c:v>1.8621745247819794</c:v>
                </c:pt>
                <c:pt idx="42">
                  <c:v>1.7117444865928124</c:v>
                </c:pt>
                <c:pt idx="43">
                  <c:v>1.5523783026039588</c:v>
                </c:pt>
                <c:pt idx="44">
                  <c:v>1.4232535171058742</c:v>
                </c:pt>
                <c:pt idx="45">
                  <c:v>1.2980935633450326</c:v>
                </c:pt>
                <c:pt idx="46">
                  <c:v>1.1872438757903845</c:v>
                </c:pt>
                <c:pt idx="47">
                  <c:v>1.0803945439523341</c:v>
                </c:pt>
                <c:pt idx="48">
                  <c:v>0.98499855906258527</c:v>
                </c:pt>
                <c:pt idx="49">
                  <c:v>0.9055906191376486</c:v>
                </c:pt>
                <c:pt idx="50">
                  <c:v>0.82322247611942856</c:v>
                </c:pt>
                <c:pt idx="51">
                  <c:v>0.75390386163407397</c:v>
                </c:pt>
                <c:pt idx="52">
                  <c:v>0.68697628240073361</c:v>
                </c:pt>
                <c:pt idx="53">
                  <c:v>0.62882808806816903</c:v>
                </c:pt>
                <c:pt idx="54">
                  <c:v>0.57496781343237424</c:v>
                </c:pt>
                <c:pt idx="55">
                  <c:v>0.525431300321757</c:v>
                </c:pt>
                <c:pt idx="56">
                  <c:v>0.47975091226405431</c:v>
                </c:pt>
                <c:pt idx="57">
                  <c:v>0.43715521501389609</c:v>
                </c:pt>
                <c:pt idx="58">
                  <c:v>0.40049476076279539</c:v>
                </c:pt>
                <c:pt idx="59">
                  <c:v>0.36581101140285127</c:v>
                </c:pt>
                <c:pt idx="60">
                  <c:v>0.33441065057813851</c:v>
                </c:pt>
                <c:pt idx="61">
                  <c:v>0.30550854132911748</c:v>
                </c:pt>
                <c:pt idx="62">
                  <c:v>0.27874701386528861</c:v>
                </c:pt>
                <c:pt idx="63">
                  <c:v>0.25482509367765094</c:v>
                </c:pt>
                <c:pt idx="64">
                  <c:v>0.23280112641001183</c:v>
                </c:pt>
                <c:pt idx="65">
                  <c:v>0.21298345795641352</c:v>
                </c:pt>
                <c:pt idx="66">
                  <c:v>0.19443693572209195</c:v>
                </c:pt>
                <c:pt idx="67">
                  <c:v>0.17805643636702131</c:v>
                </c:pt>
                <c:pt idx="68">
                  <c:v>0.16259146969404981</c:v>
                </c:pt>
                <c:pt idx="69">
                  <c:v>0.14869868816676199</c:v>
                </c:pt>
                <c:pt idx="70">
                  <c:v>0.13579095061789997</c:v>
                </c:pt>
                <c:pt idx="71">
                  <c:v>0.12410898562254885</c:v>
                </c:pt>
                <c:pt idx="72">
                  <c:v>0.11348889529656393</c:v>
                </c:pt>
                <c:pt idx="73">
                  <c:v>0.10417010493867447</c:v>
                </c:pt>
                <c:pt idx="74">
                  <c:v>9.5120500185272863E-2</c:v>
                </c:pt>
                <c:pt idx="75">
                  <c:v>8.6784501822648116E-2</c:v>
                </c:pt>
                <c:pt idx="76">
                  <c:v>7.923919120356375E-2</c:v>
                </c:pt>
                <c:pt idx="77">
                  <c:v>7.2416079700945574E-2</c:v>
                </c:pt>
                <c:pt idx="78">
                  <c:v>6.6264526446317168E-2</c:v>
                </c:pt>
                <c:pt idx="79">
                  <c:v>6.0399520751328269E-2</c:v>
                </c:pt>
                <c:pt idx="80">
                  <c:v>5.5210923884280852E-2</c:v>
                </c:pt>
                <c:pt idx="81">
                  <c:v>5.060683850731422E-2</c:v>
                </c:pt>
                <c:pt idx="82">
                  <c:v>4.6116301621228449E-2</c:v>
                </c:pt>
                <c:pt idx="83">
                  <c:v>4.2194053033994559E-2</c:v>
                </c:pt>
                <c:pt idx="84">
                  <c:v>3.8652634032861843E-2</c:v>
                </c:pt>
                <c:pt idx="85">
                  <c:v>3.5244280532638235E-2</c:v>
                </c:pt>
                <c:pt idx="86">
                  <c:v>3.223829953301309E-2</c:v>
                </c:pt>
                <c:pt idx="87">
                  <c:v>2.9456500461110993E-2</c:v>
                </c:pt>
                <c:pt idx="88">
                  <c:v>2.691231599862038E-2</c:v>
                </c:pt>
                <c:pt idx="89">
                  <c:v>2.4627592938941307E-2</c:v>
                </c:pt>
                <c:pt idx="90">
                  <c:v>2.2540385138296502E-2</c:v>
                </c:pt>
                <c:pt idx="91">
                  <c:v>2.059363273846878E-2</c:v>
                </c:pt>
                <c:pt idx="92">
                  <c:v>1.8815107050227212E-2</c:v>
                </c:pt>
                <c:pt idx="93">
                  <c:v>1.7192577168149085E-2</c:v>
                </c:pt>
                <c:pt idx="94">
                  <c:v>1.5727432840065496E-2</c:v>
                </c:pt>
                <c:pt idx="95">
                  <c:v>1.4365048300755093E-2</c:v>
                </c:pt>
                <c:pt idx="96">
                  <c:v>1.3139065906277165E-2</c:v>
                </c:pt>
                <c:pt idx="97">
                  <c:v>1.2010388984916664E-2</c:v>
                </c:pt>
                <c:pt idx="98">
                  <c:v>1.0973502611553308E-2</c:v>
                </c:pt>
                <c:pt idx="99">
                  <c:v>1.002550962969395E-2</c:v>
                </c:pt>
                <c:pt idx="100">
                  <c:v>9.1815450551547967E-3</c:v>
                </c:pt>
                <c:pt idx="101">
                  <c:v>8.4052252527068248E-3</c:v>
                </c:pt>
                <c:pt idx="102">
                  <c:v>7.6415373880217938E-3</c:v>
                </c:pt>
                <c:pt idx="103">
                  <c:v>7.0043735013511988E-3</c:v>
                </c:pt>
                <c:pt idx="104">
                  <c:v>6.3895636598669944E-3</c:v>
                </c:pt>
                <c:pt idx="105">
                  <c:v>5.8426387697465519E-3</c:v>
                </c:pt>
                <c:pt idx="106">
                  <c:v>5.3559037002400556E-3</c:v>
                </c:pt>
                <c:pt idx="107">
                  <c:v>4.8992026143405117E-3</c:v>
                </c:pt>
                <c:pt idx="108">
                  <c:v>4.477260677796263E-3</c:v>
                </c:pt>
                <c:pt idx="109">
                  <c:v>4.0914729517139755E-3</c:v>
                </c:pt>
                <c:pt idx="110">
                  <c:v>3.7283976853773465E-3</c:v>
                </c:pt>
                <c:pt idx="111">
                  <c:v>3.4137495310801267E-3</c:v>
                </c:pt>
                <c:pt idx="112">
                  <c:v>3.1211155168533919E-3</c:v>
                </c:pt>
                <c:pt idx="113">
                  <c:v>2.8521574507248747E-3</c:v>
                </c:pt>
                <c:pt idx="114">
                  <c:v>2.6071021257060992E-3</c:v>
                </c:pt>
                <c:pt idx="115">
                  <c:v>2.3851537416477056E-3</c:v>
                </c:pt>
                <c:pt idx="116">
                  <c:v>2.1806007333523537E-3</c:v>
                </c:pt>
                <c:pt idx="117">
                  <c:v>1.9938254227091128E-3</c:v>
                </c:pt>
                <c:pt idx="118">
                  <c:v>1.8362884507970806E-3</c:v>
                </c:pt>
              </c:numCache>
            </c:numRef>
          </c:yVal>
          <c:smooth val="0"/>
        </c:ser>
        <c:ser>
          <c:idx val="0"/>
          <c:order val="1"/>
          <c:tx>
            <c:v>Conformance Corrected</c:v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2.9279076142609591E-4</c:v>
                </c:pt>
                <c:pt idx="34">
                  <c:v>8.6804052287209256E-4</c:v>
                </c:pt>
                <c:pt idx="35">
                  <c:v>1.3924028564756047E-3</c:v>
                </c:pt>
                <c:pt idx="36">
                  <c:v>2.0522049214381009E-3</c:v>
                </c:pt>
                <c:pt idx="37">
                  <c:v>3.0752292399651836E-3</c:v>
                </c:pt>
                <c:pt idx="38">
                  <c:v>4.2892930628318938E-3</c:v>
                </c:pt>
                <c:pt idx="39">
                  <c:v>5.6227436704273147E-3</c:v>
                </c:pt>
                <c:pt idx="40">
                  <c:v>7.0617301603437934E-3</c:v>
                </c:pt>
                <c:pt idx="41">
                  <c:v>8.47719179737964E-3</c:v>
                </c:pt>
                <c:pt idx="42">
                  <c:v>1.0140680604310094E-2</c:v>
                </c:pt>
                <c:pt idx="43">
                  <c:v>1.2617863836677361E-2</c:v>
                </c:pt>
                <c:pt idx="44">
                  <c:v>1.5297732481744476E-2</c:v>
                </c:pt>
                <c:pt idx="45">
                  <c:v>1.9511235695665756E-2</c:v>
                </c:pt>
                <c:pt idx="46">
                  <c:v>2.6610328337086181E-2</c:v>
                </c:pt>
                <c:pt idx="47">
                  <c:v>3.6442295025631663E-2</c:v>
                </c:pt>
                <c:pt idx="48">
                  <c:v>5.088523317282511E-2</c:v>
                </c:pt>
                <c:pt idx="49">
                  <c:v>6.9336440472601887E-2</c:v>
                </c:pt>
                <c:pt idx="50">
                  <c:v>9.2486341121304272E-2</c:v>
                </c:pt>
                <c:pt idx="51">
                  <c:v>0.11562027141847116</c:v>
                </c:pt>
                <c:pt idx="52">
                  <c:v>0.1382355163198864</c:v>
                </c:pt>
                <c:pt idx="53">
                  <c:v>0.16204275003018315</c:v>
                </c:pt>
                <c:pt idx="54">
                  <c:v>0.1845097131379177</c:v>
                </c:pt>
                <c:pt idx="55">
                  <c:v>0.20527199608503838</c:v>
                </c:pt>
                <c:pt idx="56">
                  <c:v>0.22553667898416799</c:v>
                </c:pt>
                <c:pt idx="57">
                  <c:v>0.24524127274647611</c:v>
                </c:pt>
                <c:pt idx="58">
                  <c:v>0.26376902800014035</c:v>
                </c:pt>
                <c:pt idx="59">
                  <c:v>0.28290996923725326</c:v>
                </c:pt>
                <c:pt idx="60">
                  <c:v>0.30150089793910456</c:v>
                </c:pt>
                <c:pt idx="61">
                  <c:v>0.31923243647934674</c:v>
                </c:pt>
                <c:pt idx="62">
                  <c:v>0.33709405049452612</c:v>
                </c:pt>
                <c:pt idx="63">
                  <c:v>0.35514428810752369</c:v>
                </c:pt>
                <c:pt idx="64">
                  <c:v>0.37293980244830194</c:v>
                </c:pt>
                <c:pt idx="65">
                  <c:v>0.39070426103345296</c:v>
                </c:pt>
                <c:pt idx="66">
                  <c:v>0.40868148458268855</c:v>
                </c:pt>
                <c:pt idx="67">
                  <c:v>0.42626607465006533</c:v>
                </c:pt>
                <c:pt idx="68">
                  <c:v>0.44430130355441622</c:v>
                </c:pt>
                <c:pt idx="69">
                  <c:v>0.46221901143823235</c:v>
                </c:pt>
                <c:pt idx="70">
                  <c:v>0.48052014935049198</c:v>
                </c:pt>
                <c:pt idx="71">
                  <c:v>0.49858161989637595</c:v>
                </c:pt>
                <c:pt idx="72">
                  <c:v>0.51677486501628922</c:v>
                </c:pt>
                <c:pt idx="73">
                  <c:v>0.53421564522440124</c:v>
                </c:pt>
                <c:pt idx="74">
                  <c:v>0.55279600175412402</c:v>
                </c:pt>
                <c:pt idx="75">
                  <c:v>0.57132099597176367</c:v>
                </c:pt>
                <c:pt idx="76">
                  <c:v>0.58928448513667164</c:v>
                </c:pt>
                <c:pt idx="77">
                  <c:v>0.60703308546363</c:v>
                </c:pt>
                <c:pt idx="78">
                  <c:v>0.62402374600393495</c:v>
                </c:pt>
                <c:pt idx="79">
                  <c:v>0.64150322791358849</c:v>
                </c:pt>
                <c:pt idx="80">
                  <c:v>0.65781349366191399</c:v>
                </c:pt>
                <c:pt idx="81">
                  <c:v>0.67299871982530524</c:v>
                </c:pt>
                <c:pt idx="82">
                  <c:v>0.68897865239181433</c:v>
                </c:pt>
                <c:pt idx="83">
                  <c:v>0.70308188281393702</c:v>
                </c:pt>
                <c:pt idx="84">
                  <c:v>0.7159652544823486</c:v>
                </c:pt>
                <c:pt idx="85">
                  <c:v>0.72947686804005241</c:v>
                </c:pt>
                <c:pt idx="86">
                  <c:v>0.74223290167095279</c:v>
                </c:pt>
                <c:pt idx="87">
                  <c:v>0.75395460872955666</c:v>
                </c:pt>
                <c:pt idx="88">
                  <c:v>0.76544240647981898</c:v>
                </c:pt>
                <c:pt idx="89">
                  <c:v>0.77582984877917915</c:v>
                </c:pt>
                <c:pt idx="90">
                  <c:v>0.78637634563243552</c:v>
                </c:pt>
                <c:pt idx="91">
                  <c:v>0.79586411496254539</c:v>
                </c:pt>
                <c:pt idx="92">
                  <c:v>0.80561883163889814</c:v>
                </c:pt>
                <c:pt idx="93">
                  <c:v>0.81437155182290033</c:v>
                </c:pt>
                <c:pt idx="94">
                  <c:v>0.82234089293106505</c:v>
                </c:pt>
                <c:pt idx="95">
                  <c:v>0.83086300761051601</c:v>
                </c:pt>
                <c:pt idx="96">
                  <c:v>0.84009695041514976</c:v>
                </c:pt>
                <c:pt idx="97">
                  <c:v>0.8431024679202308</c:v>
                </c:pt>
                <c:pt idx="98">
                  <c:v>0.85335634215207545</c:v>
                </c:pt>
                <c:pt idx="99">
                  <c:v>0.8606221618417299</c:v>
                </c:pt>
                <c:pt idx="100">
                  <c:v>0.86857960925625033</c:v>
                </c:pt>
                <c:pt idx="101">
                  <c:v>0.87208418992242931</c:v>
                </c:pt>
                <c:pt idx="102">
                  <c:v>0.87825531782482169</c:v>
                </c:pt>
                <c:pt idx="103">
                  <c:v>0.88356481369874729</c:v>
                </c:pt>
                <c:pt idx="104">
                  <c:v>0.89069055210770021</c:v>
                </c:pt>
                <c:pt idx="105">
                  <c:v>0.89069055210770021</c:v>
                </c:pt>
                <c:pt idx="106">
                  <c:v>0.89668223626709131</c:v>
                </c:pt>
                <c:pt idx="107">
                  <c:v>0.90107138679948007</c:v>
                </c:pt>
                <c:pt idx="108">
                  <c:v>0.90435772762672229</c:v>
                </c:pt>
                <c:pt idx="109">
                  <c:v>0.90751276585190521</c:v>
                </c:pt>
                <c:pt idx="110">
                  <c:v>0.90759536094665849</c:v>
                </c:pt>
                <c:pt idx="111">
                  <c:v>0.91058388746081886</c:v>
                </c:pt>
                <c:pt idx="112">
                  <c:v>0.9127434424068378</c:v>
                </c:pt>
                <c:pt idx="113">
                  <c:v>0.91419815441283037</c:v>
                </c:pt>
                <c:pt idx="114">
                  <c:v>0.91666921085906183</c:v>
                </c:pt>
                <c:pt idx="115">
                  <c:v>0.91784621455789528</c:v>
                </c:pt>
                <c:pt idx="116">
                  <c:v>0.92022542525876094</c:v>
                </c:pt>
                <c:pt idx="117">
                  <c:v>0.92022542525876094</c:v>
                </c:pt>
                <c:pt idx="118">
                  <c:v>0.92022542525876094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73.42200080668016</c:v>
                </c:pt>
                <c:pt idx="1">
                  <c:v>69.24356952315469</c:v>
                </c:pt>
                <c:pt idx="2">
                  <c:v>61.261807581743831</c:v>
                </c:pt>
                <c:pt idx="3">
                  <c:v>55.011813992544901</c:v>
                </c:pt>
                <c:pt idx="4">
                  <c:v>50.976847740130736</c:v>
                </c:pt>
                <c:pt idx="5">
                  <c:v>46.830840466908342</c:v>
                </c:pt>
                <c:pt idx="6">
                  <c:v>42.626215623145804</c:v>
                </c:pt>
                <c:pt idx="7">
                  <c:v>39.126724348728537</c:v>
                </c:pt>
                <c:pt idx="8">
                  <c:v>35.363720273779329</c:v>
                </c:pt>
                <c:pt idx="9">
                  <c:v>32.387962217301606</c:v>
                </c:pt>
                <c:pt idx="10">
                  <c:v>29.714322242562652</c:v>
                </c:pt>
                <c:pt idx="11">
                  <c:v>27.164680083407898</c:v>
                </c:pt>
                <c:pt idx="12">
                  <c:v>24.876805840072183</c:v>
                </c:pt>
                <c:pt idx="13">
                  <c:v>22.729491158822963</c:v>
                </c:pt>
                <c:pt idx="14">
                  <c:v>20.79826008825809</c:v>
                </c:pt>
                <c:pt idx="15">
                  <c:v>18.976756950361125</c:v>
                </c:pt>
                <c:pt idx="16">
                  <c:v>17.355528310394153</c:v>
                </c:pt>
                <c:pt idx="17">
                  <c:v>15.860514718801511</c:v>
                </c:pt>
                <c:pt idx="18">
                  <c:v>14.505439317385937</c:v>
                </c:pt>
                <c:pt idx="19">
                  <c:v>13.252477583718827</c:v>
                </c:pt>
                <c:pt idx="20">
                  <c:v>12.103992819678972</c:v>
                </c:pt>
                <c:pt idx="21">
                  <c:v>11.066073122232257</c:v>
                </c:pt>
                <c:pt idx="22">
                  <c:v>10.142921860005581</c:v>
                </c:pt>
                <c:pt idx="23">
                  <c:v>9.1952907302666702</c:v>
                </c:pt>
                <c:pt idx="24">
                  <c:v>8.4908087791418367</c:v>
                </c:pt>
                <c:pt idx="25">
                  <c:v>7.7128391185942933</c:v>
                </c:pt>
                <c:pt idx="26">
                  <c:v>7.0664528123847914</c:v>
                </c:pt>
                <c:pt idx="27">
                  <c:v>6.4787906883195845</c:v>
                </c:pt>
                <c:pt idx="28">
                  <c:v>5.9072547677552896</c:v>
                </c:pt>
                <c:pt idx="29">
                  <c:v>5.3929021868053608</c:v>
                </c:pt>
                <c:pt idx="30">
                  <c:v>4.9232655123578386</c:v>
                </c:pt>
                <c:pt idx="31">
                  <c:v>4.5017607943175131</c:v>
                </c:pt>
                <c:pt idx="32">
                  <c:v>4.1083857032854265</c:v>
                </c:pt>
                <c:pt idx="33">
                  <c:v>3.7701031715887732</c:v>
                </c:pt>
                <c:pt idx="34">
                  <c:v>3.5452979768883282</c:v>
                </c:pt>
                <c:pt idx="35">
                  <c:v>3.263515456614174</c:v>
                </c:pt>
                <c:pt idx="36">
                  <c:v>2.9730807474824879</c:v>
                </c:pt>
                <c:pt idx="37">
                  <c:v>2.6944420286622903</c:v>
                </c:pt>
                <c:pt idx="38">
                  <c:v>2.4614124759942801</c:v>
                </c:pt>
                <c:pt idx="39">
                  <c:v>2.2439775047676438</c:v>
                </c:pt>
                <c:pt idx="40">
                  <c:v>2.0478048308840804</c:v>
                </c:pt>
                <c:pt idx="41">
                  <c:v>1.8621745247819794</c:v>
                </c:pt>
                <c:pt idx="42">
                  <c:v>1.7117444865928124</c:v>
                </c:pt>
                <c:pt idx="43">
                  <c:v>1.5523783026039588</c:v>
                </c:pt>
                <c:pt idx="44">
                  <c:v>1.4232535171058742</c:v>
                </c:pt>
                <c:pt idx="45">
                  <c:v>1.2980935633450326</c:v>
                </c:pt>
                <c:pt idx="46">
                  <c:v>1.1872438757903845</c:v>
                </c:pt>
                <c:pt idx="47">
                  <c:v>1.0803945439523341</c:v>
                </c:pt>
                <c:pt idx="48">
                  <c:v>0.98499855906258527</c:v>
                </c:pt>
                <c:pt idx="49">
                  <c:v>0.9055906191376486</c:v>
                </c:pt>
                <c:pt idx="50">
                  <c:v>0.82322247611942856</c:v>
                </c:pt>
                <c:pt idx="51">
                  <c:v>0.75390386163407397</c:v>
                </c:pt>
                <c:pt idx="52">
                  <c:v>0.68697628240073361</c:v>
                </c:pt>
                <c:pt idx="53">
                  <c:v>0.62882808806816903</c:v>
                </c:pt>
                <c:pt idx="54">
                  <c:v>0.57496781343237424</c:v>
                </c:pt>
                <c:pt idx="55">
                  <c:v>0.525431300321757</c:v>
                </c:pt>
                <c:pt idx="56">
                  <c:v>0.47975091226405431</c:v>
                </c:pt>
                <c:pt idx="57">
                  <c:v>0.43715521501389609</c:v>
                </c:pt>
                <c:pt idx="58">
                  <c:v>0.40049476076279539</c:v>
                </c:pt>
                <c:pt idx="59">
                  <c:v>0.36581101140285127</c:v>
                </c:pt>
                <c:pt idx="60">
                  <c:v>0.33441065057813851</c:v>
                </c:pt>
                <c:pt idx="61">
                  <c:v>0.30550854132911748</c:v>
                </c:pt>
                <c:pt idx="62">
                  <c:v>0.27874701386528861</c:v>
                </c:pt>
                <c:pt idx="63">
                  <c:v>0.25482509367765094</c:v>
                </c:pt>
                <c:pt idx="64">
                  <c:v>0.23280112641001183</c:v>
                </c:pt>
                <c:pt idx="65">
                  <c:v>0.21298345795641352</c:v>
                </c:pt>
                <c:pt idx="66">
                  <c:v>0.19443693572209195</c:v>
                </c:pt>
                <c:pt idx="67">
                  <c:v>0.17805643636702131</c:v>
                </c:pt>
                <c:pt idx="68">
                  <c:v>0.16259146969404981</c:v>
                </c:pt>
                <c:pt idx="69">
                  <c:v>0.14869868816676199</c:v>
                </c:pt>
                <c:pt idx="70">
                  <c:v>0.13579095061789997</c:v>
                </c:pt>
                <c:pt idx="71">
                  <c:v>0.12410898562254885</c:v>
                </c:pt>
                <c:pt idx="72">
                  <c:v>0.11348889529656393</c:v>
                </c:pt>
                <c:pt idx="73">
                  <c:v>0.10417010493867447</c:v>
                </c:pt>
                <c:pt idx="74">
                  <c:v>9.5120500185272863E-2</c:v>
                </c:pt>
                <c:pt idx="75">
                  <c:v>8.6784501822648116E-2</c:v>
                </c:pt>
                <c:pt idx="76">
                  <c:v>7.923919120356375E-2</c:v>
                </c:pt>
                <c:pt idx="77">
                  <c:v>7.2416079700945574E-2</c:v>
                </c:pt>
                <c:pt idx="78">
                  <c:v>6.6264526446317168E-2</c:v>
                </c:pt>
                <c:pt idx="79">
                  <c:v>6.0399520751328269E-2</c:v>
                </c:pt>
                <c:pt idx="80">
                  <c:v>5.5210923884280852E-2</c:v>
                </c:pt>
                <c:pt idx="81">
                  <c:v>5.060683850731422E-2</c:v>
                </c:pt>
                <c:pt idx="82">
                  <c:v>4.6116301621228449E-2</c:v>
                </c:pt>
                <c:pt idx="83">
                  <c:v>4.2194053033994559E-2</c:v>
                </c:pt>
                <c:pt idx="84">
                  <c:v>3.8652634032861843E-2</c:v>
                </c:pt>
                <c:pt idx="85">
                  <c:v>3.5244280532638235E-2</c:v>
                </c:pt>
                <c:pt idx="86">
                  <c:v>3.223829953301309E-2</c:v>
                </c:pt>
                <c:pt idx="87">
                  <c:v>2.9456500461110993E-2</c:v>
                </c:pt>
                <c:pt idx="88">
                  <c:v>2.691231599862038E-2</c:v>
                </c:pt>
                <c:pt idx="89">
                  <c:v>2.4627592938941307E-2</c:v>
                </c:pt>
                <c:pt idx="90">
                  <c:v>2.2540385138296502E-2</c:v>
                </c:pt>
                <c:pt idx="91">
                  <c:v>2.059363273846878E-2</c:v>
                </c:pt>
                <c:pt idx="92">
                  <c:v>1.8815107050227212E-2</c:v>
                </c:pt>
                <c:pt idx="93">
                  <c:v>1.7192577168149085E-2</c:v>
                </c:pt>
                <c:pt idx="94">
                  <c:v>1.5727432840065496E-2</c:v>
                </c:pt>
                <c:pt idx="95">
                  <c:v>1.4365048300755093E-2</c:v>
                </c:pt>
                <c:pt idx="96">
                  <c:v>1.3139065906277165E-2</c:v>
                </c:pt>
                <c:pt idx="97">
                  <c:v>1.2010388984916664E-2</c:v>
                </c:pt>
                <c:pt idx="98">
                  <c:v>1.0973502611553308E-2</c:v>
                </c:pt>
                <c:pt idx="99">
                  <c:v>1.002550962969395E-2</c:v>
                </c:pt>
                <c:pt idx="100">
                  <c:v>9.1815450551547967E-3</c:v>
                </c:pt>
                <c:pt idx="101">
                  <c:v>8.4052252527068248E-3</c:v>
                </c:pt>
                <c:pt idx="102">
                  <c:v>7.6415373880217938E-3</c:v>
                </c:pt>
                <c:pt idx="103">
                  <c:v>7.0043735013511988E-3</c:v>
                </c:pt>
                <c:pt idx="104">
                  <c:v>6.3895636598669944E-3</c:v>
                </c:pt>
                <c:pt idx="105">
                  <c:v>5.8426387697465519E-3</c:v>
                </c:pt>
                <c:pt idx="106">
                  <c:v>5.3559037002400556E-3</c:v>
                </c:pt>
                <c:pt idx="107">
                  <c:v>4.8992026143405117E-3</c:v>
                </c:pt>
                <c:pt idx="108">
                  <c:v>4.477260677796263E-3</c:v>
                </c:pt>
                <c:pt idx="109">
                  <c:v>4.0914729517139755E-3</c:v>
                </c:pt>
                <c:pt idx="110">
                  <c:v>3.7283976853773465E-3</c:v>
                </c:pt>
                <c:pt idx="111">
                  <c:v>3.4137495310801267E-3</c:v>
                </c:pt>
                <c:pt idx="112">
                  <c:v>3.1211155168533919E-3</c:v>
                </c:pt>
                <c:pt idx="113">
                  <c:v>2.8521574507248747E-3</c:v>
                </c:pt>
                <c:pt idx="114">
                  <c:v>2.6071021257060992E-3</c:v>
                </c:pt>
                <c:pt idx="115">
                  <c:v>2.3851537416477056E-3</c:v>
                </c:pt>
                <c:pt idx="116">
                  <c:v>2.1806007333523537E-3</c:v>
                </c:pt>
                <c:pt idx="117">
                  <c:v>1.9938254227091128E-3</c:v>
                </c:pt>
                <c:pt idx="118">
                  <c:v>1.8362884507970806E-3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15808"/>
        <c:axId val="124204928"/>
      </c:scatterChart>
      <c:valAx>
        <c:axId val="122215808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Mercury Saturation, fraction pore space</a:t>
                </a:r>
              </a:p>
            </c:rich>
          </c:tx>
          <c:layout>
            <c:manualLayout>
              <c:xMode val="edge"/>
              <c:yMode val="edge"/>
              <c:x val="0.26547320428824939"/>
              <c:y val="0.94071717207034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24204928"/>
        <c:crossesAt val="1.0000000000000041E-3"/>
        <c:crossBetween val="midCat"/>
        <c:majorUnit val="0.2"/>
        <c:minorUnit val="0.1"/>
      </c:valAx>
      <c:valAx>
        <c:axId val="124204928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Throat Radius, microns.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288590956331800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22215808"/>
        <c:crosses val="max"/>
        <c:crossBetween val="midCat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901411284906759"/>
          <c:y val="6.0402679443359433E-2"/>
          <c:w val="0.4260563032526869"/>
          <c:h val="9.3959729633634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505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Data V.S. Pore Size Distrubition</a:t>
            </a:r>
          </a:p>
        </c:rich>
      </c:tx>
      <c:layout>
        <c:manualLayout>
          <c:xMode val="edge"/>
          <c:yMode val="edge"/>
          <c:x val="0.30823972597678045"/>
          <c:y val="5.7352337884121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278"/>
        </c:manualLayout>
      </c:layout>
      <c:scatterChart>
        <c:scatterStyle val="line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73.42200080668016</c:v>
                </c:pt>
                <c:pt idx="1">
                  <c:v>69.24356952315469</c:v>
                </c:pt>
                <c:pt idx="2">
                  <c:v>61.261807581743831</c:v>
                </c:pt>
                <c:pt idx="3">
                  <c:v>55.011813992544901</c:v>
                </c:pt>
                <c:pt idx="4">
                  <c:v>50.976847740130736</c:v>
                </c:pt>
                <c:pt idx="5">
                  <c:v>46.830840466908342</c:v>
                </c:pt>
                <c:pt idx="6">
                  <c:v>42.626215623145804</c:v>
                </c:pt>
                <c:pt idx="7">
                  <c:v>39.126724348728537</c:v>
                </c:pt>
                <c:pt idx="8">
                  <c:v>35.363720273779329</c:v>
                </c:pt>
                <c:pt idx="9">
                  <c:v>32.387962217301606</c:v>
                </c:pt>
                <c:pt idx="10">
                  <c:v>29.714322242562652</c:v>
                </c:pt>
                <c:pt idx="11">
                  <c:v>27.164680083407898</c:v>
                </c:pt>
                <c:pt idx="12">
                  <c:v>24.876805840072183</c:v>
                </c:pt>
                <c:pt idx="13">
                  <c:v>22.729491158822963</c:v>
                </c:pt>
                <c:pt idx="14">
                  <c:v>20.79826008825809</c:v>
                </c:pt>
                <c:pt idx="15">
                  <c:v>18.976756950361125</c:v>
                </c:pt>
                <c:pt idx="16">
                  <c:v>17.355528310394153</c:v>
                </c:pt>
                <c:pt idx="17">
                  <c:v>15.860514718801511</c:v>
                </c:pt>
                <c:pt idx="18">
                  <c:v>14.505439317385937</c:v>
                </c:pt>
                <c:pt idx="19">
                  <c:v>13.252477583718827</c:v>
                </c:pt>
                <c:pt idx="20">
                  <c:v>12.103992819678972</c:v>
                </c:pt>
                <c:pt idx="21">
                  <c:v>11.066073122232257</c:v>
                </c:pt>
                <c:pt idx="22">
                  <c:v>10.142921860005581</c:v>
                </c:pt>
                <c:pt idx="23">
                  <c:v>9.1952907302666702</c:v>
                </c:pt>
                <c:pt idx="24">
                  <c:v>8.4908087791418367</c:v>
                </c:pt>
                <c:pt idx="25">
                  <c:v>7.7128391185942933</c:v>
                </c:pt>
                <c:pt idx="26">
                  <c:v>7.0664528123847914</c:v>
                </c:pt>
                <c:pt idx="27">
                  <c:v>6.4787906883195845</c:v>
                </c:pt>
                <c:pt idx="28">
                  <c:v>5.9072547677552896</c:v>
                </c:pt>
                <c:pt idx="29">
                  <c:v>5.3929021868053608</c:v>
                </c:pt>
                <c:pt idx="30">
                  <c:v>4.9232655123578386</c:v>
                </c:pt>
                <c:pt idx="31">
                  <c:v>4.5017607943175131</c:v>
                </c:pt>
                <c:pt idx="32">
                  <c:v>4.1083857032854265</c:v>
                </c:pt>
                <c:pt idx="33">
                  <c:v>3.7701031715887732</c:v>
                </c:pt>
                <c:pt idx="34">
                  <c:v>3.5452979768883282</c:v>
                </c:pt>
                <c:pt idx="35">
                  <c:v>3.263515456614174</c:v>
                </c:pt>
                <c:pt idx="36">
                  <c:v>2.9730807474824879</c:v>
                </c:pt>
                <c:pt idx="37">
                  <c:v>2.6944420286622903</c:v>
                </c:pt>
                <c:pt idx="38">
                  <c:v>2.4614124759942801</c:v>
                </c:pt>
                <c:pt idx="39">
                  <c:v>2.2439775047676438</c:v>
                </c:pt>
                <c:pt idx="40">
                  <c:v>2.0478048308840804</c:v>
                </c:pt>
                <c:pt idx="41">
                  <c:v>1.8621745247819794</c:v>
                </c:pt>
                <c:pt idx="42">
                  <c:v>1.7117444865928124</c:v>
                </c:pt>
                <c:pt idx="43">
                  <c:v>1.5523783026039588</c:v>
                </c:pt>
                <c:pt idx="44">
                  <c:v>1.4232535171058742</c:v>
                </c:pt>
                <c:pt idx="45">
                  <c:v>1.2980935633450326</c:v>
                </c:pt>
                <c:pt idx="46">
                  <c:v>1.1872438757903845</c:v>
                </c:pt>
                <c:pt idx="47">
                  <c:v>1.0803945439523341</c:v>
                </c:pt>
                <c:pt idx="48">
                  <c:v>0.98499855906258527</c:v>
                </c:pt>
                <c:pt idx="49">
                  <c:v>0.9055906191376486</c:v>
                </c:pt>
                <c:pt idx="50">
                  <c:v>0.82322247611942856</c:v>
                </c:pt>
                <c:pt idx="51">
                  <c:v>0.75390386163407397</c:v>
                </c:pt>
                <c:pt idx="52">
                  <c:v>0.68697628240073361</c:v>
                </c:pt>
                <c:pt idx="53">
                  <c:v>0.62882808806816903</c:v>
                </c:pt>
                <c:pt idx="54">
                  <c:v>0.57496781343237424</c:v>
                </c:pt>
                <c:pt idx="55">
                  <c:v>0.525431300321757</c:v>
                </c:pt>
                <c:pt idx="56">
                  <c:v>0.47975091226405431</c:v>
                </c:pt>
                <c:pt idx="57">
                  <c:v>0.43715521501389609</c:v>
                </c:pt>
                <c:pt idx="58">
                  <c:v>0.40049476076279539</c:v>
                </c:pt>
                <c:pt idx="59">
                  <c:v>0.36581101140285127</c:v>
                </c:pt>
                <c:pt idx="60">
                  <c:v>0.33441065057813851</c:v>
                </c:pt>
                <c:pt idx="61">
                  <c:v>0.30550854132911748</c:v>
                </c:pt>
                <c:pt idx="62">
                  <c:v>0.27874701386528861</c:v>
                </c:pt>
                <c:pt idx="63">
                  <c:v>0.25482509367765094</c:v>
                </c:pt>
                <c:pt idx="64">
                  <c:v>0.23280112641001183</c:v>
                </c:pt>
                <c:pt idx="65">
                  <c:v>0.21298345795641352</c:v>
                </c:pt>
                <c:pt idx="66">
                  <c:v>0.19443693572209195</c:v>
                </c:pt>
                <c:pt idx="67">
                  <c:v>0.17805643636702131</c:v>
                </c:pt>
                <c:pt idx="68">
                  <c:v>0.16259146969404981</c:v>
                </c:pt>
                <c:pt idx="69">
                  <c:v>0.14869868816676199</c:v>
                </c:pt>
                <c:pt idx="70">
                  <c:v>0.13579095061789997</c:v>
                </c:pt>
                <c:pt idx="71">
                  <c:v>0.12410898562254885</c:v>
                </c:pt>
                <c:pt idx="72">
                  <c:v>0.11348889529656393</c:v>
                </c:pt>
                <c:pt idx="73">
                  <c:v>0.10417010493867447</c:v>
                </c:pt>
                <c:pt idx="74">
                  <c:v>9.5120500185272863E-2</c:v>
                </c:pt>
                <c:pt idx="75">
                  <c:v>8.6784501822648116E-2</c:v>
                </c:pt>
                <c:pt idx="76">
                  <c:v>7.923919120356375E-2</c:v>
                </c:pt>
                <c:pt idx="77">
                  <c:v>7.2416079700945574E-2</c:v>
                </c:pt>
                <c:pt idx="78">
                  <c:v>6.6264526446317168E-2</c:v>
                </c:pt>
                <c:pt idx="79">
                  <c:v>6.0399520751328269E-2</c:v>
                </c:pt>
                <c:pt idx="80">
                  <c:v>5.5210923884280852E-2</c:v>
                </c:pt>
                <c:pt idx="81">
                  <c:v>5.060683850731422E-2</c:v>
                </c:pt>
                <c:pt idx="82">
                  <c:v>4.6116301621228449E-2</c:v>
                </c:pt>
                <c:pt idx="83">
                  <c:v>4.2194053033994559E-2</c:v>
                </c:pt>
                <c:pt idx="84">
                  <c:v>3.8652634032861843E-2</c:v>
                </c:pt>
                <c:pt idx="85">
                  <c:v>3.5244280532638235E-2</c:v>
                </c:pt>
                <c:pt idx="86">
                  <c:v>3.223829953301309E-2</c:v>
                </c:pt>
                <c:pt idx="87">
                  <c:v>2.9456500461110993E-2</c:v>
                </c:pt>
                <c:pt idx="88">
                  <c:v>2.691231599862038E-2</c:v>
                </c:pt>
                <c:pt idx="89">
                  <c:v>2.4627592938941307E-2</c:v>
                </c:pt>
                <c:pt idx="90">
                  <c:v>2.2540385138296502E-2</c:v>
                </c:pt>
                <c:pt idx="91">
                  <c:v>2.059363273846878E-2</c:v>
                </c:pt>
                <c:pt idx="92">
                  <c:v>1.8815107050227212E-2</c:v>
                </c:pt>
                <c:pt idx="93">
                  <c:v>1.7192577168149085E-2</c:v>
                </c:pt>
                <c:pt idx="94">
                  <c:v>1.5727432840065496E-2</c:v>
                </c:pt>
                <c:pt idx="95">
                  <c:v>1.4365048300755093E-2</c:v>
                </c:pt>
                <c:pt idx="96">
                  <c:v>1.3139065906277165E-2</c:v>
                </c:pt>
                <c:pt idx="97">
                  <c:v>1.2010388984916664E-2</c:v>
                </c:pt>
                <c:pt idx="98">
                  <c:v>1.0973502611553308E-2</c:v>
                </c:pt>
                <c:pt idx="99">
                  <c:v>1.002550962969395E-2</c:v>
                </c:pt>
                <c:pt idx="100">
                  <c:v>9.1815450551547967E-3</c:v>
                </c:pt>
                <c:pt idx="101">
                  <c:v>8.4052252527068248E-3</c:v>
                </c:pt>
                <c:pt idx="102">
                  <c:v>7.6415373880217938E-3</c:v>
                </c:pt>
                <c:pt idx="103">
                  <c:v>7.0043735013511988E-3</c:v>
                </c:pt>
                <c:pt idx="104">
                  <c:v>6.3895636598669944E-3</c:v>
                </c:pt>
                <c:pt idx="105">
                  <c:v>5.8426387697465519E-3</c:v>
                </c:pt>
                <c:pt idx="106">
                  <c:v>5.3559037002400556E-3</c:v>
                </c:pt>
                <c:pt idx="107">
                  <c:v>4.8992026143405117E-3</c:v>
                </c:pt>
                <c:pt idx="108">
                  <c:v>4.477260677796263E-3</c:v>
                </c:pt>
                <c:pt idx="109">
                  <c:v>4.0914729517139755E-3</c:v>
                </c:pt>
                <c:pt idx="110">
                  <c:v>3.7283976853773465E-3</c:v>
                </c:pt>
                <c:pt idx="111">
                  <c:v>3.4137495310801267E-3</c:v>
                </c:pt>
                <c:pt idx="112">
                  <c:v>3.1211155168533919E-3</c:v>
                </c:pt>
                <c:pt idx="113">
                  <c:v>2.8521574507248747E-3</c:v>
                </c:pt>
                <c:pt idx="114">
                  <c:v>2.6071021257060992E-3</c:v>
                </c:pt>
                <c:pt idx="115">
                  <c:v>2.3851537416477056E-3</c:v>
                </c:pt>
                <c:pt idx="116">
                  <c:v>2.1806007333523537E-3</c:v>
                </c:pt>
                <c:pt idx="117">
                  <c:v>1.9938254227091128E-3</c:v>
                </c:pt>
                <c:pt idx="118">
                  <c:v>1.8362884507970806E-3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1.2298394890770633E-2</c:v>
                </c:pt>
                <c:pt idx="34">
                  <c:v>2.4162814060887647E-2</c:v>
                </c:pt>
                <c:pt idx="35">
                  <c:v>2.2025336500003472E-2</c:v>
                </c:pt>
                <c:pt idx="36">
                  <c:v>2.7714352410340246E-2</c:v>
                </c:pt>
                <c:pt idx="37">
                  <c:v>4.297115452286334E-2</c:v>
                </c:pt>
                <c:pt idx="38">
                  <c:v>5.0995585528343906E-2</c:v>
                </c:pt>
                <c:pt idx="39">
                  <c:v>5.6010312824320146E-2</c:v>
                </c:pt>
                <c:pt idx="40">
                  <c:v>6.0443246259816813E-2</c:v>
                </c:pt>
                <c:pt idx="41">
                  <c:v>5.9455107395516189E-2</c:v>
                </c:pt>
                <c:pt idx="42">
                  <c:v>6.9873250591520289E-2</c:v>
                </c:pt>
                <c:pt idx="43">
                  <c:v>0.10405170388594424</c:v>
                </c:pt>
                <c:pt idx="44">
                  <c:v>0.11256531009346364</c:v>
                </c:pt>
                <c:pt idx="45">
                  <c:v>0.17698415805860379</c:v>
                </c:pt>
                <c:pt idx="46">
                  <c:v>0.29819057215160749</c:v>
                </c:pt>
                <c:pt idx="47">
                  <c:v>0.41298232327988221</c:v>
                </c:pt>
                <c:pt idx="48">
                  <c:v>0.60666175343785544</c:v>
                </c:pt>
                <c:pt idx="49">
                  <c:v>0.77502525174928394</c:v>
                </c:pt>
                <c:pt idx="50">
                  <c:v>0.97238935570620011</c:v>
                </c:pt>
                <c:pt idx="51">
                  <c:v>0.97171853641951456</c:v>
                </c:pt>
                <c:pt idx="52">
                  <c:v>0.94993165424482029</c:v>
                </c:pt>
                <c:pt idx="53">
                  <c:v>1</c:v>
                </c:pt>
                <c:pt idx="54">
                  <c:v>0.94370321983345229</c:v>
                </c:pt>
                <c:pt idx="55">
                  <c:v>0.87209976596906713</c:v>
                </c:pt>
                <c:pt idx="56">
                  <c:v>0.85119855358772878</c:v>
                </c:pt>
                <c:pt idx="57">
                  <c:v>0.82767254701186843</c:v>
                </c:pt>
                <c:pt idx="58">
                  <c:v>0.77824057507575473</c:v>
                </c:pt>
                <c:pt idx="59">
                  <c:v>0.80399686372778179</c:v>
                </c:pt>
                <c:pt idx="60">
                  <c:v>0.78089411512815265</c:v>
                </c:pt>
                <c:pt idx="61">
                  <c:v>0.74479625629806778</c:v>
                </c:pt>
                <c:pt idx="62">
                  <c:v>0.75025995176643079</c:v>
                </c:pt>
                <c:pt idx="63">
                  <c:v>0.75818290493744966</c:v>
                </c:pt>
                <c:pt idx="64">
                  <c:v>0.74748349839072659</c:v>
                </c:pt>
                <c:pt idx="65">
                  <c:v>0.74617903118529072</c:v>
                </c:pt>
                <c:pt idx="66">
                  <c:v>0.75511601927360206</c:v>
                </c:pt>
                <c:pt idx="67">
                  <c:v>0.7386238267477232</c:v>
                </c:pt>
                <c:pt idx="68">
                  <c:v>0.75755247853725061</c:v>
                </c:pt>
                <c:pt idx="69">
                  <c:v>0.75261612087533869</c:v>
                </c:pt>
                <c:pt idx="70">
                  <c:v>0.76872173117468445</c:v>
                </c:pt>
                <c:pt idx="71">
                  <c:v>0.75865473350111634</c:v>
                </c:pt>
                <c:pt idx="72">
                  <c:v>0.76418979799591746</c:v>
                </c:pt>
                <c:pt idx="73">
                  <c:v>0.73258323164899208</c:v>
                </c:pt>
                <c:pt idx="74">
                  <c:v>0.78045004118587236</c:v>
                </c:pt>
                <c:pt idx="75">
                  <c:v>0.77812460040779508</c:v>
                </c:pt>
                <c:pt idx="76">
                  <c:v>0.75453911964323161</c:v>
                </c:pt>
                <c:pt idx="77">
                  <c:v>0.74551292027187488</c:v>
                </c:pt>
                <c:pt idx="78">
                  <c:v>0.71367638706198833</c:v>
                </c:pt>
                <c:pt idx="79">
                  <c:v>0.73420885947339498</c:v>
                </c:pt>
                <c:pt idx="80">
                  <c:v>0.68509705691977274</c:v>
                </c:pt>
                <c:pt idx="81">
                  <c:v>0.63784084905351912</c:v>
                </c:pt>
                <c:pt idx="82">
                  <c:v>0.67122172869658903</c:v>
                </c:pt>
                <c:pt idx="83">
                  <c:v>0.59239265652367556</c:v>
                </c:pt>
                <c:pt idx="84">
                  <c:v>0.5411536604876297</c:v>
                </c:pt>
                <c:pt idx="85">
                  <c:v>0.56754235801280706</c:v>
                </c:pt>
                <c:pt idx="86">
                  <c:v>0.535804948450745</c:v>
                </c:pt>
                <c:pt idx="87">
                  <c:v>0.49235905360706278</c:v>
                </c:pt>
                <c:pt idx="88">
                  <c:v>0.48253391763419318</c:v>
                </c:pt>
                <c:pt idx="89">
                  <c:v>0.43631454312424173</c:v>
                </c:pt>
                <c:pt idx="90">
                  <c:v>0.44299547698794411</c:v>
                </c:pt>
                <c:pt idx="91">
                  <c:v>0.39852464362570417</c:v>
                </c:pt>
                <c:pt idx="92">
                  <c:v>0.40973751066818753</c:v>
                </c:pt>
                <c:pt idx="93">
                  <c:v>0.36764960979975586</c:v>
                </c:pt>
                <c:pt idx="94">
                  <c:v>0.33474452366626439</c:v>
                </c:pt>
                <c:pt idx="95">
                  <c:v>0.35796324693385556</c:v>
                </c:pt>
                <c:pt idx="96">
                  <c:v>0.38786290406516305</c:v>
                </c:pt>
                <c:pt idx="97">
                  <c:v>0.12624387787570399</c:v>
                </c:pt>
                <c:pt idx="98">
                  <c:v>0.43070414465708373</c:v>
                </c:pt>
                <c:pt idx="99">
                  <c:v>0.30519378177532436</c:v>
                </c:pt>
                <c:pt idx="100">
                  <c:v>0.33424494048121128</c:v>
                </c:pt>
                <c:pt idx="101">
                  <c:v>0.14720654691868848</c:v>
                </c:pt>
                <c:pt idx="102">
                  <c:v>0.25921230402015744</c:v>
                </c:pt>
                <c:pt idx="103">
                  <c:v>0.22302027772463173</c:v>
                </c:pt>
                <c:pt idx="104">
                  <c:v>0.29930980204016738</c:v>
                </c:pt>
                <c:pt idx="105">
                  <c:v>0</c:v>
                </c:pt>
                <c:pt idx="106">
                  <c:v>0.25167494183919714</c:v>
                </c:pt>
                <c:pt idx="107">
                  <c:v>0.18436205507111994</c:v>
                </c:pt>
                <c:pt idx="108">
                  <c:v>0.13803959196741361</c:v>
                </c:pt>
                <c:pt idx="109">
                  <c:v>0.13252435220217781</c:v>
                </c:pt>
                <c:pt idx="110">
                  <c:v>3.4693276740319738E-3</c:v>
                </c:pt>
                <c:pt idx="111">
                  <c:v>0.12553018761133175</c:v>
                </c:pt>
                <c:pt idx="112">
                  <c:v>9.0710032601768409E-2</c:v>
                </c:pt>
                <c:pt idx="113">
                  <c:v>6.1103781468041546E-2</c:v>
                </c:pt>
                <c:pt idx="114">
                  <c:v>0.10379435411526722</c:v>
                </c:pt>
                <c:pt idx="115">
                  <c:v>4.943891059146386E-2</c:v>
                </c:pt>
                <c:pt idx="116">
                  <c:v>9.9936461741737051E-2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Conformance Point</c:v>
          </c:tx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Table!$AE$17</c:f>
              <c:numCache>
                <c:formatCode>General</c:formatCode>
                <c:ptCount val="1"/>
                <c:pt idx="0">
                  <c:v>4.1083857032854265</c:v>
                </c:pt>
              </c:numCache>
            </c:numRef>
          </c:xVal>
          <c:yVal>
            <c:numRef>
              <c:f>Table!$AD$17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42176"/>
        <c:axId val="124248832"/>
      </c:scatterChart>
      <c:valAx>
        <c:axId val="124242176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40741869092575211"/>
              <c:y val="0.92577471756898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24248832"/>
        <c:crosses val="autoZero"/>
        <c:crossBetween val="midCat"/>
      </c:valAx>
      <c:valAx>
        <c:axId val="1242488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Dristubition Function</a:t>
                </a:r>
              </a:p>
            </c:rich>
          </c:tx>
          <c:layout>
            <c:manualLayout>
              <c:xMode val="edge"/>
              <c:yMode val="edge"/>
              <c:x val="3.5392202272293852E-2"/>
              <c:y val="0.30886858206270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24242176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dk1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44" r="0.75000000000000844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Saturation vs Pore Throat Size</a:t>
            </a:r>
          </a:p>
        </c:rich>
      </c:tx>
      <c:layout>
        <c:manualLayout>
          <c:xMode val="edge"/>
          <c:yMode val="edge"/>
          <c:x val="0.33093532012654897"/>
          <c:y val="3.104222208444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64490420478818"/>
          <c:y val="0.10419268510258722"/>
          <c:w val="0.79829436705027268"/>
          <c:h val="0.76090414211159918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800080"/>
              </a:solidFill>
            </a:ln>
          </c:spPr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73.42200080668016</c:v>
                </c:pt>
                <c:pt idx="1">
                  <c:v>69.24356952315469</c:v>
                </c:pt>
                <c:pt idx="2">
                  <c:v>61.261807581743831</c:v>
                </c:pt>
                <c:pt idx="3">
                  <c:v>55.011813992544901</c:v>
                </c:pt>
                <c:pt idx="4">
                  <c:v>50.976847740130736</c:v>
                </c:pt>
                <c:pt idx="5">
                  <c:v>46.830840466908342</c:v>
                </c:pt>
                <c:pt idx="6">
                  <c:v>42.626215623145804</c:v>
                </c:pt>
                <c:pt idx="7">
                  <c:v>39.126724348728537</c:v>
                </c:pt>
                <c:pt idx="8">
                  <c:v>35.363720273779329</c:v>
                </c:pt>
                <c:pt idx="9">
                  <c:v>32.387962217301606</c:v>
                </c:pt>
                <c:pt idx="10">
                  <c:v>29.714322242562652</c:v>
                </c:pt>
                <c:pt idx="11">
                  <c:v>27.164680083407898</c:v>
                </c:pt>
                <c:pt idx="12">
                  <c:v>24.876805840072183</c:v>
                </c:pt>
                <c:pt idx="13">
                  <c:v>22.729491158822963</c:v>
                </c:pt>
                <c:pt idx="14">
                  <c:v>20.79826008825809</c:v>
                </c:pt>
                <c:pt idx="15">
                  <c:v>18.976756950361125</c:v>
                </c:pt>
                <c:pt idx="16">
                  <c:v>17.355528310394153</c:v>
                </c:pt>
                <c:pt idx="17">
                  <c:v>15.860514718801511</c:v>
                </c:pt>
                <c:pt idx="18">
                  <c:v>14.505439317385937</c:v>
                </c:pt>
                <c:pt idx="19">
                  <c:v>13.252477583718827</c:v>
                </c:pt>
                <c:pt idx="20">
                  <c:v>12.103992819678972</c:v>
                </c:pt>
                <c:pt idx="21">
                  <c:v>11.066073122232257</c:v>
                </c:pt>
                <c:pt idx="22">
                  <c:v>10.142921860005581</c:v>
                </c:pt>
                <c:pt idx="23">
                  <c:v>9.1952907302666702</c:v>
                </c:pt>
                <c:pt idx="24">
                  <c:v>8.4908087791418367</c:v>
                </c:pt>
                <c:pt idx="25">
                  <c:v>7.7128391185942933</c:v>
                </c:pt>
                <c:pt idx="26">
                  <c:v>7.0664528123847914</c:v>
                </c:pt>
                <c:pt idx="27">
                  <c:v>6.4787906883195845</c:v>
                </c:pt>
                <c:pt idx="28">
                  <c:v>5.9072547677552896</c:v>
                </c:pt>
                <c:pt idx="29">
                  <c:v>5.3929021868053608</c:v>
                </c:pt>
                <c:pt idx="30">
                  <c:v>4.9232655123578386</c:v>
                </c:pt>
                <c:pt idx="31">
                  <c:v>4.5017607943175131</c:v>
                </c:pt>
                <c:pt idx="32">
                  <c:v>4.1083857032854265</c:v>
                </c:pt>
                <c:pt idx="33">
                  <c:v>3.7701031715887732</c:v>
                </c:pt>
                <c:pt idx="34">
                  <c:v>3.5452979768883282</c:v>
                </c:pt>
                <c:pt idx="35">
                  <c:v>3.263515456614174</c:v>
                </c:pt>
                <c:pt idx="36">
                  <c:v>2.9730807474824879</c:v>
                </c:pt>
                <c:pt idx="37">
                  <c:v>2.6944420286622903</c:v>
                </c:pt>
                <c:pt idx="38">
                  <c:v>2.4614124759942801</c:v>
                </c:pt>
                <c:pt idx="39">
                  <c:v>2.2439775047676438</c:v>
                </c:pt>
                <c:pt idx="40">
                  <c:v>2.0478048308840804</c:v>
                </c:pt>
                <c:pt idx="41">
                  <c:v>1.8621745247819794</c:v>
                </c:pt>
                <c:pt idx="42">
                  <c:v>1.7117444865928124</c:v>
                </c:pt>
                <c:pt idx="43">
                  <c:v>1.5523783026039588</c:v>
                </c:pt>
                <c:pt idx="44">
                  <c:v>1.4232535171058742</c:v>
                </c:pt>
                <c:pt idx="45">
                  <c:v>1.2980935633450326</c:v>
                </c:pt>
                <c:pt idx="46">
                  <c:v>1.1872438757903845</c:v>
                </c:pt>
                <c:pt idx="47">
                  <c:v>1.0803945439523341</c:v>
                </c:pt>
                <c:pt idx="48">
                  <c:v>0.98499855906258527</c:v>
                </c:pt>
                <c:pt idx="49">
                  <c:v>0.9055906191376486</c:v>
                </c:pt>
                <c:pt idx="50">
                  <c:v>0.82322247611942856</c:v>
                </c:pt>
                <c:pt idx="51">
                  <c:v>0.75390386163407397</c:v>
                </c:pt>
                <c:pt idx="52">
                  <c:v>0.68697628240073361</c:v>
                </c:pt>
                <c:pt idx="53">
                  <c:v>0.62882808806816903</c:v>
                </c:pt>
                <c:pt idx="54">
                  <c:v>0.57496781343237424</c:v>
                </c:pt>
                <c:pt idx="55">
                  <c:v>0.525431300321757</c:v>
                </c:pt>
                <c:pt idx="56">
                  <c:v>0.47975091226405431</c:v>
                </c:pt>
                <c:pt idx="57">
                  <c:v>0.43715521501389609</c:v>
                </c:pt>
                <c:pt idx="58">
                  <c:v>0.40049476076279539</c:v>
                </c:pt>
                <c:pt idx="59">
                  <c:v>0.36581101140285127</c:v>
                </c:pt>
                <c:pt idx="60">
                  <c:v>0.33441065057813851</c:v>
                </c:pt>
                <c:pt idx="61">
                  <c:v>0.30550854132911748</c:v>
                </c:pt>
                <c:pt idx="62">
                  <c:v>0.27874701386528861</c:v>
                </c:pt>
                <c:pt idx="63">
                  <c:v>0.25482509367765094</c:v>
                </c:pt>
                <c:pt idx="64">
                  <c:v>0.23280112641001183</c:v>
                </c:pt>
                <c:pt idx="65">
                  <c:v>0.21298345795641352</c:v>
                </c:pt>
                <c:pt idx="66">
                  <c:v>0.19443693572209195</c:v>
                </c:pt>
                <c:pt idx="67">
                  <c:v>0.17805643636702131</c:v>
                </c:pt>
                <c:pt idx="68">
                  <c:v>0.16259146969404981</c:v>
                </c:pt>
                <c:pt idx="69">
                  <c:v>0.14869868816676199</c:v>
                </c:pt>
                <c:pt idx="70">
                  <c:v>0.13579095061789997</c:v>
                </c:pt>
                <c:pt idx="71">
                  <c:v>0.12410898562254885</c:v>
                </c:pt>
                <c:pt idx="72">
                  <c:v>0.11348889529656393</c:v>
                </c:pt>
                <c:pt idx="73">
                  <c:v>0.10417010493867447</c:v>
                </c:pt>
                <c:pt idx="74">
                  <c:v>9.5120500185272863E-2</c:v>
                </c:pt>
                <c:pt idx="75">
                  <c:v>8.6784501822648116E-2</c:v>
                </c:pt>
                <c:pt idx="76">
                  <c:v>7.923919120356375E-2</c:v>
                </c:pt>
                <c:pt idx="77">
                  <c:v>7.2416079700945574E-2</c:v>
                </c:pt>
                <c:pt idx="78">
                  <c:v>6.6264526446317168E-2</c:v>
                </c:pt>
                <c:pt idx="79">
                  <c:v>6.0399520751328269E-2</c:v>
                </c:pt>
                <c:pt idx="80">
                  <c:v>5.5210923884280852E-2</c:v>
                </c:pt>
                <c:pt idx="81">
                  <c:v>5.060683850731422E-2</c:v>
                </c:pt>
                <c:pt idx="82">
                  <c:v>4.6116301621228449E-2</c:v>
                </c:pt>
                <c:pt idx="83">
                  <c:v>4.2194053033994559E-2</c:v>
                </c:pt>
                <c:pt idx="84">
                  <c:v>3.8652634032861843E-2</c:v>
                </c:pt>
                <c:pt idx="85">
                  <c:v>3.5244280532638235E-2</c:v>
                </c:pt>
                <c:pt idx="86">
                  <c:v>3.223829953301309E-2</c:v>
                </c:pt>
                <c:pt idx="87">
                  <c:v>2.9456500461110993E-2</c:v>
                </c:pt>
                <c:pt idx="88">
                  <c:v>2.691231599862038E-2</c:v>
                </c:pt>
                <c:pt idx="89">
                  <c:v>2.4627592938941307E-2</c:v>
                </c:pt>
                <c:pt idx="90">
                  <c:v>2.2540385138296502E-2</c:v>
                </c:pt>
                <c:pt idx="91">
                  <c:v>2.059363273846878E-2</c:v>
                </c:pt>
                <c:pt idx="92">
                  <c:v>1.8815107050227212E-2</c:v>
                </c:pt>
                <c:pt idx="93">
                  <c:v>1.7192577168149085E-2</c:v>
                </c:pt>
                <c:pt idx="94">
                  <c:v>1.5727432840065496E-2</c:v>
                </c:pt>
                <c:pt idx="95">
                  <c:v>1.4365048300755093E-2</c:v>
                </c:pt>
                <c:pt idx="96">
                  <c:v>1.3139065906277165E-2</c:v>
                </c:pt>
                <c:pt idx="97">
                  <c:v>1.2010388984916664E-2</c:v>
                </c:pt>
                <c:pt idx="98">
                  <c:v>1.0973502611553308E-2</c:v>
                </c:pt>
                <c:pt idx="99">
                  <c:v>1.002550962969395E-2</c:v>
                </c:pt>
                <c:pt idx="100">
                  <c:v>9.1815450551547967E-3</c:v>
                </c:pt>
                <c:pt idx="101">
                  <c:v>8.4052252527068248E-3</c:v>
                </c:pt>
                <c:pt idx="102">
                  <c:v>7.6415373880217938E-3</c:v>
                </c:pt>
                <c:pt idx="103">
                  <c:v>7.0043735013511988E-3</c:v>
                </c:pt>
                <c:pt idx="104">
                  <c:v>6.3895636598669944E-3</c:v>
                </c:pt>
                <c:pt idx="105">
                  <c:v>5.8426387697465519E-3</c:v>
                </c:pt>
                <c:pt idx="106">
                  <c:v>5.3559037002400556E-3</c:v>
                </c:pt>
                <c:pt idx="107">
                  <c:v>4.8992026143405117E-3</c:v>
                </c:pt>
                <c:pt idx="108">
                  <c:v>4.477260677796263E-3</c:v>
                </c:pt>
                <c:pt idx="109">
                  <c:v>4.0914729517139755E-3</c:v>
                </c:pt>
                <c:pt idx="110">
                  <c:v>3.7283976853773465E-3</c:v>
                </c:pt>
                <c:pt idx="111">
                  <c:v>3.4137495310801267E-3</c:v>
                </c:pt>
                <c:pt idx="112">
                  <c:v>3.1211155168533919E-3</c:v>
                </c:pt>
                <c:pt idx="113">
                  <c:v>2.8521574507248747E-3</c:v>
                </c:pt>
                <c:pt idx="114">
                  <c:v>2.6071021257060992E-3</c:v>
                </c:pt>
                <c:pt idx="115">
                  <c:v>2.3851537416477056E-3</c:v>
                </c:pt>
                <c:pt idx="116">
                  <c:v>2.1806007333523537E-3</c:v>
                </c:pt>
                <c:pt idx="117">
                  <c:v>1.9938254227091128E-3</c:v>
                </c:pt>
                <c:pt idx="118">
                  <c:v>1.8362884507970806E-3</c:v>
                </c:pt>
              </c:numCache>
            </c:numRef>
          </c:xVal>
          <c:yVal>
            <c:numRef>
              <c:f>'Raw Data'!$E$18:$E$136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2.9279076142609591E-4</c:v>
                </c:pt>
                <c:pt idx="34">
                  <c:v>8.6804052287209256E-4</c:v>
                </c:pt>
                <c:pt idx="35">
                  <c:v>1.3924028564756047E-3</c:v>
                </c:pt>
                <c:pt idx="36">
                  <c:v>2.0522049214381009E-3</c:v>
                </c:pt>
                <c:pt idx="37">
                  <c:v>3.0752292399651836E-3</c:v>
                </c:pt>
                <c:pt idx="38">
                  <c:v>4.2892930628318938E-3</c:v>
                </c:pt>
                <c:pt idx="39">
                  <c:v>5.6227436704273147E-3</c:v>
                </c:pt>
                <c:pt idx="40">
                  <c:v>7.0617301603437934E-3</c:v>
                </c:pt>
                <c:pt idx="41">
                  <c:v>8.47719179737964E-3</c:v>
                </c:pt>
                <c:pt idx="42">
                  <c:v>1.0140680604310094E-2</c:v>
                </c:pt>
                <c:pt idx="43">
                  <c:v>1.2617863836677361E-2</c:v>
                </c:pt>
                <c:pt idx="44">
                  <c:v>1.5297732481744476E-2</c:v>
                </c:pt>
                <c:pt idx="45">
                  <c:v>1.9511235695665756E-2</c:v>
                </c:pt>
                <c:pt idx="46">
                  <c:v>2.6610328337086181E-2</c:v>
                </c:pt>
                <c:pt idx="47">
                  <c:v>3.6442295025631663E-2</c:v>
                </c:pt>
                <c:pt idx="48">
                  <c:v>5.088523317282511E-2</c:v>
                </c:pt>
                <c:pt idx="49">
                  <c:v>6.9336440472601887E-2</c:v>
                </c:pt>
                <c:pt idx="50">
                  <c:v>9.2486341121304272E-2</c:v>
                </c:pt>
                <c:pt idx="51">
                  <c:v>0.11562027141847116</c:v>
                </c:pt>
                <c:pt idx="52">
                  <c:v>0.1382355163198864</c:v>
                </c:pt>
                <c:pt idx="53">
                  <c:v>0.16204275003018315</c:v>
                </c:pt>
                <c:pt idx="54">
                  <c:v>0.1845097131379177</c:v>
                </c:pt>
                <c:pt idx="55">
                  <c:v>0.20527199608503838</c:v>
                </c:pt>
                <c:pt idx="56">
                  <c:v>0.22553667898416799</c:v>
                </c:pt>
                <c:pt idx="57">
                  <c:v>0.24524127274647611</c:v>
                </c:pt>
                <c:pt idx="58">
                  <c:v>0.26376902800014035</c:v>
                </c:pt>
                <c:pt idx="59">
                  <c:v>0.28290996923725326</c:v>
                </c:pt>
                <c:pt idx="60">
                  <c:v>0.30150089793910456</c:v>
                </c:pt>
                <c:pt idx="61">
                  <c:v>0.31923243647934674</c:v>
                </c:pt>
                <c:pt idx="62">
                  <c:v>0.33709405049452612</c:v>
                </c:pt>
                <c:pt idx="63">
                  <c:v>0.35514428810752369</c:v>
                </c:pt>
                <c:pt idx="64">
                  <c:v>0.37293980244830194</c:v>
                </c:pt>
                <c:pt idx="65">
                  <c:v>0.39070426103345296</c:v>
                </c:pt>
                <c:pt idx="66">
                  <c:v>0.40868148458268855</c:v>
                </c:pt>
                <c:pt idx="67">
                  <c:v>0.42626607465006533</c:v>
                </c:pt>
                <c:pt idx="68">
                  <c:v>0.44430130355441622</c:v>
                </c:pt>
                <c:pt idx="69">
                  <c:v>0.46221901143823235</c:v>
                </c:pt>
                <c:pt idx="70">
                  <c:v>0.48052014935049198</c:v>
                </c:pt>
                <c:pt idx="71">
                  <c:v>0.49858161989637595</c:v>
                </c:pt>
                <c:pt idx="72">
                  <c:v>0.51677486501628922</c:v>
                </c:pt>
                <c:pt idx="73">
                  <c:v>0.53421564522440124</c:v>
                </c:pt>
                <c:pt idx="74">
                  <c:v>0.55279600175412402</c:v>
                </c:pt>
                <c:pt idx="75">
                  <c:v>0.57132099597176367</c:v>
                </c:pt>
                <c:pt idx="76">
                  <c:v>0.58928448513667164</c:v>
                </c:pt>
                <c:pt idx="77">
                  <c:v>0.60703308546363</c:v>
                </c:pt>
                <c:pt idx="78">
                  <c:v>0.62402374600393495</c:v>
                </c:pt>
                <c:pt idx="79">
                  <c:v>0.64150322791358849</c:v>
                </c:pt>
                <c:pt idx="80">
                  <c:v>0.65781349366191399</c:v>
                </c:pt>
                <c:pt idx="81">
                  <c:v>0.67299871982530524</c:v>
                </c:pt>
                <c:pt idx="82">
                  <c:v>0.68897865239181433</c:v>
                </c:pt>
                <c:pt idx="83">
                  <c:v>0.70308188281393702</c:v>
                </c:pt>
                <c:pt idx="84">
                  <c:v>0.7159652544823486</c:v>
                </c:pt>
                <c:pt idx="85">
                  <c:v>0.72947686804005241</c:v>
                </c:pt>
                <c:pt idx="86">
                  <c:v>0.74223290167095279</c:v>
                </c:pt>
                <c:pt idx="87">
                  <c:v>0.75395460872955666</c:v>
                </c:pt>
                <c:pt idx="88">
                  <c:v>0.76544240647981898</c:v>
                </c:pt>
                <c:pt idx="89">
                  <c:v>0.77582984877917915</c:v>
                </c:pt>
                <c:pt idx="90">
                  <c:v>0.78637634563243552</c:v>
                </c:pt>
                <c:pt idx="91">
                  <c:v>0.79586411496254539</c:v>
                </c:pt>
                <c:pt idx="92">
                  <c:v>0.80561883163889814</c:v>
                </c:pt>
                <c:pt idx="93">
                  <c:v>0.81437155182290033</c:v>
                </c:pt>
                <c:pt idx="94">
                  <c:v>0.82234089293106505</c:v>
                </c:pt>
                <c:pt idx="95">
                  <c:v>0.83086300761051601</c:v>
                </c:pt>
                <c:pt idx="96">
                  <c:v>0.84009695041514976</c:v>
                </c:pt>
                <c:pt idx="97">
                  <c:v>0.8431024679202308</c:v>
                </c:pt>
                <c:pt idx="98">
                  <c:v>0.85335634215207545</c:v>
                </c:pt>
                <c:pt idx="99">
                  <c:v>0.8606221618417299</c:v>
                </c:pt>
                <c:pt idx="100">
                  <c:v>0.86857960925625033</c:v>
                </c:pt>
                <c:pt idx="101">
                  <c:v>0.87208418992242931</c:v>
                </c:pt>
                <c:pt idx="102">
                  <c:v>0.87825531782482169</c:v>
                </c:pt>
                <c:pt idx="103">
                  <c:v>0.88356481369874729</c:v>
                </c:pt>
                <c:pt idx="104">
                  <c:v>0.89069055210770021</c:v>
                </c:pt>
                <c:pt idx="105">
                  <c:v>0.89069055210770021</c:v>
                </c:pt>
                <c:pt idx="106">
                  <c:v>0.89668223626709131</c:v>
                </c:pt>
                <c:pt idx="107">
                  <c:v>0.90107138679948007</c:v>
                </c:pt>
                <c:pt idx="108">
                  <c:v>0.90435772762672229</c:v>
                </c:pt>
                <c:pt idx="109">
                  <c:v>0.90751276585190521</c:v>
                </c:pt>
                <c:pt idx="110">
                  <c:v>0.90759536094665849</c:v>
                </c:pt>
                <c:pt idx="111">
                  <c:v>0.91058388746081886</c:v>
                </c:pt>
                <c:pt idx="112">
                  <c:v>0.9127434424068378</c:v>
                </c:pt>
                <c:pt idx="113">
                  <c:v>0.91419815441283037</c:v>
                </c:pt>
                <c:pt idx="114">
                  <c:v>0.91666921085906183</c:v>
                </c:pt>
                <c:pt idx="115">
                  <c:v>0.91784621455789528</c:v>
                </c:pt>
                <c:pt idx="116">
                  <c:v>0.92022542525876094</c:v>
                </c:pt>
                <c:pt idx="117">
                  <c:v>0.92022542525876094</c:v>
                </c:pt>
                <c:pt idx="118">
                  <c:v>0.92022542525876094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02944"/>
        <c:axId val="122805248"/>
      </c:scatterChart>
      <c:valAx>
        <c:axId val="122802944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9768561318499929"/>
              <c:y val="0.94279921086959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22805248"/>
        <c:crosses val="autoZero"/>
        <c:crossBetween val="midCat"/>
      </c:valAx>
      <c:valAx>
        <c:axId val="1228052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Mercury Saturation, fractional</a:t>
                </a:r>
              </a:p>
            </c:rich>
          </c:tx>
          <c:layout>
            <c:manualLayout>
              <c:xMode val="edge"/>
              <c:yMode val="edge"/>
              <c:x val="1.7213682297809941E-2"/>
              <c:y val="0.33167040114633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22802944"/>
        <c:crossesAt val="1.0000000000000041E-3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825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d Sw / d Log Pore Throat Size vs Pore Throat Size</a:t>
            </a:r>
          </a:p>
        </c:rich>
      </c:tx>
      <c:layout>
        <c:manualLayout>
          <c:xMode val="edge"/>
          <c:yMode val="edge"/>
          <c:x val="0.2429618814204548"/>
          <c:y val="3.1012615102564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448905544897"/>
          <c:y val="0.10031489965429066"/>
          <c:w val="0.81356164375743056"/>
          <c:h val="0.76537560680389582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73.42200080668016</c:v>
                </c:pt>
                <c:pt idx="1">
                  <c:v>69.24356952315469</c:v>
                </c:pt>
                <c:pt idx="2">
                  <c:v>61.261807581743831</c:v>
                </c:pt>
                <c:pt idx="3">
                  <c:v>55.011813992544901</c:v>
                </c:pt>
                <c:pt idx="4">
                  <c:v>50.976847740130736</c:v>
                </c:pt>
                <c:pt idx="5">
                  <c:v>46.830840466908342</c:v>
                </c:pt>
                <c:pt idx="6">
                  <c:v>42.626215623145804</c:v>
                </c:pt>
                <c:pt idx="7">
                  <c:v>39.126724348728537</c:v>
                </c:pt>
                <c:pt idx="8">
                  <c:v>35.363720273779329</c:v>
                </c:pt>
                <c:pt idx="9">
                  <c:v>32.387962217301606</c:v>
                </c:pt>
                <c:pt idx="10">
                  <c:v>29.714322242562652</c:v>
                </c:pt>
                <c:pt idx="11">
                  <c:v>27.164680083407898</c:v>
                </c:pt>
                <c:pt idx="12">
                  <c:v>24.876805840072183</c:v>
                </c:pt>
                <c:pt idx="13">
                  <c:v>22.729491158822963</c:v>
                </c:pt>
                <c:pt idx="14">
                  <c:v>20.79826008825809</c:v>
                </c:pt>
                <c:pt idx="15">
                  <c:v>18.976756950361125</c:v>
                </c:pt>
                <c:pt idx="16">
                  <c:v>17.355528310394153</c:v>
                </c:pt>
                <c:pt idx="17">
                  <c:v>15.860514718801511</c:v>
                </c:pt>
                <c:pt idx="18">
                  <c:v>14.505439317385937</c:v>
                </c:pt>
                <c:pt idx="19">
                  <c:v>13.252477583718827</c:v>
                </c:pt>
                <c:pt idx="20">
                  <c:v>12.103992819678972</c:v>
                </c:pt>
                <c:pt idx="21">
                  <c:v>11.066073122232257</c:v>
                </c:pt>
                <c:pt idx="22">
                  <c:v>10.142921860005581</c:v>
                </c:pt>
                <c:pt idx="23">
                  <c:v>9.1952907302666702</c:v>
                </c:pt>
                <c:pt idx="24">
                  <c:v>8.4908087791418367</c:v>
                </c:pt>
                <c:pt idx="25">
                  <c:v>7.7128391185942933</c:v>
                </c:pt>
                <c:pt idx="26">
                  <c:v>7.0664528123847914</c:v>
                </c:pt>
                <c:pt idx="27">
                  <c:v>6.4787906883195845</c:v>
                </c:pt>
                <c:pt idx="28">
                  <c:v>5.9072547677552896</c:v>
                </c:pt>
                <c:pt idx="29">
                  <c:v>5.3929021868053608</c:v>
                </c:pt>
                <c:pt idx="30">
                  <c:v>4.9232655123578386</c:v>
                </c:pt>
                <c:pt idx="31">
                  <c:v>4.5017607943175131</c:v>
                </c:pt>
                <c:pt idx="32">
                  <c:v>4.1083857032854265</c:v>
                </c:pt>
                <c:pt idx="33">
                  <c:v>3.7701031715887732</c:v>
                </c:pt>
                <c:pt idx="34">
                  <c:v>3.5452979768883282</c:v>
                </c:pt>
                <c:pt idx="35">
                  <c:v>3.263515456614174</c:v>
                </c:pt>
                <c:pt idx="36">
                  <c:v>2.9730807474824879</c:v>
                </c:pt>
                <c:pt idx="37">
                  <c:v>2.6944420286622903</c:v>
                </c:pt>
                <c:pt idx="38">
                  <c:v>2.4614124759942801</c:v>
                </c:pt>
                <c:pt idx="39">
                  <c:v>2.2439775047676438</c:v>
                </c:pt>
                <c:pt idx="40">
                  <c:v>2.0478048308840804</c:v>
                </c:pt>
                <c:pt idx="41">
                  <c:v>1.8621745247819794</c:v>
                </c:pt>
                <c:pt idx="42">
                  <c:v>1.7117444865928124</c:v>
                </c:pt>
                <c:pt idx="43">
                  <c:v>1.5523783026039588</c:v>
                </c:pt>
                <c:pt idx="44">
                  <c:v>1.4232535171058742</c:v>
                </c:pt>
                <c:pt idx="45">
                  <c:v>1.2980935633450326</c:v>
                </c:pt>
                <c:pt idx="46">
                  <c:v>1.1872438757903845</c:v>
                </c:pt>
                <c:pt idx="47">
                  <c:v>1.0803945439523341</c:v>
                </c:pt>
                <c:pt idx="48">
                  <c:v>0.98499855906258527</c:v>
                </c:pt>
                <c:pt idx="49">
                  <c:v>0.9055906191376486</c:v>
                </c:pt>
                <c:pt idx="50">
                  <c:v>0.82322247611942856</c:v>
                </c:pt>
                <c:pt idx="51">
                  <c:v>0.75390386163407397</c:v>
                </c:pt>
                <c:pt idx="52">
                  <c:v>0.68697628240073361</c:v>
                </c:pt>
                <c:pt idx="53">
                  <c:v>0.62882808806816903</c:v>
                </c:pt>
                <c:pt idx="54">
                  <c:v>0.57496781343237424</c:v>
                </c:pt>
                <c:pt idx="55">
                  <c:v>0.525431300321757</c:v>
                </c:pt>
                <c:pt idx="56">
                  <c:v>0.47975091226405431</c:v>
                </c:pt>
                <c:pt idx="57">
                  <c:v>0.43715521501389609</c:v>
                </c:pt>
                <c:pt idx="58">
                  <c:v>0.40049476076279539</c:v>
                </c:pt>
                <c:pt idx="59">
                  <c:v>0.36581101140285127</c:v>
                </c:pt>
                <c:pt idx="60">
                  <c:v>0.33441065057813851</c:v>
                </c:pt>
                <c:pt idx="61">
                  <c:v>0.30550854132911748</c:v>
                </c:pt>
                <c:pt idx="62">
                  <c:v>0.27874701386528861</c:v>
                </c:pt>
                <c:pt idx="63">
                  <c:v>0.25482509367765094</c:v>
                </c:pt>
                <c:pt idx="64">
                  <c:v>0.23280112641001183</c:v>
                </c:pt>
                <c:pt idx="65">
                  <c:v>0.21298345795641352</c:v>
                </c:pt>
                <c:pt idx="66">
                  <c:v>0.19443693572209195</c:v>
                </c:pt>
                <c:pt idx="67">
                  <c:v>0.17805643636702131</c:v>
                </c:pt>
                <c:pt idx="68">
                  <c:v>0.16259146969404981</c:v>
                </c:pt>
                <c:pt idx="69">
                  <c:v>0.14869868816676199</c:v>
                </c:pt>
                <c:pt idx="70">
                  <c:v>0.13579095061789997</c:v>
                </c:pt>
                <c:pt idx="71">
                  <c:v>0.12410898562254885</c:v>
                </c:pt>
                <c:pt idx="72">
                  <c:v>0.11348889529656393</c:v>
                </c:pt>
                <c:pt idx="73">
                  <c:v>0.10417010493867447</c:v>
                </c:pt>
                <c:pt idx="74">
                  <c:v>9.5120500185272863E-2</c:v>
                </c:pt>
                <c:pt idx="75">
                  <c:v>8.6784501822648116E-2</c:v>
                </c:pt>
                <c:pt idx="76">
                  <c:v>7.923919120356375E-2</c:v>
                </c:pt>
                <c:pt idx="77">
                  <c:v>7.2416079700945574E-2</c:v>
                </c:pt>
                <c:pt idx="78">
                  <c:v>6.6264526446317168E-2</c:v>
                </c:pt>
                <c:pt idx="79">
                  <c:v>6.0399520751328269E-2</c:v>
                </c:pt>
                <c:pt idx="80">
                  <c:v>5.5210923884280852E-2</c:v>
                </c:pt>
                <c:pt idx="81">
                  <c:v>5.060683850731422E-2</c:v>
                </c:pt>
                <c:pt idx="82">
                  <c:v>4.6116301621228449E-2</c:v>
                </c:pt>
                <c:pt idx="83">
                  <c:v>4.2194053033994559E-2</c:v>
                </c:pt>
                <c:pt idx="84">
                  <c:v>3.8652634032861843E-2</c:v>
                </c:pt>
                <c:pt idx="85">
                  <c:v>3.5244280532638235E-2</c:v>
                </c:pt>
                <c:pt idx="86">
                  <c:v>3.223829953301309E-2</c:v>
                </c:pt>
                <c:pt idx="87">
                  <c:v>2.9456500461110993E-2</c:v>
                </c:pt>
                <c:pt idx="88">
                  <c:v>2.691231599862038E-2</c:v>
                </c:pt>
                <c:pt idx="89">
                  <c:v>2.4627592938941307E-2</c:v>
                </c:pt>
                <c:pt idx="90">
                  <c:v>2.2540385138296502E-2</c:v>
                </c:pt>
                <c:pt idx="91">
                  <c:v>2.059363273846878E-2</c:v>
                </c:pt>
                <c:pt idx="92">
                  <c:v>1.8815107050227212E-2</c:v>
                </c:pt>
                <c:pt idx="93">
                  <c:v>1.7192577168149085E-2</c:v>
                </c:pt>
                <c:pt idx="94">
                  <c:v>1.5727432840065496E-2</c:v>
                </c:pt>
                <c:pt idx="95">
                  <c:v>1.4365048300755093E-2</c:v>
                </c:pt>
                <c:pt idx="96">
                  <c:v>1.3139065906277165E-2</c:v>
                </c:pt>
                <c:pt idx="97">
                  <c:v>1.2010388984916664E-2</c:v>
                </c:pt>
                <c:pt idx="98">
                  <c:v>1.0973502611553308E-2</c:v>
                </c:pt>
                <c:pt idx="99">
                  <c:v>1.002550962969395E-2</c:v>
                </c:pt>
                <c:pt idx="100">
                  <c:v>9.1815450551547967E-3</c:v>
                </c:pt>
                <c:pt idx="101">
                  <c:v>8.4052252527068248E-3</c:v>
                </c:pt>
                <c:pt idx="102">
                  <c:v>7.6415373880217938E-3</c:v>
                </c:pt>
                <c:pt idx="103">
                  <c:v>7.0043735013511988E-3</c:v>
                </c:pt>
                <c:pt idx="104">
                  <c:v>6.3895636598669944E-3</c:v>
                </c:pt>
                <c:pt idx="105">
                  <c:v>5.8426387697465519E-3</c:v>
                </c:pt>
                <c:pt idx="106">
                  <c:v>5.3559037002400556E-3</c:v>
                </c:pt>
                <c:pt idx="107">
                  <c:v>4.8992026143405117E-3</c:v>
                </c:pt>
                <c:pt idx="108">
                  <c:v>4.477260677796263E-3</c:v>
                </c:pt>
                <c:pt idx="109">
                  <c:v>4.0914729517139755E-3</c:v>
                </c:pt>
                <c:pt idx="110">
                  <c:v>3.7283976853773465E-3</c:v>
                </c:pt>
                <c:pt idx="111">
                  <c:v>3.4137495310801267E-3</c:v>
                </c:pt>
                <c:pt idx="112">
                  <c:v>3.1211155168533919E-3</c:v>
                </c:pt>
                <c:pt idx="113">
                  <c:v>2.8521574507248747E-3</c:v>
                </c:pt>
                <c:pt idx="114">
                  <c:v>2.6071021257060992E-3</c:v>
                </c:pt>
                <c:pt idx="115">
                  <c:v>2.3851537416477056E-3</c:v>
                </c:pt>
                <c:pt idx="116">
                  <c:v>2.1806007333523537E-3</c:v>
                </c:pt>
                <c:pt idx="117">
                  <c:v>1.9938254227091128E-3</c:v>
                </c:pt>
                <c:pt idx="118">
                  <c:v>1.8362884507970806E-3</c:v>
                </c:pt>
              </c:numCache>
            </c:numRef>
          </c:xVal>
          <c:yVal>
            <c:numRef>
              <c:f>Table!$J$18:$J$136</c:f>
              <c:numCache>
                <c:formatCode>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7.8458375206214726E-3</c:v>
                </c:pt>
                <c:pt idx="34">
                  <c:v>2.1544537636871055E-2</c:v>
                </c:pt>
                <c:pt idx="35">
                  <c:v>1.4578956516419968E-2</c:v>
                </c:pt>
                <c:pt idx="36">
                  <c:v>1.6299873138737823E-2</c:v>
                </c:pt>
                <c:pt idx="37">
                  <c:v>2.3937190748963322E-2</c:v>
                </c:pt>
                <c:pt idx="38">
                  <c:v>3.0904440020358699E-2</c:v>
                </c:pt>
                <c:pt idx="39">
                  <c:v>3.3198575246181201E-2</c:v>
                </c:pt>
                <c:pt idx="40">
                  <c:v>3.6219200034277539E-2</c:v>
                </c:pt>
                <c:pt idx="41">
                  <c:v>3.4299103174314935E-2</c:v>
                </c:pt>
                <c:pt idx="42">
                  <c:v>4.5473569524249233E-2</c:v>
                </c:pt>
                <c:pt idx="43">
                  <c:v>5.8367178478026242E-2</c:v>
                </c:pt>
                <c:pt idx="44">
                  <c:v>7.1055215357588838E-2</c:v>
                </c:pt>
                <c:pt idx="45">
                  <c:v>0.10540011094892675</c:v>
                </c:pt>
                <c:pt idx="46">
                  <c:v>0.183126501070287</c:v>
                </c:pt>
                <c:pt idx="47">
                  <c:v>0.24005257438779604</c:v>
                </c:pt>
                <c:pt idx="48">
                  <c:v>0.35975327486263164</c:v>
                </c:pt>
                <c:pt idx="49">
                  <c:v>0.50546156587072844</c:v>
                </c:pt>
                <c:pt idx="50">
                  <c:v>0.55897792326955598</c:v>
                </c:pt>
                <c:pt idx="51">
                  <c:v>0.60558043071918555</c:v>
                </c:pt>
                <c:pt idx="52">
                  <c:v>0.56014066506414495</c:v>
                </c:pt>
                <c:pt idx="53">
                  <c:v>0.61982167966906532</c:v>
                </c:pt>
                <c:pt idx="54">
                  <c:v>0.57772919255809074</c:v>
                </c:pt>
                <c:pt idx="55">
                  <c:v>0.53063020863957977</c:v>
                </c:pt>
                <c:pt idx="56">
                  <c:v>0.51302824250620727</c:v>
                </c:pt>
                <c:pt idx="57">
                  <c:v>0.48797728371073001</c:v>
                </c:pt>
                <c:pt idx="58">
                  <c:v>0.48707486245440784</c:v>
                </c:pt>
                <c:pt idx="59">
                  <c:v>0.48655083055887094</c:v>
                </c:pt>
                <c:pt idx="60">
                  <c:v>0.47697576682671861</c:v>
                </c:pt>
                <c:pt idx="61">
                  <c:v>0.45168133386846743</c:v>
                </c:pt>
                <c:pt idx="62">
                  <c:v>0.44863623272227299</c:v>
                </c:pt>
                <c:pt idx="63">
                  <c:v>0.46320630309439237</c:v>
                </c:pt>
                <c:pt idx="64">
                  <c:v>0.45330672522015619</c:v>
                </c:pt>
                <c:pt idx="65">
                  <c:v>0.45975219468670042</c:v>
                </c:pt>
                <c:pt idx="66">
                  <c:v>0.45434770094371463</c:v>
                </c:pt>
                <c:pt idx="67">
                  <c:v>0.46007556635920144</c:v>
                </c:pt>
                <c:pt idx="68">
                  <c:v>0.45705183204151123</c:v>
                </c:pt>
                <c:pt idx="69">
                  <c:v>0.46190826733596352</c:v>
                </c:pt>
                <c:pt idx="70">
                  <c:v>0.46406823070039321</c:v>
                </c:pt>
                <c:pt idx="71">
                  <c:v>0.46231325521128569</c:v>
                </c:pt>
                <c:pt idx="72">
                  <c:v>0.4682963163515752</c:v>
                </c:pt>
                <c:pt idx="73">
                  <c:v>0.46870881727498742</c:v>
                </c:pt>
                <c:pt idx="74">
                  <c:v>0.47075851101164196</c:v>
                </c:pt>
                <c:pt idx="75">
                  <c:v>0.46507876129658099</c:v>
                </c:pt>
                <c:pt idx="76">
                  <c:v>0.45474723199652156</c:v>
                </c:pt>
                <c:pt idx="77">
                  <c:v>0.4538700814655115</c:v>
                </c:pt>
                <c:pt idx="78">
                  <c:v>0.4406987472745344</c:v>
                </c:pt>
                <c:pt idx="79">
                  <c:v>0.43429867374896314</c:v>
                </c:pt>
                <c:pt idx="80">
                  <c:v>0.41812104812480866</c:v>
                </c:pt>
                <c:pt idx="81">
                  <c:v>0.40155763335388506</c:v>
                </c:pt>
                <c:pt idx="82">
                  <c:v>0.39598654645866116</c:v>
                </c:pt>
                <c:pt idx="83">
                  <c:v>0.36533812499866575</c:v>
                </c:pt>
                <c:pt idx="84">
                  <c:v>0.33839359754607312</c:v>
                </c:pt>
                <c:pt idx="85">
                  <c:v>0.33702827260618395</c:v>
                </c:pt>
                <c:pt idx="86">
                  <c:v>0.32947260070423945</c:v>
                </c:pt>
                <c:pt idx="87">
                  <c:v>0.29909198930732706</c:v>
                </c:pt>
                <c:pt idx="88">
                  <c:v>0.29283138961699084</c:v>
                </c:pt>
                <c:pt idx="89">
                  <c:v>0.26959987251789991</c:v>
                </c:pt>
                <c:pt idx="90">
                  <c:v>0.27421536457237533</c:v>
                </c:pt>
                <c:pt idx="91">
                  <c:v>0.24185989809411504</c:v>
                </c:pt>
                <c:pt idx="92">
                  <c:v>0.24867816226890596</c:v>
                </c:pt>
                <c:pt idx="93">
                  <c:v>0.22347915806601257</c:v>
                </c:pt>
                <c:pt idx="94">
                  <c:v>0.20601586343960165</c:v>
                </c:pt>
                <c:pt idx="95">
                  <c:v>0.21656804395215992</c:v>
                </c:pt>
                <c:pt idx="96">
                  <c:v>0.23834081662058579</c:v>
                </c:pt>
                <c:pt idx="97">
                  <c:v>7.7049896523715689E-2</c:v>
                </c:pt>
                <c:pt idx="98">
                  <c:v>0.26149969453087185</c:v>
                </c:pt>
                <c:pt idx="99">
                  <c:v>0.18516920261600572</c:v>
                </c:pt>
                <c:pt idx="100">
                  <c:v>0.20836092962051397</c:v>
                </c:pt>
                <c:pt idx="101">
                  <c:v>9.1345017337451054E-2</c:v>
                </c:pt>
                <c:pt idx="102">
                  <c:v>0.14917415065045422</c:v>
                </c:pt>
                <c:pt idx="103">
                  <c:v>0.14042033399417261</c:v>
                </c:pt>
                <c:pt idx="104">
                  <c:v>0.17859846239874441</c:v>
                </c:pt>
                <c:pt idx="105">
                  <c:v>0</c:v>
                </c:pt>
                <c:pt idx="106">
                  <c:v>0.15860970748664957</c:v>
                </c:pt>
                <c:pt idx="107">
                  <c:v>0.11339318022216335</c:v>
                </c:pt>
                <c:pt idx="108">
                  <c:v>8.4021659190257961E-2</c:v>
                </c:pt>
                <c:pt idx="109">
                  <c:v>8.0624094760797682E-2</c:v>
                </c:pt>
                <c:pt idx="110">
                  <c:v>2.0465883006434032E-3</c:v>
                </c:pt>
                <c:pt idx="111">
                  <c:v>7.8048616944704802E-2</c:v>
                </c:pt>
                <c:pt idx="112">
                  <c:v>5.548444196542307E-2</c:v>
                </c:pt>
                <c:pt idx="113">
                  <c:v>3.7170358233076822E-2</c:v>
                </c:pt>
                <c:pt idx="114">
                  <c:v>6.3335326401610298E-2</c:v>
                </c:pt>
                <c:pt idx="115">
                  <c:v>3.0459445112726614E-2</c:v>
                </c:pt>
                <c:pt idx="116">
                  <c:v>6.1099050012122104E-2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62656"/>
        <c:axId val="124277504"/>
      </c:scatterChart>
      <c:valAx>
        <c:axId val="124262656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10695397441207"/>
              <c:y val="0.94084587941074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24277504"/>
        <c:crosses val="autoZero"/>
        <c:crossBetween val="midCat"/>
      </c:valAx>
      <c:valAx>
        <c:axId val="1242775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 Sw / d LOG Pore Throat Rad.</a:t>
                </a:r>
              </a:p>
            </c:rich>
          </c:tx>
          <c:layout>
            <c:manualLayout>
              <c:xMode val="edge"/>
              <c:yMode val="edge"/>
              <c:x val="2.6667382486280127E-2"/>
              <c:y val="0.307192675084412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24262656"/>
        <c:crossesAt val="1.0000000000000041E-3"/>
        <c:crossBetween val="midCat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9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Pore Size Distribution VS Normalized Permeability</a:t>
            </a:r>
          </a:p>
        </c:rich>
      </c:tx>
      <c:layout>
        <c:manualLayout>
          <c:xMode val="edge"/>
          <c:yMode val="edge"/>
          <c:x val="0.2255588553160959"/>
          <c:y val="4.4207902105882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322"/>
        </c:manualLayout>
      </c:layout>
      <c:scatterChart>
        <c:scatterStyle val="smooth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73.42200080668016</c:v>
                </c:pt>
                <c:pt idx="1">
                  <c:v>69.24356952315469</c:v>
                </c:pt>
                <c:pt idx="2">
                  <c:v>61.261807581743831</c:v>
                </c:pt>
                <c:pt idx="3">
                  <c:v>55.011813992544901</c:v>
                </c:pt>
                <c:pt idx="4">
                  <c:v>50.976847740130736</c:v>
                </c:pt>
                <c:pt idx="5">
                  <c:v>46.830840466908342</c:v>
                </c:pt>
                <c:pt idx="6">
                  <c:v>42.626215623145804</c:v>
                </c:pt>
                <c:pt idx="7">
                  <c:v>39.126724348728537</c:v>
                </c:pt>
                <c:pt idx="8">
                  <c:v>35.363720273779329</c:v>
                </c:pt>
                <c:pt idx="9">
                  <c:v>32.387962217301606</c:v>
                </c:pt>
                <c:pt idx="10">
                  <c:v>29.714322242562652</c:v>
                </c:pt>
                <c:pt idx="11">
                  <c:v>27.164680083407898</c:v>
                </c:pt>
                <c:pt idx="12">
                  <c:v>24.876805840072183</c:v>
                </c:pt>
                <c:pt idx="13">
                  <c:v>22.729491158822963</c:v>
                </c:pt>
                <c:pt idx="14">
                  <c:v>20.79826008825809</c:v>
                </c:pt>
                <c:pt idx="15">
                  <c:v>18.976756950361125</c:v>
                </c:pt>
                <c:pt idx="16">
                  <c:v>17.355528310394153</c:v>
                </c:pt>
                <c:pt idx="17">
                  <c:v>15.860514718801511</c:v>
                </c:pt>
                <c:pt idx="18">
                  <c:v>14.505439317385937</c:v>
                </c:pt>
                <c:pt idx="19">
                  <c:v>13.252477583718827</c:v>
                </c:pt>
                <c:pt idx="20">
                  <c:v>12.103992819678972</c:v>
                </c:pt>
                <c:pt idx="21">
                  <c:v>11.066073122232257</c:v>
                </c:pt>
                <c:pt idx="22">
                  <c:v>10.142921860005581</c:v>
                </c:pt>
                <c:pt idx="23">
                  <c:v>9.1952907302666702</c:v>
                </c:pt>
                <c:pt idx="24">
                  <c:v>8.4908087791418367</c:v>
                </c:pt>
                <c:pt idx="25">
                  <c:v>7.7128391185942933</c:v>
                </c:pt>
                <c:pt idx="26">
                  <c:v>7.0664528123847914</c:v>
                </c:pt>
                <c:pt idx="27">
                  <c:v>6.4787906883195845</c:v>
                </c:pt>
                <c:pt idx="28">
                  <c:v>5.9072547677552896</c:v>
                </c:pt>
                <c:pt idx="29">
                  <c:v>5.3929021868053608</c:v>
                </c:pt>
                <c:pt idx="30">
                  <c:v>4.9232655123578386</c:v>
                </c:pt>
                <c:pt idx="31">
                  <c:v>4.5017607943175131</c:v>
                </c:pt>
                <c:pt idx="32">
                  <c:v>4.1083857032854265</c:v>
                </c:pt>
                <c:pt idx="33">
                  <c:v>3.7701031715887732</c:v>
                </c:pt>
                <c:pt idx="34">
                  <c:v>3.5452979768883282</c:v>
                </c:pt>
                <c:pt idx="35">
                  <c:v>3.263515456614174</c:v>
                </c:pt>
                <c:pt idx="36">
                  <c:v>2.9730807474824879</c:v>
                </c:pt>
                <c:pt idx="37">
                  <c:v>2.6944420286622903</c:v>
                </c:pt>
                <c:pt idx="38">
                  <c:v>2.4614124759942801</c:v>
                </c:pt>
                <c:pt idx="39">
                  <c:v>2.2439775047676438</c:v>
                </c:pt>
                <c:pt idx="40">
                  <c:v>2.0478048308840804</c:v>
                </c:pt>
                <c:pt idx="41">
                  <c:v>1.8621745247819794</c:v>
                </c:pt>
                <c:pt idx="42">
                  <c:v>1.7117444865928124</c:v>
                </c:pt>
                <c:pt idx="43">
                  <c:v>1.5523783026039588</c:v>
                </c:pt>
                <c:pt idx="44">
                  <c:v>1.4232535171058742</c:v>
                </c:pt>
                <c:pt idx="45">
                  <c:v>1.2980935633450326</c:v>
                </c:pt>
                <c:pt idx="46">
                  <c:v>1.1872438757903845</c:v>
                </c:pt>
                <c:pt idx="47">
                  <c:v>1.0803945439523341</c:v>
                </c:pt>
                <c:pt idx="48">
                  <c:v>0.98499855906258527</c:v>
                </c:pt>
                <c:pt idx="49">
                  <c:v>0.9055906191376486</c:v>
                </c:pt>
                <c:pt idx="50">
                  <c:v>0.82322247611942856</c:v>
                </c:pt>
                <c:pt idx="51">
                  <c:v>0.75390386163407397</c:v>
                </c:pt>
                <c:pt idx="52">
                  <c:v>0.68697628240073361</c:v>
                </c:pt>
                <c:pt idx="53">
                  <c:v>0.62882808806816903</c:v>
                </c:pt>
                <c:pt idx="54">
                  <c:v>0.57496781343237424</c:v>
                </c:pt>
                <c:pt idx="55">
                  <c:v>0.525431300321757</c:v>
                </c:pt>
                <c:pt idx="56">
                  <c:v>0.47975091226405431</c:v>
                </c:pt>
                <c:pt idx="57">
                  <c:v>0.43715521501389609</c:v>
                </c:pt>
                <c:pt idx="58">
                  <c:v>0.40049476076279539</c:v>
                </c:pt>
                <c:pt idx="59">
                  <c:v>0.36581101140285127</c:v>
                </c:pt>
                <c:pt idx="60">
                  <c:v>0.33441065057813851</c:v>
                </c:pt>
                <c:pt idx="61">
                  <c:v>0.30550854132911748</c:v>
                </c:pt>
                <c:pt idx="62">
                  <c:v>0.27874701386528861</c:v>
                </c:pt>
                <c:pt idx="63">
                  <c:v>0.25482509367765094</c:v>
                </c:pt>
                <c:pt idx="64">
                  <c:v>0.23280112641001183</c:v>
                </c:pt>
                <c:pt idx="65">
                  <c:v>0.21298345795641352</c:v>
                </c:pt>
                <c:pt idx="66">
                  <c:v>0.19443693572209195</c:v>
                </c:pt>
                <c:pt idx="67">
                  <c:v>0.17805643636702131</c:v>
                </c:pt>
                <c:pt idx="68">
                  <c:v>0.16259146969404981</c:v>
                </c:pt>
                <c:pt idx="69">
                  <c:v>0.14869868816676199</c:v>
                </c:pt>
                <c:pt idx="70">
                  <c:v>0.13579095061789997</c:v>
                </c:pt>
                <c:pt idx="71">
                  <c:v>0.12410898562254885</c:v>
                </c:pt>
                <c:pt idx="72">
                  <c:v>0.11348889529656393</c:v>
                </c:pt>
                <c:pt idx="73">
                  <c:v>0.10417010493867447</c:v>
                </c:pt>
                <c:pt idx="74">
                  <c:v>9.5120500185272863E-2</c:v>
                </c:pt>
                <c:pt idx="75">
                  <c:v>8.6784501822648116E-2</c:v>
                </c:pt>
                <c:pt idx="76">
                  <c:v>7.923919120356375E-2</c:v>
                </c:pt>
                <c:pt idx="77">
                  <c:v>7.2416079700945574E-2</c:v>
                </c:pt>
                <c:pt idx="78">
                  <c:v>6.6264526446317168E-2</c:v>
                </c:pt>
                <c:pt idx="79">
                  <c:v>6.0399520751328269E-2</c:v>
                </c:pt>
                <c:pt idx="80">
                  <c:v>5.5210923884280852E-2</c:v>
                </c:pt>
                <c:pt idx="81">
                  <c:v>5.060683850731422E-2</c:v>
                </c:pt>
                <c:pt idx="82">
                  <c:v>4.6116301621228449E-2</c:v>
                </c:pt>
                <c:pt idx="83">
                  <c:v>4.2194053033994559E-2</c:v>
                </c:pt>
                <c:pt idx="84">
                  <c:v>3.8652634032861843E-2</c:v>
                </c:pt>
                <c:pt idx="85">
                  <c:v>3.5244280532638235E-2</c:v>
                </c:pt>
                <c:pt idx="86">
                  <c:v>3.223829953301309E-2</c:v>
                </c:pt>
                <c:pt idx="87">
                  <c:v>2.9456500461110993E-2</c:v>
                </c:pt>
                <c:pt idx="88">
                  <c:v>2.691231599862038E-2</c:v>
                </c:pt>
                <c:pt idx="89">
                  <c:v>2.4627592938941307E-2</c:v>
                </c:pt>
                <c:pt idx="90">
                  <c:v>2.2540385138296502E-2</c:v>
                </c:pt>
                <c:pt idx="91">
                  <c:v>2.059363273846878E-2</c:v>
                </c:pt>
                <c:pt idx="92">
                  <c:v>1.8815107050227212E-2</c:v>
                </c:pt>
                <c:pt idx="93">
                  <c:v>1.7192577168149085E-2</c:v>
                </c:pt>
                <c:pt idx="94">
                  <c:v>1.5727432840065496E-2</c:v>
                </c:pt>
                <c:pt idx="95">
                  <c:v>1.4365048300755093E-2</c:v>
                </c:pt>
                <c:pt idx="96">
                  <c:v>1.3139065906277165E-2</c:v>
                </c:pt>
                <c:pt idx="97">
                  <c:v>1.2010388984916664E-2</c:v>
                </c:pt>
                <c:pt idx="98">
                  <c:v>1.0973502611553308E-2</c:v>
                </c:pt>
                <c:pt idx="99">
                  <c:v>1.002550962969395E-2</c:v>
                </c:pt>
                <c:pt idx="100">
                  <c:v>9.1815450551547967E-3</c:v>
                </c:pt>
                <c:pt idx="101">
                  <c:v>8.4052252527068248E-3</c:v>
                </c:pt>
                <c:pt idx="102">
                  <c:v>7.6415373880217938E-3</c:v>
                </c:pt>
                <c:pt idx="103">
                  <c:v>7.0043735013511988E-3</c:v>
                </c:pt>
                <c:pt idx="104">
                  <c:v>6.3895636598669944E-3</c:v>
                </c:pt>
                <c:pt idx="105">
                  <c:v>5.8426387697465519E-3</c:v>
                </c:pt>
                <c:pt idx="106">
                  <c:v>5.3559037002400556E-3</c:v>
                </c:pt>
                <c:pt idx="107">
                  <c:v>4.8992026143405117E-3</c:v>
                </c:pt>
                <c:pt idx="108">
                  <c:v>4.477260677796263E-3</c:v>
                </c:pt>
                <c:pt idx="109">
                  <c:v>4.0914729517139755E-3</c:v>
                </c:pt>
                <c:pt idx="110">
                  <c:v>3.7283976853773465E-3</c:v>
                </c:pt>
                <c:pt idx="111">
                  <c:v>3.4137495310801267E-3</c:v>
                </c:pt>
                <c:pt idx="112">
                  <c:v>3.1211155168533919E-3</c:v>
                </c:pt>
                <c:pt idx="113">
                  <c:v>2.8521574507248747E-3</c:v>
                </c:pt>
                <c:pt idx="114">
                  <c:v>2.6071021257060992E-3</c:v>
                </c:pt>
                <c:pt idx="115">
                  <c:v>2.3851537416477056E-3</c:v>
                </c:pt>
                <c:pt idx="116">
                  <c:v>2.1806007333523537E-3</c:v>
                </c:pt>
                <c:pt idx="117">
                  <c:v>1.9938254227091128E-3</c:v>
                </c:pt>
                <c:pt idx="118">
                  <c:v>1.8362884507970806E-3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1.2298394890770633E-2</c:v>
                </c:pt>
                <c:pt idx="34">
                  <c:v>2.4162814060887647E-2</c:v>
                </c:pt>
                <c:pt idx="35">
                  <c:v>2.2025336500003472E-2</c:v>
                </c:pt>
                <c:pt idx="36">
                  <c:v>2.7714352410340246E-2</c:v>
                </c:pt>
                <c:pt idx="37">
                  <c:v>4.297115452286334E-2</c:v>
                </c:pt>
                <c:pt idx="38">
                  <c:v>5.0995585528343906E-2</c:v>
                </c:pt>
                <c:pt idx="39">
                  <c:v>5.6010312824320146E-2</c:v>
                </c:pt>
                <c:pt idx="40">
                  <c:v>6.0443246259816813E-2</c:v>
                </c:pt>
                <c:pt idx="41">
                  <c:v>5.9455107395516189E-2</c:v>
                </c:pt>
                <c:pt idx="42">
                  <c:v>6.9873250591520289E-2</c:v>
                </c:pt>
                <c:pt idx="43">
                  <c:v>0.10405170388594424</c:v>
                </c:pt>
                <c:pt idx="44">
                  <c:v>0.11256531009346364</c:v>
                </c:pt>
                <c:pt idx="45">
                  <c:v>0.17698415805860379</c:v>
                </c:pt>
                <c:pt idx="46">
                  <c:v>0.29819057215160749</c:v>
                </c:pt>
                <c:pt idx="47">
                  <c:v>0.41298232327988221</c:v>
                </c:pt>
                <c:pt idx="48">
                  <c:v>0.60666175343785544</c:v>
                </c:pt>
                <c:pt idx="49">
                  <c:v>0.77502525174928394</c:v>
                </c:pt>
                <c:pt idx="50">
                  <c:v>0.97238935570620011</c:v>
                </c:pt>
                <c:pt idx="51">
                  <c:v>0.97171853641951456</c:v>
                </c:pt>
                <c:pt idx="52">
                  <c:v>0.94993165424482029</c:v>
                </c:pt>
                <c:pt idx="53">
                  <c:v>1</c:v>
                </c:pt>
                <c:pt idx="54">
                  <c:v>0.94370321983345229</c:v>
                </c:pt>
                <c:pt idx="55">
                  <c:v>0.87209976596906713</c:v>
                </c:pt>
                <c:pt idx="56">
                  <c:v>0.85119855358772878</c:v>
                </c:pt>
                <c:pt idx="57">
                  <c:v>0.82767254701186843</c:v>
                </c:pt>
                <c:pt idx="58">
                  <c:v>0.77824057507575473</c:v>
                </c:pt>
                <c:pt idx="59">
                  <c:v>0.80399686372778179</c:v>
                </c:pt>
                <c:pt idx="60">
                  <c:v>0.78089411512815265</c:v>
                </c:pt>
                <c:pt idx="61">
                  <c:v>0.74479625629806778</c:v>
                </c:pt>
                <c:pt idx="62">
                  <c:v>0.75025995176643079</c:v>
                </c:pt>
                <c:pt idx="63">
                  <c:v>0.75818290493744966</c:v>
                </c:pt>
                <c:pt idx="64">
                  <c:v>0.74748349839072659</c:v>
                </c:pt>
                <c:pt idx="65">
                  <c:v>0.74617903118529072</c:v>
                </c:pt>
                <c:pt idx="66">
                  <c:v>0.75511601927360206</c:v>
                </c:pt>
                <c:pt idx="67">
                  <c:v>0.7386238267477232</c:v>
                </c:pt>
                <c:pt idx="68">
                  <c:v>0.75755247853725061</c:v>
                </c:pt>
                <c:pt idx="69">
                  <c:v>0.75261612087533869</c:v>
                </c:pt>
                <c:pt idx="70">
                  <c:v>0.76872173117468445</c:v>
                </c:pt>
                <c:pt idx="71">
                  <c:v>0.75865473350111634</c:v>
                </c:pt>
                <c:pt idx="72">
                  <c:v>0.76418979799591746</c:v>
                </c:pt>
                <c:pt idx="73">
                  <c:v>0.73258323164899208</c:v>
                </c:pt>
                <c:pt idx="74">
                  <c:v>0.78045004118587236</c:v>
                </c:pt>
                <c:pt idx="75">
                  <c:v>0.77812460040779508</c:v>
                </c:pt>
                <c:pt idx="76">
                  <c:v>0.75453911964323161</c:v>
                </c:pt>
                <c:pt idx="77">
                  <c:v>0.74551292027187488</c:v>
                </c:pt>
                <c:pt idx="78">
                  <c:v>0.71367638706198833</c:v>
                </c:pt>
                <c:pt idx="79">
                  <c:v>0.73420885947339498</c:v>
                </c:pt>
                <c:pt idx="80">
                  <c:v>0.68509705691977274</c:v>
                </c:pt>
                <c:pt idx="81">
                  <c:v>0.63784084905351912</c:v>
                </c:pt>
                <c:pt idx="82">
                  <c:v>0.67122172869658903</c:v>
                </c:pt>
                <c:pt idx="83">
                  <c:v>0.59239265652367556</c:v>
                </c:pt>
                <c:pt idx="84">
                  <c:v>0.5411536604876297</c:v>
                </c:pt>
                <c:pt idx="85">
                  <c:v>0.56754235801280706</c:v>
                </c:pt>
                <c:pt idx="86">
                  <c:v>0.535804948450745</c:v>
                </c:pt>
                <c:pt idx="87">
                  <c:v>0.49235905360706278</c:v>
                </c:pt>
                <c:pt idx="88">
                  <c:v>0.48253391763419318</c:v>
                </c:pt>
                <c:pt idx="89">
                  <c:v>0.43631454312424173</c:v>
                </c:pt>
                <c:pt idx="90">
                  <c:v>0.44299547698794411</c:v>
                </c:pt>
                <c:pt idx="91">
                  <c:v>0.39852464362570417</c:v>
                </c:pt>
                <c:pt idx="92">
                  <c:v>0.40973751066818753</c:v>
                </c:pt>
                <c:pt idx="93">
                  <c:v>0.36764960979975586</c:v>
                </c:pt>
                <c:pt idx="94">
                  <c:v>0.33474452366626439</c:v>
                </c:pt>
                <c:pt idx="95">
                  <c:v>0.35796324693385556</c:v>
                </c:pt>
                <c:pt idx="96">
                  <c:v>0.38786290406516305</c:v>
                </c:pt>
                <c:pt idx="97">
                  <c:v>0.12624387787570399</c:v>
                </c:pt>
                <c:pt idx="98">
                  <c:v>0.43070414465708373</c:v>
                </c:pt>
                <c:pt idx="99">
                  <c:v>0.30519378177532436</c:v>
                </c:pt>
                <c:pt idx="100">
                  <c:v>0.33424494048121128</c:v>
                </c:pt>
                <c:pt idx="101">
                  <c:v>0.14720654691868848</c:v>
                </c:pt>
                <c:pt idx="102">
                  <c:v>0.25921230402015744</c:v>
                </c:pt>
                <c:pt idx="103">
                  <c:v>0.22302027772463173</c:v>
                </c:pt>
                <c:pt idx="104">
                  <c:v>0.29930980204016738</c:v>
                </c:pt>
                <c:pt idx="105">
                  <c:v>0</c:v>
                </c:pt>
                <c:pt idx="106">
                  <c:v>0.25167494183919714</c:v>
                </c:pt>
                <c:pt idx="107">
                  <c:v>0.18436205507111994</c:v>
                </c:pt>
                <c:pt idx="108">
                  <c:v>0.13803959196741361</c:v>
                </c:pt>
                <c:pt idx="109">
                  <c:v>0.13252435220217781</c:v>
                </c:pt>
                <c:pt idx="110">
                  <c:v>3.4693276740319738E-3</c:v>
                </c:pt>
                <c:pt idx="111">
                  <c:v>0.12553018761133175</c:v>
                </c:pt>
                <c:pt idx="112">
                  <c:v>9.0710032601768409E-2</c:v>
                </c:pt>
                <c:pt idx="113">
                  <c:v>6.1103781468041546E-2</c:v>
                </c:pt>
                <c:pt idx="114">
                  <c:v>0.10379435411526722</c:v>
                </c:pt>
                <c:pt idx="115">
                  <c:v>4.943891059146386E-2</c:v>
                </c:pt>
                <c:pt idx="116">
                  <c:v>9.9936461741737051E-2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Normalized Permeability</c:v>
          </c:tx>
          <c:marker>
            <c:symbol val="circle"/>
            <c:size val="5"/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73.42200080668016</c:v>
                </c:pt>
                <c:pt idx="1">
                  <c:v>69.24356952315469</c:v>
                </c:pt>
                <c:pt idx="2">
                  <c:v>61.261807581743831</c:v>
                </c:pt>
                <c:pt idx="3">
                  <c:v>55.011813992544901</c:v>
                </c:pt>
                <c:pt idx="4">
                  <c:v>50.976847740130736</c:v>
                </c:pt>
                <c:pt idx="5">
                  <c:v>46.830840466908342</c:v>
                </c:pt>
                <c:pt idx="6">
                  <c:v>42.626215623145804</c:v>
                </c:pt>
                <c:pt idx="7">
                  <c:v>39.126724348728537</c:v>
                </c:pt>
                <c:pt idx="8">
                  <c:v>35.363720273779329</c:v>
                </c:pt>
                <c:pt idx="9">
                  <c:v>32.387962217301606</c:v>
                </c:pt>
                <c:pt idx="10">
                  <c:v>29.714322242562652</c:v>
                </c:pt>
                <c:pt idx="11">
                  <c:v>27.164680083407898</c:v>
                </c:pt>
                <c:pt idx="12">
                  <c:v>24.876805840072183</c:v>
                </c:pt>
                <c:pt idx="13">
                  <c:v>22.729491158822963</c:v>
                </c:pt>
                <c:pt idx="14">
                  <c:v>20.79826008825809</c:v>
                </c:pt>
                <c:pt idx="15">
                  <c:v>18.976756950361125</c:v>
                </c:pt>
                <c:pt idx="16">
                  <c:v>17.355528310394153</c:v>
                </c:pt>
                <c:pt idx="17">
                  <c:v>15.860514718801511</c:v>
                </c:pt>
                <c:pt idx="18">
                  <c:v>14.505439317385937</c:v>
                </c:pt>
                <c:pt idx="19">
                  <c:v>13.252477583718827</c:v>
                </c:pt>
                <c:pt idx="20">
                  <c:v>12.103992819678972</c:v>
                </c:pt>
                <c:pt idx="21">
                  <c:v>11.066073122232257</c:v>
                </c:pt>
                <c:pt idx="22">
                  <c:v>10.142921860005581</c:v>
                </c:pt>
                <c:pt idx="23">
                  <c:v>9.1952907302666702</c:v>
                </c:pt>
                <c:pt idx="24">
                  <c:v>8.4908087791418367</c:v>
                </c:pt>
                <c:pt idx="25">
                  <c:v>7.7128391185942933</c:v>
                </c:pt>
                <c:pt idx="26">
                  <c:v>7.0664528123847914</c:v>
                </c:pt>
                <c:pt idx="27">
                  <c:v>6.4787906883195845</c:v>
                </c:pt>
                <c:pt idx="28">
                  <c:v>5.9072547677552896</c:v>
                </c:pt>
                <c:pt idx="29">
                  <c:v>5.3929021868053608</c:v>
                </c:pt>
                <c:pt idx="30">
                  <c:v>4.9232655123578386</c:v>
                </c:pt>
                <c:pt idx="31">
                  <c:v>4.5017607943175131</c:v>
                </c:pt>
                <c:pt idx="32">
                  <c:v>4.1083857032854265</c:v>
                </c:pt>
                <c:pt idx="33">
                  <c:v>3.7701031715887732</c:v>
                </c:pt>
                <c:pt idx="34">
                  <c:v>3.5452979768883282</c:v>
                </c:pt>
                <c:pt idx="35">
                  <c:v>3.263515456614174</c:v>
                </c:pt>
                <c:pt idx="36">
                  <c:v>2.9730807474824879</c:v>
                </c:pt>
                <c:pt idx="37">
                  <c:v>2.6944420286622903</c:v>
                </c:pt>
                <c:pt idx="38">
                  <c:v>2.4614124759942801</c:v>
                </c:pt>
                <c:pt idx="39">
                  <c:v>2.2439775047676438</c:v>
                </c:pt>
                <c:pt idx="40">
                  <c:v>2.0478048308840804</c:v>
                </c:pt>
                <c:pt idx="41">
                  <c:v>1.8621745247819794</c:v>
                </c:pt>
                <c:pt idx="42">
                  <c:v>1.7117444865928124</c:v>
                </c:pt>
                <c:pt idx="43">
                  <c:v>1.5523783026039588</c:v>
                </c:pt>
                <c:pt idx="44">
                  <c:v>1.4232535171058742</c:v>
                </c:pt>
                <c:pt idx="45">
                  <c:v>1.2980935633450326</c:v>
                </c:pt>
                <c:pt idx="46">
                  <c:v>1.1872438757903845</c:v>
                </c:pt>
                <c:pt idx="47">
                  <c:v>1.0803945439523341</c:v>
                </c:pt>
                <c:pt idx="48">
                  <c:v>0.98499855906258527</c:v>
                </c:pt>
                <c:pt idx="49">
                  <c:v>0.9055906191376486</c:v>
                </c:pt>
                <c:pt idx="50">
                  <c:v>0.82322247611942856</c:v>
                </c:pt>
                <c:pt idx="51">
                  <c:v>0.75390386163407397</c:v>
                </c:pt>
                <c:pt idx="52">
                  <c:v>0.68697628240073361</c:v>
                </c:pt>
                <c:pt idx="53">
                  <c:v>0.62882808806816903</c:v>
                </c:pt>
                <c:pt idx="54">
                  <c:v>0.57496781343237424</c:v>
                </c:pt>
                <c:pt idx="55">
                  <c:v>0.525431300321757</c:v>
                </c:pt>
                <c:pt idx="56">
                  <c:v>0.47975091226405431</c:v>
                </c:pt>
                <c:pt idx="57">
                  <c:v>0.43715521501389609</c:v>
                </c:pt>
                <c:pt idx="58">
                  <c:v>0.40049476076279539</c:v>
                </c:pt>
                <c:pt idx="59">
                  <c:v>0.36581101140285127</c:v>
                </c:pt>
                <c:pt idx="60">
                  <c:v>0.33441065057813851</c:v>
                </c:pt>
                <c:pt idx="61">
                  <c:v>0.30550854132911748</c:v>
                </c:pt>
                <c:pt idx="62">
                  <c:v>0.27874701386528861</c:v>
                </c:pt>
                <c:pt idx="63">
                  <c:v>0.25482509367765094</c:v>
                </c:pt>
                <c:pt idx="64">
                  <c:v>0.23280112641001183</c:v>
                </c:pt>
                <c:pt idx="65">
                  <c:v>0.21298345795641352</c:v>
                </c:pt>
                <c:pt idx="66">
                  <c:v>0.19443693572209195</c:v>
                </c:pt>
                <c:pt idx="67">
                  <c:v>0.17805643636702131</c:v>
                </c:pt>
                <c:pt idx="68">
                  <c:v>0.16259146969404981</c:v>
                </c:pt>
                <c:pt idx="69">
                  <c:v>0.14869868816676199</c:v>
                </c:pt>
                <c:pt idx="70">
                  <c:v>0.13579095061789997</c:v>
                </c:pt>
                <c:pt idx="71">
                  <c:v>0.12410898562254885</c:v>
                </c:pt>
                <c:pt idx="72">
                  <c:v>0.11348889529656393</c:v>
                </c:pt>
                <c:pt idx="73">
                  <c:v>0.10417010493867447</c:v>
                </c:pt>
                <c:pt idx="74">
                  <c:v>9.5120500185272863E-2</c:v>
                </c:pt>
                <c:pt idx="75">
                  <c:v>8.6784501822648116E-2</c:v>
                </c:pt>
                <c:pt idx="76">
                  <c:v>7.923919120356375E-2</c:v>
                </c:pt>
                <c:pt idx="77">
                  <c:v>7.2416079700945574E-2</c:v>
                </c:pt>
                <c:pt idx="78">
                  <c:v>6.6264526446317168E-2</c:v>
                </c:pt>
                <c:pt idx="79">
                  <c:v>6.0399520751328269E-2</c:v>
                </c:pt>
                <c:pt idx="80">
                  <c:v>5.5210923884280852E-2</c:v>
                </c:pt>
                <c:pt idx="81">
                  <c:v>5.060683850731422E-2</c:v>
                </c:pt>
                <c:pt idx="82">
                  <c:v>4.6116301621228449E-2</c:v>
                </c:pt>
                <c:pt idx="83">
                  <c:v>4.2194053033994559E-2</c:v>
                </c:pt>
                <c:pt idx="84">
                  <c:v>3.8652634032861843E-2</c:v>
                </c:pt>
                <c:pt idx="85">
                  <c:v>3.5244280532638235E-2</c:v>
                </c:pt>
                <c:pt idx="86">
                  <c:v>3.223829953301309E-2</c:v>
                </c:pt>
                <c:pt idx="87">
                  <c:v>2.9456500461110993E-2</c:v>
                </c:pt>
                <c:pt idx="88">
                  <c:v>2.691231599862038E-2</c:v>
                </c:pt>
                <c:pt idx="89">
                  <c:v>2.4627592938941307E-2</c:v>
                </c:pt>
                <c:pt idx="90">
                  <c:v>2.2540385138296502E-2</c:v>
                </c:pt>
                <c:pt idx="91">
                  <c:v>2.059363273846878E-2</c:v>
                </c:pt>
                <c:pt idx="92">
                  <c:v>1.8815107050227212E-2</c:v>
                </c:pt>
                <c:pt idx="93">
                  <c:v>1.7192577168149085E-2</c:v>
                </c:pt>
                <c:pt idx="94">
                  <c:v>1.5727432840065496E-2</c:v>
                </c:pt>
                <c:pt idx="95">
                  <c:v>1.4365048300755093E-2</c:v>
                </c:pt>
                <c:pt idx="96">
                  <c:v>1.3139065906277165E-2</c:v>
                </c:pt>
                <c:pt idx="97">
                  <c:v>1.2010388984916664E-2</c:v>
                </c:pt>
                <c:pt idx="98">
                  <c:v>1.0973502611553308E-2</c:v>
                </c:pt>
                <c:pt idx="99">
                  <c:v>1.002550962969395E-2</c:v>
                </c:pt>
                <c:pt idx="100">
                  <c:v>9.1815450551547967E-3</c:v>
                </c:pt>
                <c:pt idx="101">
                  <c:v>8.4052252527068248E-3</c:v>
                </c:pt>
                <c:pt idx="102">
                  <c:v>7.6415373880217938E-3</c:v>
                </c:pt>
                <c:pt idx="103">
                  <c:v>7.0043735013511988E-3</c:v>
                </c:pt>
                <c:pt idx="104">
                  <c:v>6.3895636598669944E-3</c:v>
                </c:pt>
                <c:pt idx="105">
                  <c:v>5.8426387697465519E-3</c:v>
                </c:pt>
                <c:pt idx="106">
                  <c:v>5.3559037002400556E-3</c:v>
                </c:pt>
                <c:pt idx="107">
                  <c:v>4.8992026143405117E-3</c:v>
                </c:pt>
                <c:pt idx="108">
                  <c:v>4.477260677796263E-3</c:v>
                </c:pt>
                <c:pt idx="109">
                  <c:v>4.0914729517139755E-3</c:v>
                </c:pt>
                <c:pt idx="110">
                  <c:v>3.7283976853773465E-3</c:v>
                </c:pt>
                <c:pt idx="111">
                  <c:v>3.4137495310801267E-3</c:v>
                </c:pt>
                <c:pt idx="112">
                  <c:v>3.1211155168533919E-3</c:v>
                </c:pt>
                <c:pt idx="113">
                  <c:v>2.8521574507248747E-3</c:v>
                </c:pt>
                <c:pt idx="114">
                  <c:v>2.6071021257060992E-3</c:v>
                </c:pt>
                <c:pt idx="115">
                  <c:v>2.3851537416477056E-3</c:v>
                </c:pt>
                <c:pt idx="116">
                  <c:v>2.1806007333523537E-3</c:v>
                </c:pt>
                <c:pt idx="117">
                  <c:v>1.9938254227091128E-3</c:v>
                </c:pt>
                <c:pt idx="118">
                  <c:v>1.8362884507970806E-3</c:v>
                </c:pt>
              </c:numCache>
            </c:numRef>
          </c:xVal>
          <c:yVal>
            <c:numRef>
              <c:f>Table!$T$18:$T$136</c:f>
              <c:numCache>
                <c:formatCode>????0.000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0.98085793364947282</c:v>
                </c:pt>
                <c:pt idx="34">
                  <c:v>0.94760063956500695</c:v>
                </c:pt>
                <c:pt idx="35">
                  <c:v>0.92191278620969108</c:v>
                </c:pt>
                <c:pt idx="36">
                  <c:v>0.89508702480909819</c:v>
                </c:pt>
                <c:pt idx="37">
                  <c:v>0.86092460512743019</c:v>
                </c:pt>
                <c:pt idx="38">
                  <c:v>0.82709201160574275</c:v>
                </c:pt>
                <c:pt idx="39">
                  <c:v>0.79620763004352291</c:v>
                </c:pt>
                <c:pt idx="40">
                  <c:v>0.76845150593175249</c:v>
                </c:pt>
                <c:pt idx="41">
                  <c:v>0.74587463016395439</c:v>
                </c:pt>
                <c:pt idx="42">
                  <c:v>0.72345529465690839</c:v>
                </c:pt>
                <c:pt idx="43">
                  <c:v>0.69599670432946348</c:v>
                </c:pt>
                <c:pt idx="44">
                  <c:v>0.67102759697025793</c:v>
                </c:pt>
                <c:pt idx="45">
                  <c:v>0.63837029512971633</c:v>
                </c:pt>
                <c:pt idx="46">
                  <c:v>0.59234382199312763</c:v>
                </c:pt>
                <c:pt idx="47">
                  <c:v>0.53955643788720975</c:v>
                </c:pt>
                <c:pt idx="48">
                  <c:v>0.47510216409303352</c:v>
                </c:pt>
                <c:pt idx="49">
                  <c:v>0.40550146589943792</c:v>
                </c:pt>
                <c:pt idx="50">
                  <c:v>0.33333946812541193</c:v>
                </c:pt>
                <c:pt idx="51">
                  <c:v>0.27286022656142561</c:v>
                </c:pt>
                <c:pt idx="52">
                  <c:v>0.22376833571738264</c:v>
                </c:pt>
                <c:pt idx="53">
                  <c:v>0.18046735051895557</c:v>
                </c:pt>
                <c:pt idx="54">
                  <c:v>0.1463043177636415</c:v>
                </c:pt>
                <c:pt idx="55">
                  <c:v>0.11993906349476269</c:v>
                </c:pt>
                <c:pt idx="56">
                  <c:v>9.8485649744222581E-2</c:v>
                </c:pt>
                <c:pt idx="57">
                  <c:v>8.1165015501691751E-2</c:v>
                </c:pt>
                <c:pt idx="58">
                  <c:v>6.749586701755983E-2</c:v>
                </c:pt>
                <c:pt idx="59">
                  <c:v>5.5714333687609807E-2</c:v>
                </c:pt>
                <c:pt idx="60">
                  <c:v>4.6151507445344242E-2</c:v>
                </c:pt>
                <c:pt idx="61">
                  <c:v>3.8539168602581442E-2</c:v>
                </c:pt>
                <c:pt idx="62">
                  <c:v>3.215556185328583E-2</c:v>
                </c:pt>
                <c:pt idx="63">
                  <c:v>2.6764276906937279E-2</c:v>
                </c:pt>
                <c:pt idx="64">
                  <c:v>2.2328132475972873E-2</c:v>
                </c:pt>
                <c:pt idx="65">
                  <c:v>1.8621592388999186E-2</c:v>
                </c:pt>
                <c:pt idx="66">
                  <c:v>1.549547607400581E-2</c:v>
                </c:pt>
                <c:pt idx="67">
                  <c:v>1.2931153942334794E-2</c:v>
                </c:pt>
                <c:pt idx="68">
                  <c:v>1.0738136175559521E-2</c:v>
                </c:pt>
                <c:pt idx="69">
                  <c:v>8.9158285014054872E-3</c:v>
                </c:pt>
                <c:pt idx="70">
                  <c:v>7.3636390455231737E-3</c:v>
                </c:pt>
                <c:pt idx="71">
                  <c:v>6.0840086805530325E-3</c:v>
                </c:pt>
                <c:pt idx="72">
                  <c:v>5.006199481584539E-3</c:v>
                </c:pt>
                <c:pt idx="73">
                  <c:v>4.1356828152424585E-3</c:v>
                </c:pt>
                <c:pt idx="74">
                  <c:v>3.3624197410159207E-3</c:v>
                </c:pt>
                <c:pt idx="75">
                  <c:v>2.7206674784044926E-3</c:v>
                </c:pt>
                <c:pt idx="76">
                  <c:v>2.201872525631754E-3</c:v>
                </c:pt>
                <c:pt idx="77">
                  <c:v>1.7737588430188911E-3</c:v>
                </c:pt>
                <c:pt idx="78">
                  <c:v>1.430598227355584E-3</c:v>
                </c:pt>
                <c:pt idx="79">
                  <c:v>1.1372925163883885E-3</c:v>
                </c:pt>
                <c:pt idx="80">
                  <c:v>9.086083772871234E-4</c:v>
                </c:pt>
                <c:pt idx="81">
                  <c:v>7.2972719503905381E-4</c:v>
                </c:pt>
                <c:pt idx="82">
                  <c:v>5.7340924099680279E-4</c:v>
                </c:pt>
                <c:pt idx="83">
                  <c:v>4.5791879240220101E-4</c:v>
                </c:pt>
                <c:pt idx="84">
                  <c:v>3.6938425889954107E-4</c:v>
                </c:pt>
                <c:pt idx="85">
                  <c:v>2.9218564683997084E-4</c:v>
                </c:pt>
                <c:pt idx="86">
                  <c:v>2.312060026979923E-4</c:v>
                </c:pt>
                <c:pt idx="87">
                  <c:v>1.8442407201968436E-4</c:v>
                </c:pt>
                <c:pt idx="88">
                  <c:v>1.4615359232139635E-4</c:v>
                </c:pt>
                <c:pt idx="89">
                  <c:v>1.171749832897806E-4</c:v>
                </c:pt>
                <c:pt idx="90">
                  <c:v>9.2528448368711658E-5</c:v>
                </c:pt>
                <c:pt idx="91">
                  <c:v>7.4020638810012862E-5</c:v>
                </c:pt>
                <c:pt idx="92">
                  <c:v>5.8136889464766028E-5</c:v>
                </c:pt>
                <c:pt idx="93">
                  <c:v>4.6236806554023069E-5</c:v>
                </c:pt>
                <c:pt idx="94">
                  <c:v>3.7169817892368506E-5</c:v>
                </c:pt>
                <c:pt idx="95">
                  <c:v>2.9080972526185356E-5</c:v>
                </c:pt>
                <c:pt idx="96">
                  <c:v>2.1748657086928525E-5</c:v>
                </c:pt>
                <c:pt idx="97">
                  <c:v>1.9754504500091308E-5</c:v>
                </c:pt>
                <c:pt idx="98">
                  <c:v>1.4075090772003307E-5</c:v>
                </c:pt>
                <c:pt idx="99">
                  <c:v>1.0715994036125664E-5</c:v>
                </c:pt>
                <c:pt idx="100">
                  <c:v>7.6304603325860754E-6</c:v>
                </c:pt>
                <c:pt idx="101">
                  <c:v>6.4916280964055773E-6</c:v>
                </c:pt>
                <c:pt idx="102">
                  <c:v>4.834137740217237E-6</c:v>
                </c:pt>
                <c:pt idx="103">
                  <c:v>3.6359721081735685E-6</c:v>
                </c:pt>
                <c:pt idx="104">
                  <c:v>2.2978453484423511E-6</c:v>
                </c:pt>
                <c:pt idx="105">
                  <c:v>2.2978453484423511E-6</c:v>
                </c:pt>
                <c:pt idx="106">
                  <c:v>1.5072770238599986E-6</c:v>
                </c:pt>
                <c:pt idx="107">
                  <c:v>1.0227073228286088E-6</c:v>
                </c:pt>
                <c:pt idx="108">
                  <c:v>7.1969356885137614E-7</c:v>
                </c:pt>
                <c:pt idx="109">
                  <c:v>4.7675919356837682E-7</c:v>
                </c:pt>
                <c:pt idx="110">
                  <c:v>4.7147810200431906E-7</c:v>
                </c:pt>
                <c:pt idx="111">
                  <c:v>3.1128441468908363E-7</c:v>
                </c:pt>
                <c:pt idx="112">
                  <c:v>2.1452150456013896E-7</c:v>
                </c:pt>
                <c:pt idx="113">
                  <c:v>1.6009016845508484E-7</c:v>
                </c:pt>
                <c:pt idx="114">
                  <c:v>8.2835678205661623E-8</c:v>
                </c:pt>
                <c:pt idx="115">
                  <c:v>5.2036753017681292E-8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11040"/>
        <c:axId val="124312960"/>
      </c:scatterChart>
      <c:valAx>
        <c:axId val="124311040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03231262758834"/>
              <c:y val="0.92577460224880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24312960"/>
        <c:crosses val="autoZero"/>
        <c:crossBetween val="midCat"/>
      </c:valAx>
      <c:valAx>
        <c:axId val="12431296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Distribution Function</a:t>
                </a:r>
              </a:p>
            </c:rich>
          </c:tx>
          <c:layout>
            <c:manualLayout>
              <c:xMode val="edge"/>
              <c:yMode val="edge"/>
              <c:x val="1.753793951647354E-2"/>
              <c:y val="0.41480627709551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24311040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59089311434327"/>
          <c:y val="0.47293777313462348"/>
          <c:w val="0.25293819031354703"/>
          <c:h val="0.19400914873355818"/>
        </c:manualLayout>
      </c:layout>
      <c:overlay val="0"/>
      <c:spPr>
        <a:solidFill>
          <a:srgbClr val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chemeClr val="lt2"/>
    </a:solidFill>
    <a:ln w="3175">
      <a:solidFill>
        <a:sysClr val="windowText" lastClr="000000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66" r="0.75000000000000866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/>
              <a:t>Incremental Intrusion %PV vs Pore Aperture Diameter</a:t>
            </a:r>
          </a:p>
        </c:rich>
      </c:tx>
      <c:layout>
        <c:manualLayout>
          <c:xMode val="edge"/>
          <c:yMode val="edge"/>
          <c:x val="0.1723981077147016"/>
          <c:y val="4.43625443625443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9498670579271"/>
          <c:y val="0.15326975675683863"/>
          <c:w val="0.82827901825522265"/>
          <c:h val="0.72458777553660758"/>
        </c:manualLayout>
      </c:layout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dk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60000"/>
                  <a:lumOff val="40000"/>
                </a:schemeClr>
              </a:solidFill>
              <a:ln>
                <a:solidFill>
                  <a:schemeClr val="dk2">
                    <a:lumMod val="50000"/>
                  </a:schemeClr>
                </a:solidFill>
              </a:ln>
            </c:spPr>
          </c:marker>
          <c:xVal>
            <c:numRef>
              <c:f>Table!$F$18:$F$136</c:f>
              <c:numCache>
                <c:formatCode>???0.000</c:formatCode>
                <c:ptCount val="119"/>
                <c:pt idx="0">
                  <c:v>146.84400161336032</c:v>
                </c:pt>
                <c:pt idx="1">
                  <c:v>138.48713904630938</c:v>
                </c:pt>
                <c:pt idx="2">
                  <c:v>122.52361516348766</c:v>
                </c:pt>
                <c:pt idx="3">
                  <c:v>110.0236279850898</c:v>
                </c:pt>
                <c:pt idx="4">
                  <c:v>101.95369548026147</c:v>
                </c:pt>
                <c:pt idx="5">
                  <c:v>93.661680933816683</c:v>
                </c:pt>
                <c:pt idx="6">
                  <c:v>85.252431246291607</c:v>
                </c:pt>
                <c:pt idx="7">
                  <c:v>78.253448697457074</c:v>
                </c:pt>
                <c:pt idx="8">
                  <c:v>70.727440547558658</c:v>
                </c:pt>
                <c:pt idx="9">
                  <c:v>64.775924434603212</c:v>
                </c:pt>
                <c:pt idx="10">
                  <c:v>59.428644485125304</c:v>
                </c:pt>
                <c:pt idx="11">
                  <c:v>54.329360166815796</c:v>
                </c:pt>
                <c:pt idx="12">
                  <c:v>49.753611680144367</c:v>
                </c:pt>
                <c:pt idx="13">
                  <c:v>45.458982317645926</c:v>
                </c:pt>
                <c:pt idx="14">
                  <c:v>41.596520176516179</c:v>
                </c:pt>
                <c:pt idx="15">
                  <c:v>37.95351390072225</c:v>
                </c:pt>
                <c:pt idx="16">
                  <c:v>34.711056620788305</c:v>
                </c:pt>
                <c:pt idx="17">
                  <c:v>31.721029437603022</c:v>
                </c:pt>
                <c:pt idx="18">
                  <c:v>29.010878634771874</c:v>
                </c:pt>
                <c:pt idx="19">
                  <c:v>26.504955167437654</c:v>
                </c:pt>
                <c:pt idx="20">
                  <c:v>24.207985639357943</c:v>
                </c:pt>
                <c:pt idx="21">
                  <c:v>22.132146244464515</c:v>
                </c:pt>
                <c:pt idx="22">
                  <c:v>20.285843720011162</c:v>
                </c:pt>
                <c:pt idx="23">
                  <c:v>18.39058146053334</c:v>
                </c:pt>
                <c:pt idx="24">
                  <c:v>16.981617558283673</c:v>
                </c:pt>
                <c:pt idx="25">
                  <c:v>15.425678237188587</c:v>
                </c:pt>
                <c:pt idx="26">
                  <c:v>14.132905624769583</c:v>
                </c:pt>
                <c:pt idx="27">
                  <c:v>12.957581376639169</c:v>
                </c:pt>
                <c:pt idx="28">
                  <c:v>11.814509535510579</c:v>
                </c:pt>
                <c:pt idx="29">
                  <c:v>10.785804373610722</c:v>
                </c:pt>
                <c:pt idx="30">
                  <c:v>9.8465310247156772</c:v>
                </c:pt>
                <c:pt idx="31">
                  <c:v>9.0035215886350262</c:v>
                </c:pt>
                <c:pt idx="32">
                  <c:v>8.216771406570853</c:v>
                </c:pt>
                <c:pt idx="33">
                  <c:v>7.5402063431775463</c:v>
                </c:pt>
                <c:pt idx="34">
                  <c:v>7.0905959537766563</c:v>
                </c:pt>
                <c:pt idx="35">
                  <c:v>6.5270309132283479</c:v>
                </c:pt>
                <c:pt idx="36">
                  <c:v>5.9461614949649757</c:v>
                </c:pt>
                <c:pt idx="37">
                  <c:v>5.3888840573245806</c:v>
                </c:pt>
                <c:pt idx="38">
                  <c:v>4.9228249519885603</c:v>
                </c:pt>
                <c:pt idx="39">
                  <c:v>4.4879550095352876</c:v>
                </c:pt>
                <c:pt idx="40">
                  <c:v>4.0956096617681608</c:v>
                </c:pt>
                <c:pt idx="41">
                  <c:v>3.7243490495639588</c:v>
                </c:pt>
                <c:pt idx="42">
                  <c:v>3.4234889731856248</c:v>
                </c:pt>
                <c:pt idx="43">
                  <c:v>3.1047566052079176</c:v>
                </c:pt>
                <c:pt idx="44">
                  <c:v>2.8465070342117484</c:v>
                </c:pt>
                <c:pt idx="45">
                  <c:v>2.5961871266900651</c:v>
                </c:pt>
                <c:pt idx="46">
                  <c:v>2.374487751580769</c:v>
                </c:pt>
                <c:pt idx="47">
                  <c:v>2.1607890879046683</c:v>
                </c:pt>
                <c:pt idx="48">
                  <c:v>1.9699971181251705</c:v>
                </c:pt>
                <c:pt idx="49">
                  <c:v>1.8111812382752972</c:v>
                </c:pt>
                <c:pt idx="50">
                  <c:v>1.6464449522388571</c:v>
                </c:pt>
                <c:pt idx="51">
                  <c:v>1.5078077232681479</c:v>
                </c:pt>
                <c:pt idx="52">
                  <c:v>1.3739525648014672</c:v>
                </c:pt>
                <c:pt idx="53">
                  <c:v>1.2576561761363381</c:v>
                </c:pt>
                <c:pt idx="54">
                  <c:v>1.1499356268647485</c:v>
                </c:pt>
                <c:pt idx="55">
                  <c:v>1.050862600643514</c:v>
                </c:pt>
                <c:pt idx="56">
                  <c:v>0.95950182452810862</c:v>
                </c:pt>
                <c:pt idx="57">
                  <c:v>0.87431043002779218</c:v>
                </c:pt>
                <c:pt idx="58">
                  <c:v>0.80098952152559078</c:v>
                </c:pt>
                <c:pt idx="59">
                  <c:v>0.73162202280570254</c:v>
                </c:pt>
                <c:pt idx="60">
                  <c:v>0.66882130115627703</c:v>
                </c:pt>
                <c:pt idx="61">
                  <c:v>0.61101708265823496</c:v>
                </c:pt>
                <c:pt idx="62">
                  <c:v>0.55749402773057721</c:v>
                </c:pt>
                <c:pt idx="63">
                  <c:v>0.50965018735530188</c:v>
                </c:pt>
                <c:pt idx="64">
                  <c:v>0.46560225282002365</c:v>
                </c:pt>
                <c:pt idx="65">
                  <c:v>0.42596691591282704</c:v>
                </c:pt>
                <c:pt idx="66">
                  <c:v>0.38887387144418389</c:v>
                </c:pt>
                <c:pt idx="67">
                  <c:v>0.35611287273404263</c:v>
                </c:pt>
                <c:pt idx="68">
                  <c:v>0.32518293938809961</c:v>
                </c:pt>
                <c:pt idx="69">
                  <c:v>0.29739737633352398</c:v>
                </c:pt>
                <c:pt idx="70">
                  <c:v>0.27158190123579995</c:v>
                </c:pt>
                <c:pt idx="71">
                  <c:v>0.2482179712450977</c:v>
                </c:pt>
                <c:pt idx="72">
                  <c:v>0.22697779059312786</c:v>
                </c:pt>
                <c:pt idx="73">
                  <c:v>0.20834020987734894</c:v>
                </c:pt>
                <c:pt idx="74">
                  <c:v>0.19024100037054573</c:v>
                </c:pt>
                <c:pt idx="75">
                  <c:v>0.17356900364529623</c:v>
                </c:pt>
                <c:pt idx="76">
                  <c:v>0.1584783824071275</c:v>
                </c:pt>
                <c:pt idx="77">
                  <c:v>0.14483215940189115</c:v>
                </c:pt>
                <c:pt idx="78">
                  <c:v>0.13252905289263434</c:v>
                </c:pt>
                <c:pt idx="79">
                  <c:v>0.12079904150265654</c:v>
                </c:pt>
                <c:pt idx="80">
                  <c:v>0.1104218477685617</c:v>
                </c:pt>
                <c:pt idx="81">
                  <c:v>0.10121367701462844</c:v>
                </c:pt>
                <c:pt idx="82">
                  <c:v>9.2232603242456898E-2</c:v>
                </c:pt>
                <c:pt idx="83">
                  <c:v>8.4388106067989119E-2</c:v>
                </c:pt>
                <c:pt idx="84">
                  <c:v>7.7305268065723687E-2</c:v>
                </c:pt>
                <c:pt idx="85">
                  <c:v>7.048856106527647E-2</c:v>
                </c:pt>
                <c:pt idx="86">
                  <c:v>6.447659906602618E-2</c:v>
                </c:pt>
                <c:pt idx="87">
                  <c:v>5.8913000922221986E-2</c:v>
                </c:pt>
                <c:pt idx="88">
                  <c:v>5.382463199724076E-2</c:v>
                </c:pt>
                <c:pt idx="89">
                  <c:v>4.9255185877882614E-2</c:v>
                </c:pt>
                <c:pt idx="90">
                  <c:v>4.5080770276593005E-2</c:v>
                </c:pt>
                <c:pt idx="91">
                  <c:v>4.118726547693756E-2</c:v>
                </c:pt>
                <c:pt idx="92">
                  <c:v>3.7630214100454425E-2</c:v>
                </c:pt>
                <c:pt idx="93">
                  <c:v>3.4385154336298171E-2</c:v>
                </c:pt>
                <c:pt idx="94">
                  <c:v>3.1454865680130992E-2</c:v>
                </c:pt>
                <c:pt idx="95">
                  <c:v>2.8730096601510186E-2</c:v>
                </c:pt>
                <c:pt idx="96">
                  <c:v>2.6278131812554329E-2</c:v>
                </c:pt>
                <c:pt idx="97">
                  <c:v>2.4020777969833328E-2</c:v>
                </c:pt>
                <c:pt idx="98">
                  <c:v>2.1947005223106615E-2</c:v>
                </c:pt>
                <c:pt idx="99">
                  <c:v>2.00510192593879E-2</c:v>
                </c:pt>
                <c:pt idx="100">
                  <c:v>1.8363090110309593E-2</c:v>
                </c:pt>
                <c:pt idx="101">
                  <c:v>1.681045050541365E-2</c:v>
                </c:pt>
                <c:pt idx="102">
                  <c:v>1.5283074776043588E-2</c:v>
                </c:pt>
                <c:pt idx="103">
                  <c:v>1.4008747002702398E-2</c:v>
                </c:pt>
                <c:pt idx="104">
                  <c:v>1.2779127319733989E-2</c:v>
                </c:pt>
                <c:pt idx="105">
                  <c:v>1.1685277539493104E-2</c:v>
                </c:pt>
                <c:pt idx="106">
                  <c:v>1.0711807400480111E-2</c:v>
                </c:pt>
                <c:pt idx="107">
                  <c:v>9.7984052286810234E-3</c:v>
                </c:pt>
                <c:pt idx="108">
                  <c:v>8.9545213555925259E-3</c:v>
                </c:pt>
                <c:pt idx="109">
                  <c:v>8.182945903427951E-3</c:v>
                </c:pt>
                <c:pt idx="110">
                  <c:v>7.456795370754693E-3</c:v>
                </c:pt>
                <c:pt idx="111">
                  <c:v>6.8274990621602534E-3</c:v>
                </c:pt>
                <c:pt idx="112">
                  <c:v>6.2422310337067839E-3</c:v>
                </c:pt>
                <c:pt idx="113">
                  <c:v>5.7043149014497493E-3</c:v>
                </c:pt>
                <c:pt idx="114">
                  <c:v>5.2142042514121984E-3</c:v>
                </c:pt>
                <c:pt idx="115">
                  <c:v>4.7703074832954112E-3</c:v>
                </c:pt>
                <c:pt idx="116">
                  <c:v>4.3612014667047073E-3</c:v>
                </c:pt>
                <c:pt idx="117">
                  <c:v>3.9876508454182256E-3</c:v>
                </c:pt>
                <c:pt idx="118">
                  <c:v>3.6725769015941612E-3</c:v>
                </c:pt>
              </c:numCache>
            </c:numRef>
          </c:xVal>
          <c:yVal>
            <c:numRef>
              <c:f>Table!$H$18:$H$136</c:f>
              <c:numCache>
                <c:formatCode>????0.00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3.1817286654926454E-2</c:v>
                </c:pt>
                <c:pt idx="34">
                  <c:v>6.2511830868424489E-2</c:v>
                </c:pt>
                <c:pt idx="35">
                  <c:v>5.6981943685816439E-2</c:v>
                </c:pt>
                <c:pt idx="36">
                  <c:v>7.1700047276672951E-2</c:v>
                </c:pt>
                <c:pt idx="37">
                  <c:v>0.11117105553124829</c:v>
                </c:pt>
                <c:pt idx="38">
                  <c:v>0.13193113225765568</c:v>
                </c:pt>
                <c:pt idx="39">
                  <c:v>0.14490477778534139</c:v>
                </c:pt>
                <c:pt idx="40">
                  <c:v>0.15637325924915046</c:v>
                </c:pt>
                <c:pt idx="41">
                  <c:v>0.15381683641677546</c:v>
                </c:pt>
                <c:pt idx="42">
                  <c:v>0.18076970721197949</c:v>
                </c:pt>
                <c:pt idx="43">
                  <c:v>0.26919308729931046</c:v>
                </c:pt>
                <c:pt idx="44">
                  <c:v>0.29121871353571382</c:v>
                </c:pt>
                <c:pt idx="45">
                  <c:v>0.45787728726757027</c:v>
                </c:pt>
                <c:pt idx="46">
                  <c:v>0.77145147770984623</c:v>
                </c:pt>
                <c:pt idx="47">
                  <c:v>1.0684302366217273</c:v>
                </c:pt>
                <c:pt idx="48">
                  <c:v>1.5695000106231789</c:v>
                </c:pt>
                <c:pt idx="49">
                  <c:v>2.0050747124910648</c:v>
                </c:pt>
                <c:pt idx="50">
                  <c:v>2.5156771388046355</c:v>
                </c:pt>
                <c:pt idx="51">
                  <c:v>2.5139416562699068</c:v>
                </c:pt>
                <c:pt idx="52">
                  <c:v>2.457576619887023</c:v>
                </c:pt>
                <c:pt idx="53">
                  <c:v>2.5871088818918793</c:v>
                </c:pt>
                <c:pt idx="54">
                  <c:v>2.4414629819010969</c:v>
                </c:pt>
                <c:pt idx="55">
                  <c:v>2.256217050434401</c:v>
                </c:pt>
                <c:pt idx="56">
                  <c:v>2.2021433382403401</c:v>
                </c:pt>
                <c:pt idx="57">
                  <c:v>2.1412789976724831</c:v>
                </c:pt>
                <c:pt idx="58">
                  <c:v>2.0133931040271271</c:v>
                </c:pt>
                <c:pt idx="59">
                  <c:v>2.0800274271633619</c:v>
                </c:pt>
                <c:pt idx="60">
                  <c:v>2.0202581010651421</c:v>
                </c:pt>
                <c:pt idx="61">
                  <c:v>1.9268690098685539</c:v>
                </c:pt>
                <c:pt idx="62">
                  <c:v>1.9410041849427131</c:v>
                </c:pt>
                <c:pt idx="63">
                  <c:v>1.961501727462263</c:v>
                </c:pt>
                <c:pt idx="64">
                  <c:v>1.9338211977542628</c:v>
                </c:pt>
                <c:pt idx="65">
                  <c:v>1.9304463990609477</c:v>
                </c:pt>
                <c:pt idx="66">
                  <c:v>1.9535673603215784</c:v>
                </c:pt>
                <c:pt idx="67">
                  <c:v>1.9109002625560052</c:v>
                </c:pt>
                <c:pt idx="68">
                  <c:v>1.959870745722931</c:v>
                </c:pt>
                <c:pt idx="69">
                  <c:v>1.9470998509715969</c:v>
                </c:pt>
                <c:pt idx="70">
                  <c:v>1.98876681842534</c:v>
                </c:pt>
                <c:pt idx="71">
                  <c:v>1.9627223993300476</c:v>
                </c:pt>
                <c:pt idx="72">
                  <c:v>1.9770422138464028</c:v>
                </c:pt>
                <c:pt idx="73">
                  <c:v>1.8952725853241645</c:v>
                </c:pt>
                <c:pt idx="74">
                  <c:v>2.0191092334248637</c:v>
                </c:pt>
                <c:pt idx="75">
                  <c:v>2.0130930649335781</c:v>
                </c:pt>
                <c:pt idx="76">
                  <c:v>1.9520748581638898</c:v>
                </c:pt>
                <c:pt idx="77">
                  <c:v>1.9287230976005247</c:v>
                </c:pt>
                <c:pt idx="78">
                  <c:v>1.8463585197645642</c:v>
                </c:pt>
                <c:pt idx="79">
                  <c:v>1.8994782615073262</c:v>
                </c:pt>
                <c:pt idx="80">
                  <c:v>1.7724206809151326</c:v>
                </c:pt>
                <c:pt idx="81">
                  <c:v>1.650163725819823</c:v>
                </c:pt>
                <c:pt idx="82">
                  <c:v>1.7365236960297636</c:v>
                </c:pt>
                <c:pt idx="83">
                  <c:v>1.532584303259938</c:v>
                </c:pt>
                <c:pt idx="84">
                  <c:v>1.4000234415158417</c:v>
                </c:pt>
                <c:pt idx="85">
                  <c:v>1.4682938752648056</c:v>
                </c:pt>
                <c:pt idx="86">
                  <c:v>1.3861857410985436</c:v>
                </c:pt>
                <c:pt idx="87">
                  <c:v>1.2737864806667005</c:v>
                </c:pt>
                <c:pt idx="88">
                  <c:v>1.2483677841255201</c:v>
                </c:pt>
                <c:pt idx="89">
                  <c:v>1.1287932298153294</c:v>
                </c:pt>
                <c:pt idx="90">
                  <c:v>1.146077533153445</c:v>
                </c:pt>
                <c:pt idx="91">
                  <c:v>1.0310266451768513</c:v>
                </c:pt>
                <c:pt idx="92">
                  <c:v>1.0600355530939254</c:v>
                </c:pt>
                <c:pt idx="93">
                  <c:v>0.95114957093704788</c:v>
                </c:pt>
                <c:pt idx="94">
                  <c:v>0.86602053034165749</c:v>
                </c:pt>
                <c:pt idx="95">
                  <c:v>0.9260898955334369</c:v>
                </c:pt>
                <c:pt idx="96">
                  <c:v>1.0034435640633461</c:v>
                </c:pt>
                <c:pt idx="97">
                  <c:v>0.32660665773670416</c:v>
                </c:pt>
                <c:pt idx="98">
                  <c:v>1.1142785181099981</c:v>
                </c:pt>
                <c:pt idx="99">
                  <c:v>0.78956954352912589</c:v>
                </c:pt>
                <c:pt idx="100">
                  <c:v>0.86472805424634203</c:v>
                </c:pt>
                <c:pt idx="101">
                  <c:v>0.3808393650059827</c:v>
                </c:pt>
                <c:pt idx="102">
                  <c:v>0.67061045402621744</c:v>
                </c:pt>
                <c:pt idx="103">
                  <c:v>0.57697774134338431</c:v>
                </c:pt>
                <c:pt idx="104">
                  <c:v>0.77434704729540726</c:v>
                </c:pt>
                <c:pt idx="105">
                  <c:v>0</c:v>
                </c:pt>
                <c:pt idx="106">
                  <c:v>0.65111047738182037</c:v>
                </c:pt>
                <c:pt idx="107">
                  <c:v>0.47696471015832742</c:v>
                </c:pt>
                <c:pt idx="108">
                  <c:v>0.35712345443164395</c:v>
                </c:pt>
                <c:pt idx="109">
                  <c:v>0.34285492864921707</c:v>
                </c:pt>
                <c:pt idx="110">
                  <c:v>8.975528439677305E-3</c:v>
                </c:pt>
                <c:pt idx="111">
                  <c:v>0.3247602633148432</c:v>
                </c:pt>
                <c:pt idx="112">
                  <c:v>0.23467673102071274</c:v>
                </c:pt>
                <c:pt idx="113">
                  <c:v>0.15808213575316188</c:v>
                </c:pt>
                <c:pt idx="114">
                  <c:v>0.2685272954218334</c:v>
                </c:pt>
                <c:pt idx="115">
                  <c:v>0.12790384470223159</c:v>
                </c:pt>
                <c:pt idx="116">
                  <c:v>0.25854650779690758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32736"/>
        <c:axId val="124188544"/>
      </c:scatterChart>
      <c:valAx>
        <c:axId val="124132736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Aperture Diameter (microns)</a:t>
                </a:r>
              </a:p>
            </c:rich>
          </c:tx>
          <c:layout>
            <c:manualLayout>
              <c:xMode val="edge"/>
              <c:yMode val="edge"/>
              <c:x val="0.36675497039079008"/>
              <c:y val="0.92355761574540307"/>
            </c:manualLayout>
          </c:layout>
          <c:overlay val="0"/>
          <c:spPr>
            <a:noFill/>
            <a:ln w="25400">
              <a:noFill/>
            </a:ln>
          </c:spPr>
        </c:title>
        <c:numFmt formatCode="??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24188544"/>
        <c:crosses val="autoZero"/>
        <c:crossBetween val="midCat"/>
        <c:majorUnit val="10"/>
        <c:minorUnit val="10"/>
      </c:valAx>
      <c:valAx>
        <c:axId val="1241885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Incremental Intrusion as Percent of Pore Volume</a:t>
                </a:r>
              </a:p>
            </c:rich>
          </c:tx>
          <c:layout>
            <c:manualLayout>
              <c:xMode val="edge"/>
              <c:yMode val="edge"/>
              <c:x val="1.0568979145875295E-2"/>
              <c:y val="0.21251221534951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24132736"/>
        <c:crossesAt val="1.0000000000000041E-3"/>
        <c:crossBetween val="midCat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jpe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161924</xdr:rowOff>
    </xdr:from>
    <xdr:to>
      <xdr:col>5</xdr:col>
      <xdr:colOff>19812</xdr:colOff>
      <xdr:row>26</xdr:row>
      <xdr:rowOff>2666</xdr:rowOff>
    </xdr:to>
    <xdr:graphicFrame macro="">
      <xdr:nvGraphicFramePr>
        <xdr:cNvPr id="2792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</xdr:colOff>
      <xdr:row>8</xdr:row>
      <xdr:rowOff>2666</xdr:rowOff>
    </xdr:from>
    <xdr:to>
      <xdr:col>10</xdr:col>
      <xdr:colOff>11049</xdr:colOff>
      <xdr:row>26</xdr:row>
      <xdr:rowOff>5333</xdr:rowOff>
    </xdr:to>
    <xdr:graphicFrame macro="">
      <xdr:nvGraphicFramePr>
        <xdr:cNvPr id="1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14</xdr:col>
      <xdr:colOff>540444</xdr:colOff>
      <xdr:row>26</xdr:row>
      <xdr:rowOff>2667</xdr:rowOff>
    </xdr:to>
    <xdr:graphicFrame macro="">
      <xdr:nvGraphicFramePr>
        <xdr:cNvPr id="2792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25</xdr:row>
      <xdr:rowOff>147759</xdr:rowOff>
    </xdr:from>
    <xdr:to>
      <xdr:col>5</xdr:col>
      <xdr:colOff>19812</xdr:colOff>
      <xdr:row>43</xdr:row>
      <xdr:rowOff>161924</xdr:rowOff>
    </xdr:to>
    <xdr:graphicFrame macro="">
      <xdr:nvGraphicFramePr>
        <xdr:cNvPr id="2792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540445</xdr:colOff>
      <xdr:row>25</xdr:row>
      <xdr:rowOff>147761</xdr:rowOff>
    </xdr:from>
    <xdr:to>
      <xdr:col>15</xdr:col>
      <xdr:colOff>0</xdr:colOff>
      <xdr:row>44</xdr:row>
      <xdr:rowOff>0</xdr:rowOff>
    </xdr:to>
    <xdr:graphicFrame macro="">
      <xdr:nvGraphicFramePr>
        <xdr:cNvPr id="10" name="Distribut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14</xdr:col>
      <xdr:colOff>862742</xdr:colOff>
      <xdr:row>30</xdr:row>
      <xdr:rowOff>159258</xdr:rowOff>
    </xdr:to>
    <xdr:graphicFrame macro="">
      <xdr:nvGraphicFramePr>
        <xdr:cNvPr id="2983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983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320802</xdr:colOff>
      <xdr:row>53</xdr:row>
      <xdr:rowOff>159258</xdr:rowOff>
    </xdr:to>
    <xdr:graphicFrame macro="">
      <xdr:nvGraphicFramePr>
        <xdr:cNvPr id="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</xdr:colOff>
      <xdr:row>31</xdr:row>
      <xdr:rowOff>0</xdr:rowOff>
    </xdr:from>
    <xdr:to>
      <xdr:col>14</xdr:col>
      <xdr:colOff>866775</xdr:colOff>
      <xdr:row>53</xdr:row>
      <xdr:rowOff>159258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1"/>
  <sheetViews>
    <sheetView showGridLines="0" workbookViewId="0">
      <pane xSplit="2" ySplit="17" topLeftCell="C18" activePane="bottomRight" state="frozen"/>
      <selection activeCell="E35" sqref="E35"/>
      <selection pane="topRight" activeCell="E35" sqref="E35"/>
      <selection pane="bottomLeft" activeCell="E35" sqref="E35"/>
      <selection pane="bottomRight" activeCell="A12" sqref="A12"/>
    </sheetView>
  </sheetViews>
  <sheetFormatPr defaultColWidth="8.85546875" defaultRowHeight="12.75" x14ac:dyDescent="0.2"/>
  <cols>
    <col min="1" max="13" width="10.28515625" style="133" customWidth="1"/>
    <col min="14" max="14" width="9.5703125" style="133" customWidth="1"/>
    <col min="15" max="15" width="8.85546875" style="133"/>
    <col min="16" max="17" width="10.7109375" style="133" customWidth="1"/>
    <col min="18" max="19" width="8.85546875" style="133"/>
    <col min="20" max="20" width="9.5703125" style="133" bestFit="1" customWidth="1"/>
    <col min="21" max="21" width="8.85546875" style="133"/>
    <col min="22" max="22" width="7.5703125" style="133" customWidth="1"/>
    <col min="23" max="23" width="11.5703125" style="58" bestFit="1" customWidth="1"/>
    <col min="24" max="24" width="13" style="58" customWidth="1"/>
    <col min="25" max="37" width="8.85546875" style="58"/>
    <col min="38" max="38" width="15.85546875" style="58" customWidth="1"/>
    <col min="39" max="16384" width="8.85546875" style="58"/>
  </cols>
  <sheetData>
    <row r="1" spans="1:40" x14ac:dyDescent="0.2">
      <c r="X1" s="64"/>
      <c r="Y1" s="74"/>
      <c r="Z1" s="74"/>
      <c r="AA1" s="91"/>
      <c r="AB1" s="91"/>
    </row>
    <row r="2" spans="1:40" x14ac:dyDescent="0.2">
      <c r="X2" s="130"/>
      <c r="Y2" s="130"/>
      <c r="Z2" s="86"/>
      <c r="AA2" s="86"/>
      <c r="AB2" s="106"/>
      <c r="AC2" s="106"/>
    </row>
    <row r="3" spans="1:40" x14ac:dyDescent="0.2">
      <c r="X3" s="136"/>
      <c r="Y3" s="147"/>
      <c r="Z3" s="101"/>
      <c r="AA3" s="106"/>
      <c r="AB3" s="21"/>
      <c r="AC3" s="21"/>
    </row>
    <row r="4" spans="1:40" x14ac:dyDescent="0.2">
      <c r="X4" s="136"/>
      <c r="Y4" s="147"/>
      <c r="Z4" s="101"/>
      <c r="AA4" s="106"/>
      <c r="AB4" s="21"/>
      <c r="AC4" s="21"/>
      <c r="AL4" s="142"/>
      <c r="AM4" s="142"/>
      <c r="AN4" s="142"/>
    </row>
    <row r="5" spans="1:40" ht="15.75" x14ac:dyDescent="0.25">
      <c r="A5" s="164" t="s">
        <v>11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2"/>
      <c r="O5" s="2"/>
      <c r="P5" s="2"/>
      <c r="Q5" s="2"/>
      <c r="R5" s="2"/>
      <c r="S5" s="2"/>
      <c r="T5" s="154"/>
      <c r="U5" s="62"/>
      <c r="V5" s="62"/>
      <c r="W5" s="147"/>
      <c r="X5" s="136"/>
      <c r="Y5" s="147"/>
      <c r="Z5" s="106"/>
      <c r="AA5" s="104"/>
      <c r="AB5" s="104"/>
      <c r="AC5" s="104"/>
      <c r="AL5" s="142"/>
      <c r="AM5" s="142"/>
      <c r="AN5" s="142"/>
    </row>
    <row r="6" spans="1:40" x14ac:dyDescent="0.2">
      <c r="A6" s="51"/>
      <c r="B6" s="62"/>
      <c r="C6" s="62"/>
      <c r="D6" s="62"/>
      <c r="E6" s="51"/>
      <c r="F6" s="51"/>
      <c r="G6" s="51"/>
      <c r="H6" s="51"/>
      <c r="I6" s="51"/>
      <c r="J6" s="51"/>
      <c r="K6" s="51"/>
      <c r="L6" s="51"/>
      <c r="M6" s="51"/>
      <c r="N6" s="51"/>
      <c r="O6" s="62"/>
      <c r="P6" s="62"/>
      <c r="Q6" s="62"/>
      <c r="R6" s="51"/>
      <c r="S6" s="62"/>
      <c r="T6" s="62"/>
      <c r="U6" s="62"/>
      <c r="V6" s="62"/>
      <c r="W6" s="147"/>
      <c r="X6" s="136"/>
      <c r="Y6" s="147"/>
      <c r="Z6" s="106"/>
      <c r="AA6" s="95"/>
      <c r="AB6" s="101"/>
      <c r="AC6" s="101"/>
      <c r="AL6" s="142"/>
      <c r="AM6" s="142"/>
      <c r="AN6" s="142"/>
    </row>
    <row r="7" spans="1:40" ht="12.4" customHeight="1" x14ac:dyDescent="0.2">
      <c r="A7" s="59" t="str">
        <f>Table!A7</f>
        <v>Shell Exploration &amp; Production Company</v>
      </c>
      <c r="B7" s="51"/>
      <c r="C7" s="51"/>
      <c r="D7" s="51"/>
      <c r="E7" s="62"/>
      <c r="F7" s="62"/>
      <c r="G7" s="62"/>
      <c r="H7" s="62"/>
      <c r="I7" s="133" t="str">
        <f>Table!L7</f>
        <v>Sample Number:</v>
      </c>
      <c r="M7" s="37" t="str">
        <f>Table!P7</f>
        <v>MC 26</v>
      </c>
      <c r="N7" s="62"/>
      <c r="O7" s="59"/>
      <c r="P7" s="140"/>
      <c r="Q7" s="130"/>
      <c r="R7" s="130"/>
      <c r="S7" s="86"/>
      <c r="T7" s="95"/>
      <c r="U7" s="134"/>
      <c r="V7" s="101"/>
      <c r="AE7" s="52"/>
      <c r="AF7" s="13"/>
      <c r="AG7" s="13"/>
    </row>
    <row r="8" spans="1:40" ht="12.4" customHeight="1" x14ac:dyDescent="0.2">
      <c r="A8" s="173" t="s">
        <v>96</v>
      </c>
      <c r="B8" s="51"/>
      <c r="C8" s="51"/>
      <c r="D8" s="51"/>
      <c r="E8" s="51"/>
      <c r="F8" s="51"/>
      <c r="G8" s="51"/>
      <c r="H8" s="51"/>
      <c r="I8" s="133" t="str">
        <f>Table!L8</f>
        <v>Sample Depth, feet:</v>
      </c>
      <c r="M8" s="9">
        <f>Table!P8</f>
        <v>5965</v>
      </c>
      <c r="N8" s="62"/>
      <c r="O8" s="59"/>
      <c r="P8" s="140"/>
      <c r="Q8" s="130"/>
      <c r="R8" s="130"/>
      <c r="S8" s="86"/>
      <c r="T8" s="95"/>
      <c r="U8" s="134"/>
      <c r="V8" s="101"/>
      <c r="AE8" s="76"/>
      <c r="AF8" s="13"/>
      <c r="AG8" s="13"/>
    </row>
    <row r="9" spans="1:40" ht="12.4" customHeight="1" x14ac:dyDescent="0.2">
      <c r="A9" s="59" t="str">
        <f>Table!A9</f>
        <v>Offshore</v>
      </c>
      <c r="B9" s="51"/>
      <c r="C9" s="51"/>
      <c r="D9" s="51"/>
      <c r="E9" s="51"/>
      <c r="F9" s="51"/>
      <c r="G9" s="51"/>
      <c r="H9" s="51"/>
      <c r="I9" s="54" t="str">
        <f>Table!L9</f>
        <v>Permeability to Air (calc), mD:</v>
      </c>
      <c r="K9" s="51"/>
      <c r="L9" s="51"/>
      <c r="M9" s="66">
        <f>Table!P9</f>
        <v>0.42251476461127702</v>
      </c>
      <c r="N9" s="62"/>
      <c r="O9" s="59" t="s">
        <v>38</v>
      </c>
      <c r="P9" s="140"/>
      <c r="Q9" s="147"/>
      <c r="R9" s="130"/>
      <c r="S9" s="130"/>
      <c r="T9" s="102"/>
      <c r="U9" s="102"/>
      <c r="V9" s="71"/>
      <c r="AE9" s="76"/>
      <c r="AF9" s="13"/>
      <c r="AG9" s="13"/>
    </row>
    <row r="10" spans="1:40" ht="12.4" customHeight="1" x14ac:dyDescent="0.2">
      <c r="A10" s="59" t="str">
        <f>Table!A10</f>
        <v>HH-77445</v>
      </c>
      <c r="B10" s="51"/>
      <c r="C10" s="51"/>
      <c r="D10" s="51"/>
      <c r="E10" s="62"/>
      <c r="F10" s="62"/>
      <c r="G10" s="62"/>
      <c r="H10" s="62"/>
      <c r="I10" s="54" t="str">
        <f>Table!L10</f>
        <v>Porosity, fraction:</v>
      </c>
      <c r="K10" s="51"/>
      <c r="L10" s="51"/>
      <c r="M10" s="66">
        <f>K30</f>
        <v>0.16166380104274999</v>
      </c>
      <c r="N10" s="62"/>
      <c r="O10" s="7" t="s">
        <v>38</v>
      </c>
      <c r="P10" s="84"/>
      <c r="Q10" s="147"/>
      <c r="R10" s="130"/>
      <c r="S10" s="130"/>
      <c r="T10" s="102"/>
      <c r="U10" s="86"/>
      <c r="V10" s="71"/>
      <c r="AE10" s="76"/>
      <c r="AF10" s="13"/>
      <c r="AG10" s="13"/>
    </row>
    <row r="11" spans="1:40" ht="12.4" customHeight="1" x14ac:dyDescent="0.2">
      <c r="A11" s="174" t="s">
        <v>97</v>
      </c>
      <c r="B11" s="51"/>
      <c r="C11" s="51"/>
      <c r="D11" s="51"/>
      <c r="E11" s="62"/>
      <c r="F11" s="62"/>
      <c r="G11" s="62"/>
      <c r="H11" s="51"/>
      <c r="I11" s="133" t="str">
        <f>Table!L11</f>
        <v>Grain Density, grams/cc:</v>
      </c>
      <c r="M11" s="99">
        <f>L30</f>
        <v>2.6549504722755719</v>
      </c>
      <c r="N11" s="62"/>
      <c r="O11" s="7" t="s">
        <v>38</v>
      </c>
      <c r="P11" s="84"/>
      <c r="Q11" s="130"/>
      <c r="R11" s="64"/>
      <c r="S11" s="74"/>
      <c r="T11" s="74"/>
      <c r="U11" s="98"/>
      <c r="V11" s="58"/>
      <c r="AE11" s="76"/>
      <c r="AF11" s="13"/>
      <c r="AG11" s="13"/>
    </row>
    <row r="12" spans="1:40" ht="12.4" customHeight="1" x14ac:dyDescent="0.2">
      <c r="A12" s="59"/>
      <c r="B12" s="51"/>
      <c r="C12" s="51"/>
      <c r="D12" s="51"/>
      <c r="E12" s="51"/>
      <c r="F12" s="51"/>
      <c r="G12" s="51"/>
      <c r="H12" s="51"/>
      <c r="I12" s="51"/>
      <c r="J12" s="54"/>
      <c r="K12" s="51"/>
      <c r="L12" s="51"/>
      <c r="M12" s="66"/>
      <c r="N12" s="62"/>
      <c r="O12" s="28"/>
      <c r="P12" s="106"/>
      <c r="Q12" s="130"/>
      <c r="R12" s="147"/>
      <c r="S12" s="130"/>
      <c r="T12" s="63"/>
      <c r="U12" s="147"/>
      <c r="V12" s="58"/>
      <c r="AE12" s="13"/>
      <c r="AF12" s="13"/>
      <c r="AG12" s="13"/>
    </row>
    <row r="13" spans="1:40" ht="12.4" customHeight="1" x14ac:dyDescent="0.2">
      <c r="A13" s="114"/>
      <c r="B13" s="114" t="s">
        <v>57</v>
      </c>
      <c r="C13" s="114" t="s">
        <v>56</v>
      </c>
      <c r="D13" s="114" t="s">
        <v>57</v>
      </c>
      <c r="E13" s="114" t="s">
        <v>56</v>
      </c>
      <c r="F13" s="114" t="s">
        <v>90</v>
      </c>
      <c r="G13" s="135"/>
      <c r="H13" s="135"/>
      <c r="N13" s="62"/>
      <c r="O13" s="28"/>
      <c r="P13" s="106"/>
      <c r="Q13" s="130"/>
      <c r="R13" s="130"/>
      <c r="S13" s="130"/>
      <c r="T13" s="63"/>
      <c r="U13" s="130"/>
      <c r="V13" s="58"/>
      <c r="AE13" s="13"/>
      <c r="AF13" s="13"/>
      <c r="AG13" s="13"/>
    </row>
    <row r="14" spans="1:40" ht="12.4" customHeight="1" x14ac:dyDescent="0.2">
      <c r="A14" s="121" t="s">
        <v>84</v>
      </c>
      <c r="B14" s="121" t="s">
        <v>62</v>
      </c>
      <c r="C14" s="121" t="s">
        <v>62</v>
      </c>
      <c r="D14" s="121" t="s">
        <v>62</v>
      </c>
      <c r="E14" s="121" t="s">
        <v>62</v>
      </c>
      <c r="F14" s="121" t="s">
        <v>49</v>
      </c>
      <c r="G14" s="135"/>
      <c r="H14" s="135"/>
      <c r="I14" s="122"/>
      <c r="J14" s="122"/>
      <c r="K14" s="122"/>
      <c r="L14" s="122"/>
      <c r="M14" s="122"/>
      <c r="N14" s="62"/>
      <c r="O14" s="28"/>
      <c r="P14" s="106"/>
      <c r="Q14" s="130"/>
      <c r="R14" s="130"/>
      <c r="S14" s="130"/>
      <c r="T14" s="63"/>
      <c r="U14" s="130"/>
      <c r="V14" s="58"/>
      <c r="AE14" s="13"/>
      <c r="AF14" s="13"/>
      <c r="AG14" s="13"/>
    </row>
    <row r="15" spans="1:40" ht="12.4" customHeight="1" x14ac:dyDescent="0.2">
      <c r="A15" s="121" t="s">
        <v>77</v>
      </c>
      <c r="B15" s="121" t="s">
        <v>3</v>
      </c>
      <c r="C15" s="121" t="s">
        <v>3</v>
      </c>
      <c r="D15" s="121" t="s">
        <v>5</v>
      </c>
      <c r="E15" s="121" t="s">
        <v>5</v>
      </c>
      <c r="F15" s="121" t="s">
        <v>5</v>
      </c>
      <c r="G15" s="135"/>
      <c r="H15" s="135"/>
      <c r="I15" s="135"/>
      <c r="J15" s="135"/>
      <c r="K15" s="135"/>
      <c r="L15" s="122"/>
      <c r="M15" s="122"/>
      <c r="N15" s="51"/>
      <c r="O15" s="28"/>
      <c r="P15" s="106"/>
      <c r="Q15" s="130"/>
      <c r="R15" s="130"/>
      <c r="S15" s="130"/>
      <c r="T15" s="63"/>
      <c r="U15" s="130"/>
      <c r="V15" s="58"/>
      <c r="AE15" s="13"/>
      <c r="AF15" s="13"/>
      <c r="AG15" s="13"/>
    </row>
    <row r="16" spans="1:40" ht="12.4" customHeight="1" x14ac:dyDescent="0.2">
      <c r="A16" s="39" t="s">
        <v>48</v>
      </c>
      <c r="B16" s="39" t="s">
        <v>35</v>
      </c>
      <c r="C16" s="39" t="s">
        <v>35</v>
      </c>
      <c r="D16" s="39" t="s">
        <v>25</v>
      </c>
      <c r="E16" s="39" t="s">
        <v>25</v>
      </c>
      <c r="F16" s="39" t="s">
        <v>25</v>
      </c>
      <c r="G16" s="135"/>
      <c r="H16" s="135"/>
      <c r="I16" s="135"/>
      <c r="J16" s="135"/>
      <c r="K16" s="135"/>
      <c r="L16" s="135"/>
      <c r="M16" s="135"/>
      <c r="N16" s="51"/>
      <c r="O16" s="106"/>
      <c r="P16" s="106"/>
      <c r="Q16" s="147"/>
      <c r="R16" s="58"/>
      <c r="S16" s="58"/>
      <c r="T16" s="58"/>
      <c r="U16" s="58"/>
      <c r="V16" s="58"/>
      <c r="AE16" s="13"/>
      <c r="AF16" s="13"/>
      <c r="AG16" s="13"/>
    </row>
    <row r="17" spans="1:35" ht="12.4" customHeight="1" x14ac:dyDescent="0.2">
      <c r="A17" s="62"/>
      <c r="B17" s="62"/>
      <c r="E17" s="62"/>
      <c r="F17" s="62"/>
      <c r="G17" s="62"/>
      <c r="H17" s="62"/>
      <c r="I17" s="62"/>
      <c r="J17" s="62"/>
      <c r="K17" s="62"/>
      <c r="L17" s="62"/>
      <c r="M17" s="62"/>
      <c r="N17" s="51"/>
      <c r="O17" s="106"/>
      <c r="P17" s="106"/>
      <c r="Q17" s="136"/>
      <c r="R17" s="147"/>
      <c r="S17" s="147"/>
      <c r="T17" s="100"/>
      <c r="U17" s="58"/>
      <c r="V17" s="58"/>
      <c r="AE17" s="13"/>
      <c r="AF17" s="13"/>
      <c r="AG17" s="13"/>
    </row>
    <row r="18" spans="1:35" ht="12.4" customHeight="1" x14ac:dyDescent="0.2">
      <c r="A18" s="97">
        <v>1.4877049922943115</v>
      </c>
      <c r="B18" s="107">
        <v>0</v>
      </c>
      <c r="C18" s="24">
        <f t="shared" ref="C18:C136" si="0">IF(B18-I$34&lt;0,0,B18-I$34)</f>
        <v>0</v>
      </c>
      <c r="D18" s="24">
        <f t="shared" ref="D18:E136" si="1">B18/$H$23</f>
        <v>0</v>
      </c>
      <c r="E18" s="24">
        <f t="shared" si="1"/>
        <v>0</v>
      </c>
      <c r="F18" s="24">
        <f t="shared" ref="F18:F136" si="2">E18-E17</f>
        <v>0</v>
      </c>
      <c r="G18" s="24"/>
      <c r="H18" s="145" t="s">
        <v>19</v>
      </c>
      <c r="I18" s="156"/>
      <c r="J18" s="156"/>
      <c r="K18" s="156"/>
      <c r="L18" s="156"/>
      <c r="M18" s="42"/>
      <c r="O18" s="97"/>
      <c r="P18" s="106"/>
      <c r="Q18" s="57"/>
      <c r="R18" s="143"/>
      <c r="S18" s="26"/>
      <c r="T18" s="8"/>
      <c r="U18" s="8"/>
      <c r="V18" s="8"/>
      <c r="W18" s="25"/>
      <c r="X18" s="57"/>
      <c r="AG18" s="13"/>
      <c r="AH18" s="13"/>
      <c r="AI18" s="13"/>
    </row>
    <row r="19" spans="1:35" ht="12.4" customHeight="1" x14ac:dyDescent="0.2">
      <c r="A19" s="97">
        <v>1.5774790048599243</v>
      </c>
      <c r="B19" s="107">
        <v>2.0464350277961784E-4</v>
      </c>
      <c r="C19" s="24">
        <f t="shared" si="0"/>
        <v>0</v>
      </c>
      <c r="D19" s="24">
        <f t="shared" si="1"/>
        <v>1.4395150846955985E-4</v>
      </c>
      <c r="E19" s="24">
        <f t="shared" si="1"/>
        <v>0</v>
      </c>
      <c r="F19" s="24">
        <f t="shared" si="2"/>
        <v>0</v>
      </c>
      <c r="G19" s="24"/>
      <c r="H19" s="114" t="s">
        <v>88</v>
      </c>
      <c r="I19" s="114" t="s">
        <v>2</v>
      </c>
      <c r="J19" s="114" t="s">
        <v>83</v>
      </c>
      <c r="K19" s="114"/>
      <c r="L19" s="114" t="s">
        <v>83</v>
      </c>
      <c r="M19" s="114" t="s">
        <v>15</v>
      </c>
      <c r="O19" s="97"/>
      <c r="P19" s="106"/>
      <c r="Q19" s="57"/>
      <c r="R19" s="143"/>
      <c r="S19" s="135"/>
      <c r="T19" s="135"/>
      <c r="U19" s="135"/>
      <c r="V19" s="135"/>
      <c r="W19" s="25"/>
      <c r="X19" s="57"/>
      <c r="AG19" s="13"/>
      <c r="AH19" s="13"/>
      <c r="AI19" s="13"/>
    </row>
    <row r="20" spans="1:35" ht="12.4" customHeight="1" x14ac:dyDescent="0.2">
      <c r="A20" s="97">
        <v>1.7830077409744263</v>
      </c>
      <c r="B20" s="107">
        <v>2.224445367463886E-3</v>
      </c>
      <c r="C20" s="24">
        <f t="shared" si="0"/>
        <v>0</v>
      </c>
      <c r="D20" s="24">
        <f t="shared" si="1"/>
        <v>1.564732140552685E-3</v>
      </c>
      <c r="E20" s="24">
        <f t="shared" si="1"/>
        <v>0</v>
      </c>
      <c r="F20" s="24">
        <f t="shared" si="2"/>
        <v>0</v>
      </c>
      <c r="G20" s="24"/>
      <c r="H20" s="121" t="s">
        <v>3</v>
      </c>
      <c r="I20" s="121" t="s">
        <v>3</v>
      </c>
      <c r="J20" s="121" t="s">
        <v>3</v>
      </c>
      <c r="K20" s="121" t="s">
        <v>61</v>
      </c>
      <c r="L20" s="121" t="s">
        <v>39</v>
      </c>
      <c r="M20" s="121" t="s">
        <v>9</v>
      </c>
      <c r="O20" s="97"/>
      <c r="P20" s="106"/>
      <c r="Q20" s="57"/>
      <c r="R20" s="143"/>
      <c r="S20" s="135"/>
      <c r="T20" s="135"/>
      <c r="U20" s="135"/>
      <c r="V20" s="135"/>
      <c r="W20" s="25"/>
      <c r="X20" s="57"/>
      <c r="AG20" s="13"/>
      <c r="AH20" s="13"/>
      <c r="AI20" s="13"/>
    </row>
    <row r="21" spans="1:35" ht="12.4" customHeight="1" x14ac:dyDescent="0.2">
      <c r="A21" s="97">
        <v>1.9855785369873047</v>
      </c>
      <c r="B21" s="107">
        <v>3.3777829781165562E-3</v>
      </c>
      <c r="C21" s="24">
        <f t="shared" si="0"/>
        <v>0</v>
      </c>
      <c r="D21" s="24">
        <f t="shared" si="1"/>
        <v>2.3760195089424013E-3</v>
      </c>
      <c r="E21" s="24">
        <f t="shared" si="1"/>
        <v>0</v>
      </c>
      <c r="F21" s="24">
        <f t="shared" si="2"/>
        <v>0</v>
      </c>
      <c r="G21" s="24"/>
      <c r="H21" s="39" t="s">
        <v>35</v>
      </c>
      <c r="I21" s="39" t="s">
        <v>35</v>
      </c>
      <c r="J21" s="39" t="s">
        <v>35</v>
      </c>
      <c r="K21" s="39" t="s">
        <v>25</v>
      </c>
      <c r="L21" s="39" t="s">
        <v>26</v>
      </c>
      <c r="M21" s="39" t="s">
        <v>18</v>
      </c>
      <c r="O21" s="97"/>
      <c r="P21" s="106"/>
      <c r="Q21" s="57"/>
      <c r="R21" s="143"/>
      <c r="S21" s="135"/>
      <c r="T21" s="135"/>
      <c r="U21" s="135"/>
      <c r="V21" s="135"/>
      <c r="W21" s="25"/>
      <c r="X21" s="57"/>
      <c r="AG21" s="36"/>
      <c r="AH21" s="13"/>
      <c r="AI21" s="13"/>
    </row>
    <row r="22" spans="1:35" ht="12.4" customHeight="1" x14ac:dyDescent="0.2">
      <c r="A22" s="97">
        <v>2.1427428722381592</v>
      </c>
      <c r="B22" s="107">
        <v>3.3777829781165562E-3</v>
      </c>
      <c r="C22" s="24">
        <f t="shared" si="0"/>
        <v>0</v>
      </c>
      <c r="D22" s="24">
        <f t="shared" si="1"/>
        <v>2.3760195089424013E-3</v>
      </c>
      <c r="E22" s="24">
        <f t="shared" si="1"/>
        <v>0</v>
      </c>
      <c r="F22" s="24">
        <f t="shared" si="2"/>
        <v>0</v>
      </c>
      <c r="G22" s="24"/>
      <c r="H22" s="110"/>
      <c r="I22" s="97"/>
      <c r="J22" s="97"/>
      <c r="K22" s="97"/>
      <c r="L22" s="97"/>
      <c r="M22" s="97"/>
      <c r="O22" s="97"/>
      <c r="P22" s="106"/>
      <c r="Q22" s="57"/>
      <c r="R22" s="143"/>
      <c r="S22" s="34"/>
      <c r="T22" s="25"/>
      <c r="U22" s="25"/>
      <c r="V22" s="25"/>
      <c r="W22" s="25"/>
      <c r="X22" s="57"/>
      <c r="AG22" s="36"/>
      <c r="AH22" s="13"/>
      <c r="AI22" s="13"/>
    </row>
    <row r="23" spans="1:35" ht="12.4" customHeight="1" x14ac:dyDescent="0.2">
      <c r="A23" s="97">
        <v>2.3324432373046875</v>
      </c>
      <c r="B23" s="107">
        <v>5.4323961092441093E-3</v>
      </c>
      <c r="C23" s="24">
        <f t="shared" si="0"/>
        <v>0</v>
      </c>
      <c r="D23" s="24">
        <f t="shared" si="1"/>
        <v>3.8212872820692525E-3</v>
      </c>
      <c r="E23" s="24">
        <f t="shared" si="1"/>
        <v>0</v>
      </c>
      <c r="F23" s="24">
        <f t="shared" si="2"/>
        <v>0</v>
      </c>
      <c r="G23" s="24"/>
      <c r="H23" s="150">
        <f>I23-J23</f>
        <v>1.42161415990227</v>
      </c>
      <c r="I23" s="150">
        <v>8.16</v>
      </c>
      <c r="J23" s="150">
        <v>6.7383858400977301</v>
      </c>
      <c r="K23" s="126">
        <f>H23/I23</f>
        <v>0.17421742155665074</v>
      </c>
      <c r="L23" s="150">
        <f>M23/J23</f>
        <v>2.6728953235095214</v>
      </c>
      <c r="M23" s="150">
        <v>18.010999999999999</v>
      </c>
      <c r="O23" s="38"/>
      <c r="P23" s="106"/>
      <c r="Q23" s="57"/>
      <c r="R23" s="143"/>
      <c r="S23" s="33"/>
      <c r="T23" s="33"/>
      <c r="U23" s="33"/>
      <c r="V23" s="33"/>
      <c r="W23" s="25"/>
      <c r="X23" s="57"/>
      <c r="AG23" s="36"/>
      <c r="AH23" s="13"/>
      <c r="AI23" s="13"/>
    </row>
    <row r="24" spans="1:35" ht="12.4" customHeight="1" x14ac:dyDescent="0.2">
      <c r="A24" s="97">
        <v>2.562514066696167</v>
      </c>
      <c r="B24" s="107">
        <v>7.8051154866107027E-3</v>
      </c>
      <c r="C24" s="24">
        <f t="shared" si="0"/>
        <v>0</v>
      </c>
      <c r="D24" s="24">
        <f t="shared" si="1"/>
        <v>5.4903191785507198E-3</v>
      </c>
      <c r="E24" s="24">
        <f t="shared" si="1"/>
        <v>0</v>
      </c>
      <c r="F24" s="24">
        <f t="shared" si="2"/>
        <v>0</v>
      </c>
      <c r="G24" s="24"/>
      <c r="O24" s="97"/>
      <c r="P24" s="106"/>
      <c r="Q24" s="57"/>
      <c r="R24" s="143"/>
      <c r="S24" s="58"/>
      <c r="T24" s="58"/>
      <c r="U24" s="58"/>
      <c r="V24" s="58"/>
      <c r="W24" s="25"/>
      <c r="X24" s="57"/>
      <c r="AG24" s="36"/>
      <c r="AH24" s="13"/>
      <c r="AI24" s="13"/>
    </row>
    <row r="25" spans="1:35" ht="12.4" customHeight="1" x14ac:dyDescent="0.2">
      <c r="A25" s="97">
        <v>2.7917051315307617</v>
      </c>
      <c r="B25" s="107">
        <v>1.0037826054699507E-2</v>
      </c>
      <c r="C25" s="24">
        <f t="shared" si="0"/>
        <v>0</v>
      </c>
      <c r="D25" s="24">
        <f t="shared" si="1"/>
        <v>7.0608652740132847E-3</v>
      </c>
      <c r="E25" s="24">
        <f t="shared" si="1"/>
        <v>0</v>
      </c>
      <c r="F25" s="24">
        <f t="shared" si="2"/>
        <v>0</v>
      </c>
      <c r="G25" s="24"/>
      <c r="H25" s="145" t="s">
        <v>76</v>
      </c>
      <c r="I25" s="156"/>
      <c r="J25" s="156"/>
      <c r="K25" s="156"/>
      <c r="L25" s="156"/>
      <c r="M25" s="42"/>
      <c r="O25" s="97"/>
      <c r="P25" s="106"/>
      <c r="Q25" s="57"/>
      <c r="R25" s="143"/>
      <c r="S25" s="26"/>
      <c r="T25" s="8"/>
      <c r="U25" s="8"/>
      <c r="V25" s="8"/>
      <c r="W25" s="25"/>
      <c r="X25" s="57"/>
      <c r="AG25" s="92"/>
      <c r="AH25" s="13"/>
      <c r="AI25" s="13"/>
    </row>
    <row r="26" spans="1:35" ht="12.4" customHeight="1" x14ac:dyDescent="0.2">
      <c r="A26" s="97">
        <v>3.0887665748596191</v>
      </c>
      <c r="B26" s="107">
        <v>1.1901790041097229E-2</v>
      </c>
      <c r="C26" s="24">
        <f t="shared" si="0"/>
        <v>0</v>
      </c>
      <c r="D26" s="24">
        <f t="shared" si="1"/>
        <v>8.3720255304121517E-3</v>
      </c>
      <c r="E26" s="24">
        <f t="shared" si="1"/>
        <v>0</v>
      </c>
      <c r="F26" s="24">
        <f t="shared" si="2"/>
        <v>0</v>
      </c>
      <c r="G26" s="24"/>
      <c r="H26" s="114" t="s">
        <v>88</v>
      </c>
      <c r="I26" s="114" t="s">
        <v>2</v>
      </c>
      <c r="J26" s="114" t="s">
        <v>83</v>
      </c>
      <c r="K26" s="114"/>
      <c r="L26" s="114" t="s">
        <v>83</v>
      </c>
      <c r="M26" s="114" t="s">
        <v>15</v>
      </c>
      <c r="O26" s="97"/>
      <c r="P26" s="106"/>
      <c r="Q26" s="57"/>
      <c r="R26" s="143"/>
      <c r="S26" s="135"/>
      <c r="T26" s="135"/>
      <c r="U26" s="135"/>
      <c r="V26" s="135"/>
      <c r="W26" s="25"/>
      <c r="X26" s="57"/>
      <c r="AG26" s="92"/>
      <c r="AH26" s="13"/>
      <c r="AI26" s="13"/>
    </row>
    <row r="27" spans="1:35" ht="12.4" customHeight="1" x14ac:dyDescent="0.2">
      <c r="A27" s="97">
        <v>3.3725578784942627</v>
      </c>
      <c r="B27" s="107">
        <v>1.3721336340734523E-2</v>
      </c>
      <c r="C27" s="24">
        <f t="shared" si="0"/>
        <v>0</v>
      </c>
      <c r="D27" s="24">
        <f t="shared" si="1"/>
        <v>9.6519412423957621E-3</v>
      </c>
      <c r="E27" s="24">
        <f t="shared" si="1"/>
        <v>0</v>
      </c>
      <c r="F27" s="24">
        <f t="shared" si="2"/>
        <v>0</v>
      </c>
      <c r="G27" s="24"/>
      <c r="H27" s="121" t="s">
        <v>3</v>
      </c>
      <c r="I27" s="121" t="s">
        <v>3</v>
      </c>
      <c r="J27" s="121" t="s">
        <v>3</v>
      </c>
      <c r="K27" s="121" t="s">
        <v>61</v>
      </c>
      <c r="L27" s="121" t="s">
        <v>39</v>
      </c>
      <c r="M27" s="121" t="s">
        <v>9</v>
      </c>
      <c r="O27" s="97"/>
      <c r="P27" s="106"/>
      <c r="Q27" s="57"/>
      <c r="R27" s="143"/>
      <c r="S27" s="135"/>
      <c r="T27" s="135"/>
      <c r="U27" s="135"/>
      <c r="V27" s="135"/>
      <c r="W27" s="25"/>
      <c r="X27" s="57"/>
      <c r="AG27" s="92"/>
      <c r="AH27" s="13"/>
      <c r="AI27" s="13"/>
    </row>
    <row r="28" spans="1:35" ht="12.4" customHeight="1" x14ac:dyDescent="0.2">
      <c r="A28" s="97">
        <v>3.6760144233703613</v>
      </c>
      <c r="B28" s="107">
        <v>1.5715948167634452E-2</v>
      </c>
      <c r="C28" s="24">
        <f t="shared" si="0"/>
        <v>0</v>
      </c>
      <c r="D28" s="24">
        <f t="shared" si="1"/>
        <v>1.1055002553375564E-2</v>
      </c>
      <c r="E28" s="24">
        <f t="shared" si="1"/>
        <v>0</v>
      </c>
      <c r="F28" s="24">
        <f t="shared" si="2"/>
        <v>0</v>
      </c>
      <c r="G28" s="24"/>
      <c r="H28" s="39" t="s">
        <v>35</v>
      </c>
      <c r="I28" s="39" t="s">
        <v>35</v>
      </c>
      <c r="J28" s="39" t="s">
        <v>35</v>
      </c>
      <c r="K28" s="39" t="s">
        <v>25</v>
      </c>
      <c r="L28" s="39" t="s">
        <v>26</v>
      </c>
      <c r="M28" s="39" t="s">
        <v>18</v>
      </c>
      <c r="O28" s="97"/>
      <c r="P28" s="106"/>
      <c r="Q28" s="57"/>
      <c r="R28" s="143"/>
      <c r="S28" s="135"/>
      <c r="T28" s="135"/>
      <c r="U28" s="135"/>
      <c r="V28" s="135"/>
      <c r="W28" s="25"/>
      <c r="X28" s="57"/>
      <c r="AG28" s="92"/>
      <c r="AH28" s="13"/>
      <c r="AI28" s="13"/>
    </row>
    <row r="29" spans="1:35" ht="12.4" customHeight="1" x14ac:dyDescent="0.2">
      <c r="A29" s="97">
        <v>4.0210404396057129</v>
      </c>
      <c r="B29" s="107">
        <v>1.8345803785573479E-2</v>
      </c>
      <c r="C29" s="24">
        <f t="shared" si="0"/>
        <v>0</v>
      </c>
      <c r="D29" s="24">
        <f t="shared" si="1"/>
        <v>1.2904910701532879E-2</v>
      </c>
      <c r="E29" s="24">
        <f t="shared" si="1"/>
        <v>0</v>
      </c>
      <c r="F29" s="24">
        <f t="shared" si="2"/>
        <v>0</v>
      </c>
      <c r="G29" s="24"/>
      <c r="H29" s="110"/>
      <c r="I29" s="97"/>
      <c r="J29" s="97"/>
      <c r="K29" s="97"/>
      <c r="L29" s="97"/>
      <c r="M29" s="97"/>
      <c r="O29" s="97"/>
      <c r="P29" s="106"/>
      <c r="Q29" s="57"/>
      <c r="R29" s="143"/>
      <c r="S29" s="34"/>
      <c r="T29" s="25"/>
      <c r="U29" s="25"/>
      <c r="V29" s="25"/>
      <c r="W29" s="25"/>
      <c r="X29" s="57"/>
      <c r="AG29" s="41"/>
      <c r="AH29" s="13"/>
      <c r="AI29" s="13"/>
    </row>
    <row r="30" spans="1:35" ht="12.4" customHeight="1" x14ac:dyDescent="0.2">
      <c r="A30" s="97">
        <v>4.3908481597900391</v>
      </c>
      <c r="B30" s="107">
        <v>2.0744868382432287E-2</v>
      </c>
      <c r="C30" s="24">
        <f t="shared" si="0"/>
        <v>0</v>
      </c>
      <c r="D30" s="24">
        <f t="shared" si="1"/>
        <v>1.4592474503671522E-2</v>
      </c>
      <c r="E30" s="24">
        <f t="shared" si="1"/>
        <v>0</v>
      </c>
      <c r="F30" s="24">
        <f t="shared" si="2"/>
        <v>0</v>
      </c>
      <c r="G30" s="24"/>
      <c r="H30" s="150">
        <f>C136</f>
        <v>1.3082054948499426</v>
      </c>
      <c r="I30" s="150">
        <f>(Table!AJ5-(Table!AJ4-Table!AJ2-'Raw Data'!M30)/Table!AJ3)-'Raw Data'!I34</f>
        <v>8.0921361888800565</v>
      </c>
      <c r="J30" s="150">
        <f>I30-H30</f>
        <v>6.7839306940301141</v>
      </c>
      <c r="K30" s="126">
        <f>H30/I30</f>
        <v>0.16166380104274999</v>
      </c>
      <c r="L30" s="150">
        <f>M30/J30</f>
        <v>2.6549504722755719</v>
      </c>
      <c r="M30" s="150">
        <f>M23</f>
        <v>18.010999999999999</v>
      </c>
      <c r="N30" s="88"/>
      <c r="O30" s="24"/>
      <c r="P30" s="106"/>
      <c r="Q30" s="58"/>
      <c r="R30" s="143"/>
      <c r="S30" s="33"/>
      <c r="T30" s="33"/>
      <c r="U30" s="33"/>
      <c r="V30" s="33"/>
      <c r="W30" s="20"/>
      <c r="X30" s="103"/>
    </row>
    <row r="31" spans="1:35" ht="12.4" customHeight="1" x14ac:dyDescent="0.2">
      <c r="A31" s="97">
        <v>4.8056631088256836</v>
      </c>
      <c r="B31" s="107">
        <v>2.2795986744894435E-2</v>
      </c>
      <c r="C31" s="24">
        <f t="shared" si="0"/>
        <v>0</v>
      </c>
      <c r="D31" s="24">
        <f t="shared" si="1"/>
        <v>1.6035283966545157E-2</v>
      </c>
      <c r="E31" s="24">
        <f t="shared" si="1"/>
        <v>0</v>
      </c>
      <c r="F31" s="24">
        <f t="shared" si="2"/>
        <v>0</v>
      </c>
      <c r="G31" s="24"/>
      <c r="H31" s="110"/>
      <c r="I31" s="97"/>
      <c r="J31" s="97"/>
      <c r="K31" s="97"/>
      <c r="L31" s="97"/>
      <c r="M31" s="131"/>
      <c r="O31" s="61"/>
      <c r="P31" s="106"/>
      <c r="Q31" s="33"/>
      <c r="R31" s="58"/>
      <c r="S31" s="58"/>
      <c r="T31" s="58"/>
      <c r="U31" s="58"/>
      <c r="V31" s="58"/>
    </row>
    <row r="32" spans="1:35" ht="12.4" customHeight="1" x14ac:dyDescent="0.2">
      <c r="A32" s="97">
        <v>5.2518949508666992</v>
      </c>
      <c r="B32" s="107">
        <v>2.4434144748461221E-2</v>
      </c>
      <c r="C32" s="24">
        <f t="shared" si="0"/>
        <v>0</v>
      </c>
      <c r="D32" s="24">
        <f t="shared" si="1"/>
        <v>1.718760648117135E-2</v>
      </c>
      <c r="E32" s="24">
        <f t="shared" si="1"/>
        <v>0</v>
      </c>
      <c r="F32" s="24">
        <f t="shared" si="2"/>
        <v>0</v>
      </c>
      <c r="G32" s="24"/>
      <c r="I32" s="165" t="s">
        <v>36</v>
      </c>
      <c r="J32" s="166"/>
      <c r="K32" s="165" t="s">
        <v>64</v>
      </c>
      <c r="L32" s="166"/>
      <c r="M32" s="34"/>
      <c r="N32" s="131"/>
      <c r="O32" s="61"/>
      <c r="P32" s="106"/>
      <c r="Q32" s="33"/>
      <c r="R32" s="58"/>
      <c r="S32" s="58"/>
      <c r="T32" s="58"/>
      <c r="U32" s="58"/>
      <c r="V32" s="58"/>
    </row>
    <row r="33" spans="1:22" ht="12.4" customHeight="1" x14ac:dyDescent="0.2">
      <c r="A33" s="97">
        <v>5.7560033798217773</v>
      </c>
      <c r="B33" s="107">
        <v>2.5198515183262316E-2</v>
      </c>
      <c r="C33" s="24">
        <f t="shared" si="0"/>
        <v>0</v>
      </c>
      <c r="D33" s="24">
        <f t="shared" si="1"/>
        <v>1.7725284323979025E-2</v>
      </c>
      <c r="E33" s="24">
        <f t="shared" si="1"/>
        <v>0</v>
      </c>
      <c r="F33" s="24">
        <f t="shared" si="2"/>
        <v>0</v>
      </c>
      <c r="G33" s="24"/>
      <c r="I33" s="167" t="s">
        <v>35</v>
      </c>
      <c r="J33" s="168"/>
      <c r="K33" s="167" t="s">
        <v>48</v>
      </c>
      <c r="L33" s="168"/>
      <c r="M33" s="58"/>
      <c r="N33" s="131"/>
      <c r="O33" s="61"/>
      <c r="P33" s="106"/>
      <c r="Q33" s="33"/>
      <c r="R33" s="58"/>
      <c r="S33" s="58"/>
      <c r="T33" s="58"/>
      <c r="U33" s="58"/>
      <c r="V33" s="58"/>
    </row>
    <row r="34" spans="1:22" ht="12.4" customHeight="1" x14ac:dyDescent="0.2">
      <c r="A34" s="97">
        <v>6.2936878204345703</v>
      </c>
      <c r="B34" s="107">
        <v>2.5609269754465456E-2</v>
      </c>
      <c r="C34" s="24">
        <f t="shared" si="0"/>
        <v>0</v>
      </c>
      <c r="D34" s="24">
        <f t="shared" si="1"/>
        <v>1.8014219664375025E-2</v>
      </c>
      <c r="E34" s="24">
        <f t="shared" si="1"/>
        <v>0</v>
      </c>
      <c r="F34" s="24">
        <f t="shared" si="2"/>
        <v>0</v>
      </c>
      <c r="G34" s="24"/>
      <c r="I34" s="159">
        <v>3.0352281513710295E-2</v>
      </c>
      <c r="J34" s="22"/>
      <c r="K34" s="111">
        <f ca="1">LOOKUP(I34,B$18:B$136,OFFSET(A$18:A$136,1,0))</f>
        <v>28.972755432128906</v>
      </c>
      <c r="L34" s="22"/>
      <c r="M34" s="152"/>
      <c r="N34" s="131"/>
      <c r="O34" s="61"/>
      <c r="P34" s="106"/>
      <c r="Q34" s="33"/>
      <c r="R34" s="58"/>
      <c r="S34" s="58"/>
      <c r="T34" s="58"/>
      <c r="U34" s="58"/>
      <c r="V34" s="58"/>
    </row>
    <row r="35" spans="1:22" ht="12.4" customHeight="1" x14ac:dyDescent="0.2">
      <c r="A35" s="97">
        <v>6.8869314193725586</v>
      </c>
      <c r="B35" s="107">
        <v>2.6135769470331978E-2</v>
      </c>
      <c r="C35" s="24">
        <f t="shared" si="0"/>
        <v>0</v>
      </c>
      <c r="D35" s="24">
        <f t="shared" si="1"/>
        <v>1.8384573119424121E-2</v>
      </c>
      <c r="E35" s="24">
        <f t="shared" si="1"/>
        <v>0</v>
      </c>
      <c r="F35" s="24">
        <f t="shared" si="2"/>
        <v>0</v>
      </c>
      <c r="G35" s="24"/>
      <c r="H35" s="110"/>
      <c r="I35" s="97"/>
      <c r="J35" s="97"/>
      <c r="K35" s="25"/>
      <c r="L35" s="25"/>
      <c r="M35" s="25"/>
      <c r="N35" s="131"/>
      <c r="O35" s="61"/>
      <c r="P35" s="106"/>
      <c r="Q35" s="33"/>
      <c r="R35" s="58"/>
      <c r="S35" s="58"/>
      <c r="T35" s="58"/>
      <c r="U35" s="58"/>
      <c r="V35" s="58"/>
    </row>
    <row r="36" spans="1:22" ht="12.4" customHeight="1" x14ac:dyDescent="0.2">
      <c r="A36" s="97">
        <v>7.5302977561950684</v>
      </c>
      <c r="B36" s="107">
        <v>2.654603549730291E-2</v>
      </c>
      <c r="C36" s="24">
        <f t="shared" si="0"/>
        <v>0</v>
      </c>
      <c r="D36" s="24">
        <f t="shared" si="1"/>
        <v>1.8673164805229455E-2</v>
      </c>
      <c r="E36" s="24">
        <f t="shared" si="1"/>
        <v>0</v>
      </c>
      <c r="F36" s="24">
        <f t="shared" si="2"/>
        <v>0</v>
      </c>
      <c r="G36" s="24"/>
      <c r="H36" s="110"/>
      <c r="I36" s="97"/>
      <c r="J36" s="97"/>
      <c r="K36" s="97"/>
      <c r="L36" s="97"/>
      <c r="M36" s="97"/>
      <c r="N36" s="131"/>
      <c r="O36" s="61"/>
      <c r="P36" s="106"/>
      <c r="Q36" s="33"/>
      <c r="R36" s="58"/>
      <c r="S36" s="58"/>
      <c r="T36" s="58"/>
      <c r="U36" s="58"/>
      <c r="V36" s="58"/>
    </row>
    <row r="37" spans="1:22" ht="12.4" customHeight="1" x14ac:dyDescent="0.2">
      <c r="A37" s="97">
        <v>8.242253303527832</v>
      </c>
      <c r="B37" s="107">
        <v>2.6894224955437494E-2</v>
      </c>
      <c r="C37" s="24">
        <f t="shared" si="0"/>
        <v>0</v>
      </c>
      <c r="D37" s="24">
        <f t="shared" si="1"/>
        <v>1.8918090234333596E-2</v>
      </c>
      <c r="E37" s="24">
        <f t="shared" si="1"/>
        <v>0</v>
      </c>
      <c r="F37" s="24">
        <f t="shared" si="2"/>
        <v>0</v>
      </c>
      <c r="G37" s="24"/>
      <c r="H37" s="110"/>
      <c r="I37" s="97"/>
      <c r="J37" s="97"/>
      <c r="K37" s="97"/>
      <c r="L37" s="97"/>
      <c r="M37" s="97"/>
      <c r="N37" s="131"/>
      <c r="O37" s="61"/>
      <c r="P37" s="106"/>
      <c r="Q37" s="33"/>
      <c r="R37" s="58"/>
      <c r="S37" s="58"/>
      <c r="T37" s="58"/>
      <c r="U37" s="58"/>
      <c r="V37" s="58"/>
    </row>
    <row r="38" spans="1:22" ht="12.4" customHeight="1" x14ac:dyDescent="0.2">
      <c r="A38" s="97">
        <v>9.024317741394043</v>
      </c>
      <c r="B38" s="107">
        <v>2.7246113091793631E-2</v>
      </c>
      <c r="C38" s="24">
        <f t="shared" si="0"/>
        <v>0</v>
      </c>
      <c r="D38" s="24">
        <f t="shared" si="1"/>
        <v>1.9165617408922465E-2</v>
      </c>
      <c r="E38" s="24">
        <f t="shared" si="1"/>
        <v>0</v>
      </c>
      <c r="F38" s="24">
        <f t="shared" si="2"/>
        <v>0</v>
      </c>
      <c r="G38" s="24"/>
      <c r="N38" s="131"/>
      <c r="O38" s="61"/>
      <c r="P38" s="106"/>
      <c r="Q38" s="33"/>
      <c r="R38" s="58"/>
      <c r="S38" s="58"/>
      <c r="T38" s="58"/>
      <c r="U38" s="58"/>
      <c r="V38" s="58"/>
    </row>
    <row r="39" spans="1:22" ht="12.4" customHeight="1" x14ac:dyDescent="0.2">
      <c r="A39" s="97">
        <v>9.8707351684570312</v>
      </c>
      <c r="B39" s="107">
        <v>2.7540195752021643E-2</v>
      </c>
      <c r="C39" s="24">
        <f t="shared" si="0"/>
        <v>0</v>
      </c>
      <c r="D39" s="24">
        <f t="shared" si="1"/>
        <v>1.9372482723381788E-2</v>
      </c>
      <c r="E39" s="24">
        <f t="shared" si="1"/>
        <v>0</v>
      </c>
      <c r="F39" s="24">
        <f t="shared" si="2"/>
        <v>0</v>
      </c>
      <c r="G39" s="24"/>
      <c r="N39" s="131"/>
      <c r="O39" s="61"/>
      <c r="P39" s="106"/>
      <c r="Q39" s="33"/>
      <c r="R39" s="58"/>
      <c r="S39" s="58"/>
      <c r="T39" s="58"/>
      <c r="U39" s="58"/>
      <c r="V39" s="58"/>
    </row>
    <row r="40" spans="1:22" ht="12.4" customHeight="1" x14ac:dyDescent="0.2">
      <c r="A40" s="97">
        <v>10.769113540649414</v>
      </c>
      <c r="B40" s="107">
        <v>2.7833368419988801E-2</v>
      </c>
      <c r="C40" s="24">
        <f t="shared" si="0"/>
        <v>0</v>
      </c>
      <c r="D40" s="24">
        <f t="shared" si="1"/>
        <v>1.9578707925856781E-2</v>
      </c>
      <c r="E40" s="24">
        <f t="shared" si="1"/>
        <v>0</v>
      </c>
      <c r="F40" s="24">
        <f t="shared" si="2"/>
        <v>0</v>
      </c>
      <c r="G40" s="24"/>
      <c r="N40" s="131"/>
      <c r="O40" s="61"/>
      <c r="P40" s="106"/>
      <c r="Q40" s="33"/>
      <c r="R40" s="58"/>
      <c r="S40" s="58"/>
      <c r="T40" s="58"/>
      <c r="U40" s="58"/>
      <c r="V40" s="58"/>
    </row>
    <row r="41" spans="1:22" ht="12.4" customHeight="1" x14ac:dyDescent="0.2">
      <c r="A41" s="97">
        <v>11.878936767578125</v>
      </c>
      <c r="B41" s="107">
        <v>2.8125096422822935E-2</v>
      </c>
      <c r="C41" s="24">
        <f t="shared" si="0"/>
        <v>0</v>
      </c>
      <c r="D41" s="24">
        <f t="shared" si="1"/>
        <v>1.9783916913683822E-2</v>
      </c>
      <c r="E41" s="24">
        <f t="shared" si="1"/>
        <v>0</v>
      </c>
      <c r="F41" s="24">
        <f t="shared" si="2"/>
        <v>0</v>
      </c>
      <c r="G41" s="24"/>
      <c r="N41" s="131"/>
      <c r="O41" s="61"/>
      <c r="P41" s="106"/>
      <c r="Q41" s="33"/>
      <c r="R41" s="58"/>
      <c r="S41" s="58"/>
      <c r="T41" s="58"/>
      <c r="U41" s="58"/>
      <c r="V41" s="58"/>
    </row>
    <row r="42" spans="1:22" ht="12.4" customHeight="1" x14ac:dyDescent="0.2">
      <c r="A42" s="97">
        <v>12.864531517028809</v>
      </c>
      <c r="B42" s="107">
        <v>2.8359316688932268E-2</v>
      </c>
      <c r="C42" s="24">
        <f t="shared" si="0"/>
        <v>0</v>
      </c>
      <c r="D42" s="24">
        <f t="shared" si="1"/>
        <v>1.9948673478943014E-2</v>
      </c>
      <c r="E42" s="24">
        <f t="shared" si="1"/>
        <v>0</v>
      </c>
      <c r="F42" s="24">
        <f t="shared" si="2"/>
        <v>0</v>
      </c>
      <c r="G42" s="24"/>
      <c r="H42" s="110"/>
      <c r="I42" s="97"/>
      <c r="J42" s="97"/>
      <c r="K42" s="97"/>
      <c r="L42" s="97"/>
      <c r="M42" s="97"/>
      <c r="N42" s="131"/>
      <c r="O42" s="61"/>
      <c r="P42" s="106"/>
      <c r="Q42" s="33"/>
      <c r="R42" s="58"/>
      <c r="S42" s="58"/>
      <c r="T42" s="58"/>
      <c r="U42" s="58"/>
      <c r="V42" s="58"/>
    </row>
    <row r="43" spans="1:22" ht="12.4" customHeight="1" x14ac:dyDescent="0.2">
      <c r="A43" s="97">
        <v>14.162136077880859</v>
      </c>
      <c r="B43" s="107">
        <v>2.8652099360216197E-2</v>
      </c>
      <c r="C43" s="24">
        <f t="shared" si="0"/>
        <v>0</v>
      </c>
      <c r="D43" s="24">
        <f t="shared" si="1"/>
        <v>2.0154624347710429E-2</v>
      </c>
      <c r="E43" s="24">
        <f t="shared" si="1"/>
        <v>0</v>
      </c>
      <c r="F43" s="24">
        <f t="shared" si="2"/>
        <v>0</v>
      </c>
      <c r="G43" s="24"/>
      <c r="H43" s="110"/>
      <c r="I43" s="97"/>
      <c r="J43" s="97"/>
      <c r="K43" s="97"/>
      <c r="L43" s="97"/>
      <c r="M43" s="137"/>
      <c r="N43" s="131"/>
      <c r="O43" s="61"/>
      <c r="P43" s="106"/>
      <c r="Q43" s="33"/>
      <c r="R43" s="58"/>
      <c r="S43" s="58"/>
      <c r="T43" s="58"/>
      <c r="U43" s="58"/>
      <c r="V43" s="58"/>
    </row>
    <row r="44" spans="1:22" ht="12.4" customHeight="1" x14ac:dyDescent="0.2">
      <c r="A44" s="97">
        <v>15.457582473754883</v>
      </c>
      <c r="B44" s="107">
        <v>2.8831309126427184E-2</v>
      </c>
      <c r="C44" s="24">
        <f t="shared" si="0"/>
        <v>0</v>
      </c>
      <c r="D44" s="24">
        <f t="shared" si="1"/>
        <v>2.0280685111077688E-2</v>
      </c>
      <c r="E44" s="24">
        <f t="shared" si="1"/>
        <v>0</v>
      </c>
      <c r="F44" s="24">
        <f t="shared" si="2"/>
        <v>0</v>
      </c>
      <c r="G44" s="24"/>
      <c r="H44" s="110"/>
      <c r="I44" s="97"/>
      <c r="J44" s="97"/>
      <c r="K44" s="97"/>
      <c r="L44" s="97"/>
      <c r="M44" s="137"/>
      <c r="N44" s="131"/>
      <c r="O44" s="61"/>
      <c r="P44" s="106"/>
      <c r="Q44" s="33"/>
      <c r="R44" s="58"/>
      <c r="S44" s="58"/>
      <c r="T44" s="58"/>
      <c r="U44" s="58"/>
      <c r="V44" s="58"/>
    </row>
    <row r="45" spans="1:22" ht="12.4" customHeight="1" x14ac:dyDescent="0.2">
      <c r="A45" s="97">
        <v>16.859670639038086</v>
      </c>
      <c r="B45" s="107">
        <v>2.9006751021456691E-2</v>
      </c>
      <c r="C45" s="24">
        <f t="shared" si="0"/>
        <v>0</v>
      </c>
      <c r="D45" s="24">
        <f t="shared" si="1"/>
        <v>2.0404095456850811E-2</v>
      </c>
      <c r="E45" s="24">
        <f t="shared" si="1"/>
        <v>0</v>
      </c>
      <c r="F45" s="24">
        <f t="shared" si="2"/>
        <v>0</v>
      </c>
      <c r="G45" s="24"/>
      <c r="H45" s="110"/>
      <c r="I45" s="97"/>
      <c r="J45" s="97"/>
      <c r="K45" s="97"/>
      <c r="L45" s="97"/>
      <c r="M45" s="137"/>
      <c r="N45" s="131"/>
      <c r="O45" s="61"/>
      <c r="P45" s="106"/>
      <c r="Q45" s="33"/>
      <c r="R45" s="58"/>
      <c r="S45" s="58"/>
      <c r="T45" s="58"/>
      <c r="U45" s="58"/>
      <c r="V45" s="58"/>
    </row>
    <row r="46" spans="1:22" ht="12.4" customHeight="1" x14ac:dyDescent="0.2">
      <c r="A46" s="97">
        <v>18.490869522094727</v>
      </c>
      <c r="B46" s="107">
        <v>2.9355185800085563E-2</v>
      </c>
      <c r="C46" s="24">
        <f t="shared" si="0"/>
        <v>0</v>
      </c>
      <c r="D46" s="24">
        <f t="shared" si="1"/>
        <v>2.0649193450706489E-2</v>
      </c>
      <c r="E46" s="24">
        <f t="shared" si="1"/>
        <v>0</v>
      </c>
      <c r="F46" s="24">
        <f t="shared" si="2"/>
        <v>0</v>
      </c>
      <c r="G46" s="24"/>
      <c r="H46" s="110"/>
      <c r="I46" s="97"/>
      <c r="J46" s="97"/>
      <c r="K46" s="97"/>
      <c r="L46" s="97"/>
      <c r="M46" s="137"/>
      <c r="N46" s="131"/>
      <c r="O46" s="61"/>
      <c r="P46" s="106"/>
      <c r="Q46" s="33"/>
      <c r="R46" s="58"/>
      <c r="S46" s="58"/>
      <c r="T46" s="58"/>
      <c r="U46" s="58"/>
      <c r="V46" s="58"/>
    </row>
    <row r="47" spans="1:22" ht="12.4" customHeight="1" x14ac:dyDescent="0.2">
      <c r="A47" s="97">
        <v>20.254451751708984</v>
      </c>
      <c r="B47" s="107">
        <v>2.9591653789014342E-2</v>
      </c>
      <c r="C47" s="24">
        <f t="shared" si="0"/>
        <v>0</v>
      </c>
      <c r="D47" s="24">
        <f t="shared" si="1"/>
        <v>2.0815531122065248E-2</v>
      </c>
      <c r="E47" s="24">
        <f t="shared" si="1"/>
        <v>0</v>
      </c>
      <c r="F47" s="24">
        <f t="shared" si="2"/>
        <v>0</v>
      </c>
      <c r="G47" s="24"/>
      <c r="H47" s="110"/>
      <c r="I47" s="97"/>
      <c r="J47" s="97"/>
      <c r="K47" s="97"/>
      <c r="L47" s="97"/>
      <c r="M47" s="137"/>
      <c r="N47" s="131"/>
      <c r="O47" s="61"/>
      <c r="P47" s="106"/>
      <c r="Q47" s="33"/>
      <c r="R47" s="58"/>
      <c r="S47" s="58"/>
      <c r="T47" s="58"/>
      <c r="U47" s="58"/>
      <c r="V47" s="58"/>
    </row>
    <row r="48" spans="1:22" ht="12.4" customHeight="1" x14ac:dyDescent="0.2">
      <c r="A48" s="97">
        <v>22.186550140380859</v>
      </c>
      <c r="B48" s="107">
        <v>2.9883876626349774E-2</v>
      </c>
      <c r="C48" s="24">
        <f t="shared" si="0"/>
        <v>0</v>
      </c>
      <c r="D48" s="24">
        <f t="shared" si="1"/>
        <v>2.1021088189220178E-2</v>
      </c>
      <c r="E48" s="24">
        <f t="shared" si="1"/>
        <v>0</v>
      </c>
      <c r="F48" s="24">
        <f t="shared" si="2"/>
        <v>0</v>
      </c>
      <c r="G48" s="24"/>
      <c r="H48" s="110"/>
      <c r="I48" s="97"/>
      <c r="J48" s="97"/>
      <c r="K48" s="97"/>
      <c r="L48" s="97"/>
      <c r="M48" s="137"/>
      <c r="N48" s="131"/>
      <c r="O48" s="61"/>
      <c r="P48" s="106"/>
      <c r="Q48" s="33"/>
      <c r="R48" s="58"/>
      <c r="S48" s="58"/>
      <c r="T48" s="58"/>
      <c r="U48" s="58"/>
      <c r="V48" s="58"/>
    </row>
    <row r="49" spans="1:22" ht="12.4" customHeight="1" x14ac:dyDescent="0.2">
      <c r="A49" s="97">
        <v>24.263900756835938</v>
      </c>
      <c r="B49" s="107">
        <v>3.0352281513710295E-2</v>
      </c>
      <c r="C49" s="24">
        <f t="shared" si="0"/>
        <v>0</v>
      </c>
      <c r="D49" s="24">
        <f t="shared" si="1"/>
        <v>2.1350576246227659E-2</v>
      </c>
      <c r="E49" s="24">
        <f t="shared" si="1"/>
        <v>0</v>
      </c>
      <c r="F49" s="24">
        <f t="shared" si="2"/>
        <v>0</v>
      </c>
      <c r="G49" s="24"/>
      <c r="H49" s="110"/>
      <c r="I49" s="97"/>
      <c r="J49" s="97"/>
      <c r="K49" s="97"/>
      <c r="L49" s="137"/>
      <c r="M49" s="137"/>
      <c r="N49" s="131"/>
      <c r="O49" s="61"/>
      <c r="P49" s="106"/>
      <c r="Q49" s="33"/>
      <c r="R49" s="58"/>
      <c r="S49" s="58"/>
      <c r="T49" s="58"/>
      <c r="U49" s="58"/>
      <c r="V49" s="58"/>
    </row>
    <row r="50" spans="1:22" ht="12.4" customHeight="1" x14ac:dyDescent="0.2">
      <c r="A50" s="97">
        <v>26.587152481079102</v>
      </c>
      <c r="B50" s="107">
        <v>3.0352281513710295E-2</v>
      </c>
      <c r="C50" s="24">
        <f t="shared" si="0"/>
        <v>0</v>
      </c>
      <c r="D50" s="24">
        <f t="shared" si="1"/>
        <v>2.1350576246227659E-2</v>
      </c>
      <c r="E50" s="24">
        <f t="shared" si="1"/>
        <v>0</v>
      </c>
      <c r="F50" s="24">
        <f t="shared" si="2"/>
        <v>0</v>
      </c>
      <c r="G50" s="24"/>
      <c r="H50" s="110"/>
      <c r="I50" s="97"/>
      <c r="J50" s="97"/>
      <c r="K50" s="97"/>
      <c r="L50" s="137"/>
      <c r="M50" s="137"/>
      <c r="N50" s="131"/>
      <c r="O50" s="61"/>
      <c r="P50" s="106"/>
      <c r="Q50" s="33"/>
      <c r="R50" s="58"/>
      <c r="S50" s="58"/>
      <c r="T50" s="58"/>
      <c r="U50" s="58"/>
      <c r="V50" s="58"/>
    </row>
    <row r="51" spans="1:22" ht="12.4" customHeight="1" x14ac:dyDescent="0.2">
      <c r="A51" s="97">
        <v>28.972755432128906</v>
      </c>
      <c r="B51" s="107">
        <v>3.07685170060422E-2</v>
      </c>
      <c r="C51" s="24">
        <f t="shared" si="0"/>
        <v>4.1623549233190532E-4</v>
      </c>
      <c r="D51" s="24">
        <f t="shared" si="1"/>
        <v>2.1643367007653756E-2</v>
      </c>
      <c r="E51" s="24">
        <f t="shared" si="1"/>
        <v>2.9279076142609591E-4</v>
      </c>
      <c r="F51" s="24">
        <f t="shared" si="2"/>
        <v>2.9279076142609591E-4</v>
      </c>
      <c r="G51" s="24"/>
      <c r="H51" s="110"/>
      <c r="I51" s="97"/>
      <c r="J51" s="97"/>
      <c r="K51" s="97"/>
      <c r="L51" s="137"/>
      <c r="M51" s="137"/>
      <c r="N51" s="131"/>
      <c r="O51" s="61"/>
      <c r="P51" s="106"/>
      <c r="Q51" s="33"/>
      <c r="R51" s="58"/>
      <c r="S51" s="58"/>
      <c r="T51" s="58"/>
      <c r="U51" s="58"/>
      <c r="V51" s="58"/>
    </row>
    <row r="52" spans="1:22" ht="12.4" customHeight="1" x14ac:dyDescent="0.2">
      <c r="A52" s="97">
        <v>30.809900283813477</v>
      </c>
      <c r="B52" s="107">
        <v>3.1586300212394232E-2</v>
      </c>
      <c r="C52" s="24">
        <f t="shared" si="0"/>
        <v>1.234018698683937E-3</v>
      </c>
      <c r="D52" s="24">
        <f t="shared" si="1"/>
        <v>2.2218616769099753E-2</v>
      </c>
      <c r="E52" s="24">
        <f t="shared" si="1"/>
        <v>8.6804052287209256E-4</v>
      </c>
      <c r="F52" s="24">
        <f t="shared" si="2"/>
        <v>5.7524976144599665E-4</v>
      </c>
      <c r="G52" s="24"/>
      <c r="H52" s="110"/>
      <c r="I52" s="97"/>
      <c r="J52" s="97"/>
      <c r="K52" s="97"/>
      <c r="L52" s="137"/>
      <c r="M52" s="137"/>
      <c r="N52" s="131"/>
      <c r="O52" s="61"/>
      <c r="P52" s="106"/>
      <c r="Q52" s="33"/>
      <c r="R52" s="58"/>
      <c r="S52" s="58"/>
      <c r="T52" s="58"/>
      <c r="U52" s="58"/>
      <c r="V52" s="58"/>
    </row>
    <row r="53" spans="1:22" ht="12.4" customHeight="1" x14ac:dyDescent="0.2">
      <c r="A53" s="97">
        <v>33.470127105712891</v>
      </c>
      <c r="B53" s="107">
        <v>3.2331741130764383E-2</v>
      </c>
      <c r="C53" s="24">
        <f t="shared" si="0"/>
        <v>1.9794596170540878E-3</v>
      </c>
      <c r="D53" s="24">
        <f t="shared" si="1"/>
        <v>2.2742979102703263E-2</v>
      </c>
      <c r="E53" s="24">
        <f t="shared" si="1"/>
        <v>1.3924028564756047E-3</v>
      </c>
      <c r="F53" s="24">
        <f t="shared" si="2"/>
        <v>5.2436233360351212E-4</v>
      </c>
      <c r="G53" s="24"/>
      <c r="H53" s="110"/>
      <c r="I53" s="97"/>
      <c r="J53" s="97"/>
      <c r="K53" s="97"/>
      <c r="L53" s="137"/>
      <c r="M53" s="137"/>
      <c r="N53" s="131"/>
      <c r="O53" s="61"/>
      <c r="P53" s="106"/>
      <c r="Q53" s="33"/>
      <c r="R53" s="58"/>
      <c r="S53" s="58"/>
      <c r="T53" s="58"/>
      <c r="U53" s="58"/>
      <c r="V53" s="58"/>
    </row>
    <row r="54" spans="1:22" ht="12.4" customHeight="1" x14ac:dyDescent="0.2">
      <c r="A54" s="97">
        <v>36.739761352539063</v>
      </c>
      <c r="B54" s="107">
        <v>3.3269725089047825E-2</v>
      </c>
      <c r="C54" s="24">
        <f t="shared" si="0"/>
        <v>2.9174435753375298E-3</v>
      </c>
      <c r="D54" s="24">
        <f t="shared" si="1"/>
        <v>2.3402781167665761E-2</v>
      </c>
      <c r="E54" s="24">
        <f t="shared" si="1"/>
        <v>2.0522049214381009E-3</v>
      </c>
      <c r="F54" s="24">
        <f t="shared" si="2"/>
        <v>6.5980206496249623E-4</v>
      </c>
      <c r="G54" s="24"/>
      <c r="H54" s="110"/>
      <c r="I54" s="97"/>
      <c r="J54" s="97"/>
      <c r="K54" s="97"/>
      <c r="L54" s="137"/>
      <c r="M54" s="137"/>
      <c r="N54" s="131"/>
      <c r="O54" s="61"/>
      <c r="P54" s="106"/>
      <c r="Q54" s="33"/>
      <c r="R54" s="58"/>
      <c r="S54" s="58"/>
      <c r="T54" s="58"/>
      <c r="U54" s="58"/>
      <c r="V54" s="58"/>
    </row>
    <row r="55" spans="1:22" ht="12.4" customHeight="1" x14ac:dyDescent="0.2">
      <c r="A55" s="97">
        <v>40.539108276367188</v>
      </c>
      <c r="B55" s="107">
        <v>3.4724070946190295E-2</v>
      </c>
      <c r="C55" s="24">
        <f t="shared" si="0"/>
        <v>4.3717894324800007E-3</v>
      </c>
      <c r="D55" s="24">
        <f t="shared" si="1"/>
        <v>2.4425805486192841E-2</v>
      </c>
      <c r="E55" s="24">
        <f t="shared" si="1"/>
        <v>3.0752292399651836E-3</v>
      </c>
      <c r="F55" s="24">
        <f t="shared" si="2"/>
        <v>1.0230243185270827E-3</v>
      </c>
      <c r="G55" s="24"/>
      <c r="H55" s="110"/>
      <c r="I55" s="97"/>
      <c r="J55" s="97"/>
      <c r="K55" s="97"/>
      <c r="L55" s="137"/>
      <c r="M55" s="137"/>
      <c r="N55" s="131"/>
      <c r="O55" s="61"/>
      <c r="P55" s="106"/>
      <c r="Q55" s="33"/>
      <c r="R55" s="58"/>
      <c r="S55" s="58"/>
      <c r="T55" s="58"/>
      <c r="U55" s="58"/>
      <c r="V55" s="58"/>
    </row>
    <row r="56" spans="1:22" ht="12.4" customHeight="1" x14ac:dyDescent="0.2">
      <c r="A56" s="97">
        <v>44.377071380615234</v>
      </c>
      <c r="B56" s="107">
        <v>3.6450001267802692E-2</v>
      </c>
      <c r="C56" s="24">
        <f t="shared" si="0"/>
        <v>6.0977197540923976E-3</v>
      </c>
      <c r="D56" s="24">
        <f t="shared" si="1"/>
        <v>2.5639869309059551E-2</v>
      </c>
      <c r="E56" s="24">
        <f t="shared" si="1"/>
        <v>4.2892930628318938E-3</v>
      </c>
      <c r="F56" s="24">
        <f t="shared" si="2"/>
        <v>1.2140638228667101E-3</v>
      </c>
      <c r="G56" s="24"/>
      <c r="H56" s="110"/>
      <c r="I56" s="97"/>
      <c r="J56" s="97"/>
      <c r="K56" s="97"/>
      <c r="L56" s="137"/>
      <c r="M56" s="137"/>
      <c r="N56" s="131"/>
      <c r="O56" s="61"/>
      <c r="P56" s="106"/>
      <c r="Q56" s="33"/>
      <c r="R56" s="58"/>
      <c r="S56" s="58"/>
      <c r="T56" s="58"/>
      <c r="U56" s="58"/>
      <c r="V56" s="58"/>
    </row>
    <row r="57" spans="1:22" ht="12.4" customHeight="1" x14ac:dyDescent="0.2">
      <c r="A57" s="97">
        <v>48.677082061767578</v>
      </c>
      <c r="B57" s="107">
        <v>3.8345653533090628E-2</v>
      </c>
      <c r="C57" s="24">
        <f t="shared" si="0"/>
        <v>7.9933720193803327E-3</v>
      </c>
      <c r="D57" s="24">
        <f t="shared" si="1"/>
        <v>2.6973319916654973E-2</v>
      </c>
      <c r="E57" s="24">
        <f t="shared" si="1"/>
        <v>5.6227436704273147E-3</v>
      </c>
      <c r="F57" s="24">
        <f t="shared" si="2"/>
        <v>1.3334506075954209E-3</v>
      </c>
      <c r="G57" s="24"/>
      <c r="H57" s="110"/>
      <c r="I57" s="137"/>
      <c r="J57" s="97"/>
      <c r="K57" s="97"/>
      <c r="L57" s="137"/>
      <c r="M57" s="137"/>
      <c r="N57" s="131"/>
      <c r="O57" s="61"/>
      <c r="P57" s="106"/>
      <c r="Q57" s="33"/>
      <c r="R57" s="58"/>
      <c r="S57" s="58"/>
      <c r="T57" s="58"/>
      <c r="U57" s="58"/>
      <c r="V57" s="58"/>
    </row>
    <row r="58" spans="1:22" ht="12.4" customHeight="1" x14ac:dyDescent="0.2">
      <c r="A58" s="97">
        <v>53.340179443359375</v>
      </c>
      <c r="B58" s="107">
        <v>4.039133710306396E-2</v>
      </c>
      <c r="C58" s="24">
        <f t="shared" si="0"/>
        <v>1.0039055589353665E-2</v>
      </c>
      <c r="D58" s="24">
        <f t="shared" si="1"/>
        <v>2.8412306406571452E-2</v>
      </c>
      <c r="E58" s="24">
        <f t="shared" si="1"/>
        <v>7.0617301603437934E-3</v>
      </c>
      <c r="F58" s="24">
        <f t="shared" si="2"/>
        <v>1.4389864899164787E-3</v>
      </c>
      <c r="G58" s="24"/>
      <c r="H58" s="110"/>
      <c r="I58" s="137"/>
      <c r="J58" s="97"/>
      <c r="K58" s="97"/>
      <c r="L58" s="137"/>
      <c r="M58" s="137"/>
      <c r="N58" s="131"/>
      <c r="O58" s="61"/>
      <c r="P58" s="106"/>
      <c r="Q58" s="33"/>
      <c r="R58" s="58"/>
      <c r="S58" s="58"/>
      <c r="T58" s="58"/>
      <c r="U58" s="58"/>
      <c r="V58" s="58"/>
    </row>
    <row r="59" spans="1:22" ht="12.4" customHeight="1" x14ac:dyDescent="0.2">
      <c r="A59" s="97">
        <v>58.657379150390625</v>
      </c>
      <c r="B59" s="107">
        <v>4.2403577409072565E-2</v>
      </c>
      <c r="C59" s="24">
        <f t="shared" si="0"/>
        <v>1.205129589536227E-2</v>
      </c>
      <c r="D59" s="24">
        <f t="shared" si="1"/>
        <v>2.9827768043607299E-2</v>
      </c>
      <c r="E59" s="24">
        <f t="shared" si="1"/>
        <v>8.47719179737964E-3</v>
      </c>
      <c r="F59" s="24">
        <f t="shared" si="2"/>
        <v>1.4154616370358466E-3</v>
      </c>
      <c r="G59" s="24"/>
      <c r="H59" s="110"/>
      <c r="I59" s="137"/>
      <c r="J59" s="97"/>
      <c r="K59" s="97"/>
      <c r="L59" s="137"/>
      <c r="M59" s="137"/>
      <c r="N59" s="131"/>
      <c r="O59" s="61"/>
      <c r="P59" s="106"/>
      <c r="Q59" s="33"/>
      <c r="R59" s="58"/>
      <c r="S59" s="58"/>
      <c r="T59" s="58"/>
      <c r="U59" s="58"/>
      <c r="V59" s="58"/>
    </row>
    <row r="60" spans="1:22" ht="12.4" customHeight="1" x14ac:dyDescent="0.2">
      <c r="A60" s="97">
        <v>63.812255859375</v>
      </c>
      <c r="B60" s="107">
        <v>4.4768416651843834E-2</v>
      </c>
      <c r="C60" s="24">
        <f t="shared" si="0"/>
        <v>1.4416135138133539E-2</v>
      </c>
      <c r="D60" s="24">
        <f t="shared" si="1"/>
        <v>3.1491256850537754E-2</v>
      </c>
      <c r="E60" s="24">
        <f t="shared" si="1"/>
        <v>1.0140680604310094E-2</v>
      </c>
      <c r="F60" s="24">
        <f t="shared" si="2"/>
        <v>1.6634888069304542E-3</v>
      </c>
      <c r="G60" s="24"/>
      <c r="H60" s="110"/>
      <c r="I60" s="137"/>
      <c r="J60" s="97"/>
      <c r="K60" s="97"/>
      <c r="L60" s="137"/>
      <c r="M60" s="137"/>
      <c r="N60" s="131"/>
      <c r="O60" s="61"/>
      <c r="P60" s="106"/>
      <c r="Q60" s="33"/>
      <c r="R60" s="58"/>
      <c r="S60" s="58"/>
      <c r="T60" s="58"/>
      <c r="U60" s="58"/>
      <c r="V60" s="58"/>
    </row>
    <row r="61" spans="1:22" ht="12.4" customHeight="1" x14ac:dyDescent="0.2">
      <c r="A61" s="97">
        <v>70.363182067871094</v>
      </c>
      <c r="B61" s="107">
        <v>4.8290015411649616E-2</v>
      </c>
      <c r="C61" s="24">
        <f t="shared" si="0"/>
        <v>1.7937733897939321E-2</v>
      </c>
      <c r="D61" s="24">
        <f t="shared" si="1"/>
        <v>3.3968440082905019E-2</v>
      </c>
      <c r="E61" s="24">
        <f t="shared" si="1"/>
        <v>1.2617863836677361E-2</v>
      </c>
      <c r="F61" s="24">
        <f t="shared" si="2"/>
        <v>2.4771832323672669E-3</v>
      </c>
      <c r="G61" s="24"/>
      <c r="H61" s="110"/>
      <c r="I61" s="137"/>
      <c r="J61" s="97"/>
      <c r="K61" s="97"/>
      <c r="L61" s="137"/>
      <c r="M61" s="137"/>
      <c r="N61" s="131"/>
      <c r="O61" s="61"/>
      <c r="P61" s="106"/>
      <c r="Q61" s="33"/>
      <c r="R61" s="58"/>
      <c r="S61" s="58"/>
      <c r="T61" s="58"/>
      <c r="U61" s="58"/>
      <c r="V61" s="58"/>
    </row>
    <row r="62" spans="1:22" ht="12.4" customHeight="1" x14ac:dyDescent="0.2">
      <c r="A62" s="97">
        <v>76.74688720703125</v>
      </c>
      <c r="B62" s="107">
        <v>5.2099754624155135E-2</v>
      </c>
      <c r="C62" s="24">
        <f t="shared" si="0"/>
        <v>2.1747473110444841E-2</v>
      </c>
      <c r="D62" s="24">
        <f t="shared" si="1"/>
        <v>3.6648308727972131E-2</v>
      </c>
      <c r="E62" s="24">
        <f t="shared" si="1"/>
        <v>1.5297732481744476E-2</v>
      </c>
      <c r="F62" s="24">
        <f t="shared" si="2"/>
        <v>2.6798686450671145E-3</v>
      </c>
      <c r="G62" s="24"/>
      <c r="H62" s="110"/>
      <c r="I62" s="137"/>
      <c r="J62" s="97"/>
      <c r="K62" s="97"/>
      <c r="L62" s="137"/>
      <c r="M62" s="137"/>
      <c r="N62" s="131"/>
      <c r="O62" s="61"/>
      <c r="P62" s="106"/>
      <c r="Q62" s="33"/>
      <c r="R62" s="58"/>
      <c r="S62" s="58"/>
      <c r="T62" s="58"/>
      <c r="U62" s="58"/>
      <c r="V62" s="58"/>
    </row>
    <row r="63" spans="1:22" ht="12.4" customHeight="1" x14ac:dyDescent="0.2">
      <c r="A63" s="97">
        <v>84.146690368652344</v>
      </c>
      <c r="B63" s="107">
        <v>5.8089730455859349E-2</v>
      </c>
      <c r="C63" s="24">
        <f t="shared" si="0"/>
        <v>2.7737448942149055E-2</v>
      </c>
      <c r="D63" s="24">
        <f t="shared" si="1"/>
        <v>4.0861811941893415E-2</v>
      </c>
      <c r="E63" s="24">
        <f t="shared" si="1"/>
        <v>1.9511235695665756E-2</v>
      </c>
      <c r="F63" s="24">
        <f t="shared" si="2"/>
        <v>4.2135032139212804E-3</v>
      </c>
      <c r="G63" s="24"/>
      <c r="H63" s="110"/>
      <c r="I63" s="137"/>
      <c r="J63" s="97"/>
      <c r="K63" s="97"/>
      <c r="L63" s="137"/>
      <c r="M63" s="137"/>
      <c r="N63" s="131"/>
      <c r="O63" s="61"/>
      <c r="P63" s="106"/>
      <c r="Q63" s="33"/>
      <c r="R63" s="58"/>
      <c r="S63" s="58"/>
      <c r="T63" s="58"/>
      <c r="U63" s="58"/>
      <c r="V63" s="58"/>
    </row>
    <row r="64" spans="1:22" x14ac:dyDescent="0.2">
      <c r="A64" s="97">
        <v>92.00323486328125</v>
      </c>
      <c r="B64" s="107">
        <v>6.8181901077360635E-2</v>
      </c>
      <c r="C64" s="24">
        <f t="shared" si="0"/>
        <v>3.7829619563650344E-2</v>
      </c>
      <c r="D64" s="24">
        <f t="shared" si="1"/>
        <v>4.796090458331384E-2</v>
      </c>
      <c r="E64" s="24">
        <f t="shared" si="1"/>
        <v>2.6610328337086181E-2</v>
      </c>
      <c r="F64" s="24">
        <f t="shared" si="2"/>
        <v>7.099092641420425E-3</v>
      </c>
      <c r="G64" s="24"/>
      <c r="H64" s="110"/>
      <c r="I64" s="137"/>
      <c r="J64" s="97"/>
      <c r="K64" s="97"/>
      <c r="L64" s="137"/>
      <c r="M64" s="137"/>
      <c r="N64" s="131"/>
      <c r="O64" s="61"/>
      <c r="P64" s="106"/>
      <c r="Q64" s="33"/>
      <c r="R64" s="58"/>
      <c r="S64" s="58"/>
      <c r="T64" s="58"/>
      <c r="U64" s="58"/>
      <c r="V64" s="58"/>
    </row>
    <row r="65" spans="1:22" x14ac:dyDescent="0.2">
      <c r="A65" s="97">
        <v>101.10221099853516</v>
      </c>
      <c r="B65" s="107">
        <v>8.2159164141484317E-2</v>
      </c>
      <c r="C65" s="24">
        <f t="shared" si="0"/>
        <v>5.1806882627774026E-2</v>
      </c>
      <c r="D65" s="24">
        <f t="shared" si="1"/>
        <v>5.7792871271859315E-2</v>
      </c>
      <c r="E65" s="24">
        <f t="shared" si="1"/>
        <v>3.6442295025631663E-2</v>
      </c>
      <c r="F65" s="24">
        <f t="shared" si="2"/>
        <v>9.8319666885454821E-3</v>
      </c>
      <c r="G65" s="24"/>
      <c r="H65" s="110"/>
      <c r="I65" s="137"/>
      <c r="J65" s="97"/>
      <c r="K65" s="97"/>
      <c r="L65" s="137"/>
      <c r="M65" s="137"/>
      <c r="N65" s="131"/>
      <c r="O65" s="61"/>
      <c r="P65" s="106"/>
      <c r="Q65" s="33"/>
      <c r="R65" s="58"/>
      <c r="S65" s="58"/>
      <c r="T65" s="58"/>
      <c r="U65" s="58"/>
      <c r="V65" s="58"/>
    </row>
    <row r="66" spans="1:22" x14ac:dyDescent="0.2">
      <c r="A66" s="97">
        <v>110.89384460449219</v>
      </c>
      <c r="B66" s="107">
        <v>0.10269144952212718</v>
      </c>
      <c r="C66" s="24">
        <f t="shared" si="0"/>
        <v>7.2339168008416888E-2</v>
      </c>
      <c r="D66" s="24">
        <f t="shared" si="1"/>
        <v>7.2235809419052763E-2</v>
      </c>
      <c r="E66" s="24">
        <f t="shared" si="1"/>
        <v>5.088523317282511E-2</v>
      </c>
      <c r="F66" s="24">
        <f t="shared" si="2"/>
        <v>1.4442938147193447E-2</v>
      </c>
      <c r="G66" s="24"/>
      <c r="H66" s="110"/>
      <c r="I66" s="137"/>
      <c r="J66" s="97"/>
      <c r="K66" s="97"/>
      <c r="L66" s="137"/>
      <c r="M66" s="137"/>
      <c r="N66" s="131"/>
      <c r="O66" s="61"/>
      <c r="P66" s="106"/>
      <c r="Q66" s="33"/>
      <c r="R66" s="58"/>
      <c r="S66" s="58"/>
      <c r="T66" s="58"/>
      <c r="U66" s="58"/>
      <c r="V66" s="58"/>
    </row>
    <row r="67" spans="1:22" x14ac:dyDescent="0.2">
      <c r="A67" s="97">
        <v>120.61772155761719</v>
      </c>
      <c r="B67" s="107">
        <v>0.12892194708678198</v>
      </c>
      <c r="C67" s="24">
        <f t="shared" si="0"/>
        <v>9.8569665573071688E-2</v>
      </c>
      <c r="D67" s="24">
        <f t="shared" si="1"/>
        <v>9.0687016718829547E-2</v>
      </c>
      <c r="E67" s="24">
        <f t="shared" si="1"/>
        <v>6.9336440472601887E-2</v>
      </c>
      <c r="F67" s="24">
        <f t="shared" si="2"/>
        <v>1.8451207299776777E-2</v>
      </c>
      <c r="G67" s="24"/>
      <c r="H67" s="110"/>
      <c r="I67" s="137"/>
      <c r="J67" s="97"/>
      <c r="K67" s="137"/>
      <c r="L67" s="137"/>
      <c r="M67" s="137"/>
      <c r="N67" s="131"/>
      <c r="O67" s="61"/>
      <c r="P67" s="106"/>
      <c r="Q67" s="33"/>
      <c r="R67" s="58"/>
      <c r="S67" s="58"/>
      <c r="T67" s="58"/>
      <c r="U67" s="58"/>
      <c r="V67" s="58"/>
    </row>
    <row r="68" spans="1:22" x14ac:dyDescent="0.2">
      <c r="A68" s="97">
        <v>132.68621826171875</v>
      </c>
      <c r="B68" s="107">
        <v>0.16183217364930805</v>
      </c>
      <c r="C68" s="24">
        <f t="shared" si="0"/>
        <v>0.13147989213559774</v>
      </c>
      <c r="D68" s="24">
        <f t="shared" si="1"/>
        <v>0.11383691736753193</v>
      </c>
      <c r="E68" s="24">
        <f t="shared" si="1"/>
        <v>9.2486341121304272E-2</v>
      </c>
      <c r="F68" s="24">
        <f t="shared" si="2"/>
        <v>2.3149900648702385E-2</v>
      </c>
      <c r="G68" s="24"/>
      <c r="H68" s="110"/>
      <c r="I68" s="137"/>
      <c r="J68" s="97"/>
      <c r="K68" s="137"/>
      <c r="L68" s="137"/>
      <c r="M68" s="137"/>
      <c r="N68" s="131"/>
      <c r="O68" s="61"/>
      <c r="P68" s="106"/>
      <c r="Q68" s="58"/>
      <c r="R68" s="58"/>
      <c r="S68" s="58"/>
      <c r="T68" s="58"/>
      <c r="U68" s="58"/>
      <c r="V68" s="58"/>
    </row>
    <row r="69" spans="1:22" x14ac:dyDescent="0.2">
      <c r="A69" s="97">
        <v>144.88621520996094</v>
      </c>
      <c r="B69" s="107">
        <v>0.19471969653395263</v>
      </c>
      <c r="C69" s="24">
        <f t="shared" si="0"/>
        <v>0.16436741502024232</v>
      </c>
      <c r="D69" s="24">
        <f t="shared" si="1"/>
        <v>0.13697084766469883</v>
      </c>
      <c r="E69" s="24">
        <f t="shared" si="1"/>
        <v>0.11562027141847116</v>
      </c>
      <c r="F69" s="24">
        <f t="shared" si="2"/>
        <v>2.3133930297166885E-2</v>
      </c>
      <c r="G69" s="24"/>
      <c r="H69" s="110"/>
      <c r="I69" s="137"/>
      <c r="J69" s="1"/>
      <c r="K69" s="137"/>
      <c r="L69" s="137"/>
      <c r="M69" s="1"/>
      <c r="N69" s="131"/>
      <c r="O69" s="61"/>
      <c r="P69" s="106"/>
      <c r="Q69" s="58"/>
      <c r="R69" s="58"/>
      <c r="S69" s="58"/>
      <c r="T69" s="58"/>
      <c r="U69" s="58"/>
      <c r="V69" s="58"/>
    </row>
    <row r="70" spans="1:22" x14ac:dyDescent="0.2">
      <c r="A70" s="97">
        <v>159.00152587890625</v>
      </c>
      <c r="B70" s="107">
        <v>0.22686984891546216</v>
      </c>
      <c r="C70" s="24">
        <f t="shared" si="0"/>
        <v>0.19651756740175186</v>
      </c>
      <c r="D70" s="24">
        <f t="shared" si="1"/>
        <v>0.15958609256611409</v>
      </c>
      <c r="E70" s="24">
        <f t="shared" si="1"/>
        <v>0.1382355163198864</v>
      </c>
      <c r="F70" s="24">
        <f t="shared" si="2"/>
        <v>2.2615244901415241E-2</v>
      </c>
      <c r="G70" s="24"/>
      <c r="H70" s="110"/>
      <c r="I70" s="137"/>
      <c r="J70" s="1"/>
      <c r="K70" s="137"/>
      <c r="L70" s="137"/>
      <c r="M70" s="1"/>
      <c r="N70" s="131"/>
      <c r="O70" s="61"/>
      <c r="P70" s="106"/>
      <c r="Q70" s="58"/>
      <c r="R70" s="58"/>
      <c r="S70" s="58"/>
      <c r="T70" s="58"/>
      <c r="U70" s="58"/>
      <c r="V70" s="58"/>
    </row>
    <row r="71" spans="1:22" x14ac:dyDescent="0.2">
      <c r="A71" s="97">
        <v>173.70451354980469</v>
      </c>
      <c r="B71" s="107">
        <v>0.26071454946612266</v>
      </c>
      <c r="C71" s="24">
        <f t="shared" si="0"/>
        <v>0.23036226795241235</v>
      </c>
      <c r="D71" s="24">
        <f t="shared" si="1"/>
        <v>0.18339332627641081</v>
      </c>
      <c r="E71" s="24">
        <f t="shared" si="1"/>
        <v>0.16204275003018315</v>
      </c>
      <c r="F71" s="24">
        <f t="shared" si="2"/>
        <v>2.3807233710296749E-2</v>
      </c>
      <c r="G71" s="24"/>
      <c r="H71" s="110"/>
      <c r="I71" s="137"/>
      <c r="J71" s="1"/>
      <c r="K71" s="137"/>
      <c r="L71" s="137"/>
      <c r="M71" s="1"/>
      <c r="N71" s="131"/>
      <c r="O71" s="61"/>
      <c r="P71" s="106"/>
      <c r="Q71" s="58"/>
      <c r="R71" s="58"/>
      <c r="S71" s="58"/>
      <c r="T71" s="58"/>
      <c r="U71" s="58"/>
      <c r="V71" s="58"/>
    </row>
    <row r="72" spans="1:22" x14ac:dyDescent="0.2">
      <c r="A72" s="97">
        <v>189.97633361816406</v>
      </c>
      <c r="B72" s="107">
        <v>0.29265390235007999</v>
      </c>
      <c r="C72" s="24">
        <f t="shared" si="0"/>
        <v>0.26230162083636971</v>
      </c>
      <c r="D72" s="24">
        <f t="shared" si="1"/>
        <v>0.20586028938414536</v>
      </c>
      <c r="E72" s="24">
        <f t="shared" si="1"/>
        <v>0.1845097131379177</v>
      </c>
      <c r="F72" s="24">
        <f t="shared" si="2"/>
        <v>2.246696310773455E-2</v>
      </c>
      <c r="G72" s="24"/>
      <c r="H72" s="110"/>
      <c r="I72" s="137"/>
      <c r="J72" s="1"/>
      <c r="K72" s="137"/>
      <c r="L72" s="137"/>
      <c r="M72" s="1"/>
      <c r="N72" s="131"/>
      <c r="O72" s="61"/>
      <c r="P72" s="106"/>
      <c r="Q72" s="58"/>
      <c r="R72" s="58"/>
      <c r="S72" s="58"/>
      <c r="T72" s="58"/>
      <c r="U72" s="58"/>
      <c r="V72" s="58"/>
    </row>
    <row r="73" spans="1:22" x14ac:dyDescent="0.2">
      <c r="A73" s="97">
        <v>207.88688659667969</v>
      </c>
      <c r="B73" s="107">
        <v>0.32216985777960416</v>
      </c>
      <c r="C73" s="24">
        <f t="shared" si="0"/>
        <v>0.29181757626589389</v>
      </c>
      <c r="D73" s="24">
        <f t="shared" si="1"/>
        <v>0.22662257233126601</v>
      </c>
      <c r="E73" s="24">
        <f t="shared" si="1"/>
        <v>0.20527199608503838</v>
      </c>
      <c r="F73" s="24">
        <f t="shared" si="2"/>
        <v>2.076228294712068E-2</v>
      </c>
      <c r="G73" s="24"/>
      <c r="H73" s="110"/>
      <c r="I73" s="137"/>
      <c r="J73" s="1"/>
      <c r="K73" s="137"/>
      <c r="L73" s="137"/>
      <c r="M73" s="1"/>
      <c r="N73" s="131"/>
      <c r="O73" s="61"/>
      <c r="P73" s="106"/>
      <c r="Q73" s="58"/>
      <c r="R73" s="58"/>
      <c r="S73" s="58"/>
      <c r="T73" s="58"/>
      <c r="U73" s="58"/>
      <c r="V73" s="58"/>
    </row>
    <row r="74" spans="1:22" x14ac:dyDescent="0.2">
      <c r="A74" s="97">
        <v>227.68122863769531</v>
      </c>
      <c r="B74" s="107">
        <v>0.35097841793493623</v>
      </c>
      <c r="C74" s="24">
        <f t="shared" si="0"/>
        <v>0.32062613642122595</v>
      </c>
      <c r="D74" s="24">
        <f t="shared" si="1"/>
        <v>0.24688725523039565</v>
      </c>
      <c r="E74" s="24">
        <f t="shared" si="1"/>
        <v>0.22553667898416799</v>
      </c>
      <c r="F74" s="24">
        <f t="shared" si="2"/>
        <v>2.026468289912961E-2</v>
      </c>
      <c r="G74" s="24"/>
      <c r="H74" s="110"/>
      <c r="I74" s="137"/>
      <c r="J74" s="1"/>
      <c r="K74" s="137"/>
      <c r="L74" s="1"/>
      <c r="M74" s="1"/>
      <c r="N74" s="131"/>
      <c r="O74" s="61"/>
      <c r="P74" s="106"/>
      <c r="Q74" s="58"/>
      <c r="R74" s="58"/>
      <c r="S74" s="58"/>
      <c r="T74" s="58"/>
      <c r="U74" s="58"/>
      <c r="V74" s="58"/>
    </row>
    <row r="75" spans="1:22" x14ac:dyDescent="0.2">
      <c r="A75" s="97">
        <v>249.86611938476562</v>
      </c>
      <c r="B75" s="107">
        <v>0.3789907474425554</v>
      </c>
      <c r="C75" s="24">
        <f t="shared" si="0"/>
        <v>0.34863846592884512</v>
      </c>
      <c r="D75" s="24">
        <f t="shared" si="1"/>
        <v>0.26659184899270377</v>
      </c>
      <c r="E75" s="24">
        <f t="shared" si="1"/>
        <v>0.24524127274647611</v>
      </c>
      <c r="F75" s="24">
        <f t="shared" si="2"/>
        <v>1.9704593762308126E-2</v>
      </c>
      <c r="G75" s="24"/>
      <c r="H75" s="110"/>
      <c r="I75" s="137"/>
      <c r="J75" s="1"/>
      <c r="K75" s="137"/>
      <c r="L75" s="1"/>
      <c r="M75" s="1"/>
      <c r="N75" s="131"/>
      <c r="O75" s="61"/>
      <c r="P75" s="106"/>
      <c r="Q75" s="58"/>
      <c r="R75" s="58"/>
      <c r="S75" s="58"/>
      <c r="T75" s="58"/>
      <c r="U75" s="58"/>
      <c r="V75" s="58"/>
    </row>
    <row r="76" spans="1:22" x14ac:dyDescent="0.2">
      <c r="A76" s="97">
        <v>272.73834228515625</v>
      </c>
      <c r="B76" s="107">
        <v>0.40533006666236815</v>
      </c>
      <c r="C76" s="24">
        <f t="shared" si="0"/>
        <v>0.37497778514865787</v>
      </c>
      <c r="D76" s="24">
        <f t="shared" si="1"/>
        <v>0.28511960424636801</v>
      </c>
      <c r="E76" s="24">
        <f t="shared" si="1"/>
        <v>0.26376902800014035</v>
      </c>
      <c r="F76" s="24">
        <f t="shared" si="2"/>
        <v>1.8527755253664235E-2</v>
      </c>
      <c r="G76" s="24"/>
      <c r="H76" s="110"/>
      <c r="I76" s="137"/>
      <c r="J76" s="1"/>
      <c r="K76" s="137"/>
      <c r="L76" s="1"/>
      <c r="M76" s="1"/>
      <c r="N76" s="131"/>
      <c r="O76" s="61"/>
      <c r="P76" s="106"/>
      <c r="Q76" s="58"/>
      <c r="R76" s="58"/>
      <c r="S76" s="58"/>
      <c r="T76" s="58"/>
      <c r="U76" s="58"/>
      <c r="V76" s="58"/>
    </row>
    <row r="77" spans="1:22" x14ac:dyDescent="0.2">
      <c r="A77" s="97">
        <v>298.59756469726562</v>
      </c>
      <c r="B77" s="107">
        <v>0.43254109975890515</v>
      </c>
      <c r="C77" s="24">
        <f t="shared" si="0"/>
        <v>0.40218881824519487</v>
      </c>
      <c r="D77" s="24">
        <f t="shared" si="1"/>
        <v>0.30426054548348092</v>
      </c>
      <c r="E77" s="24">
        <f t="shared" si="1"/>
        <v>0.28290996923725326</v>
      </c>
      <c r="F77" s="24">
        <f t="shared" si="2"/>
        <v>1.9140941237112907E-2</v>
      </c>
      <c r="G77" s="24"/>
      <c r="H77" s="110"/>
      <c r="I77" s="137"/>
      <c r="J77" s="1"/>
      <c r="K77" s="137"/>
      <c r="L77" s="1"/>
      <c r="M77" s="1"/>
      <c r="N77" s="131"/>
      <c r="O77" s="61"/>
      <c r="P77" s="106"/>
      <c r="Q77" s="58"/>
      <c r="R77" s="58"/>
      <c r="S77" s="58"/>
      <c r="T77" s="58"/>
      <c r="U77" s="58"/>
      <c r="V77" s="58"/>
    </row>
    <row r="78" spans="1:22" x14ac:dyDescent="0.2">
      <c r="A78" s="97">
        <v>326.63516235351563</v>
      </c>
      <c r="B78" s="107">
        <v>0.45897022724719044</v>
      </c>
      <c r="C78" s="24">
        <f t="shared" si="0"/>
        <v>0.42861794573348017</v>
      </c>
      <c r="D78" s="24">
        <f t="shared" si="1"/>
        <v>0.32285147418533217</v>
      </c>
      <c r="E78" s="24">
        <f t="shared" si="1"/>
        <v>0.30150089793910456</v>
      </c>
      <c r="F78" s="24">
        <f t="shared" si="2"/>
        <v>1.8590928701851306E-2</v>
      </c>
      <c r="G78" s="24"/>
      <c r="H78" s="110"/>
      <c r="I78" s="137"/>
      <c r="J78" s="1"/>
      <c r="K78" s="137"/>
      <c r="L78" s="1"/>
      <c r="M78" s="1"/>
      <c r="N78" s="131"/>
      <c r="O78" s="61"/>
      <c r="P78" s="106"/>
      <c r="Q78" s="58"/>
      <c r="R78" s="58"/>
      <c r="S78" s="58"/>
      <c r="T78" s="58"/>
      <c r="U78" s="58"/>
      <c r="V78" s="58"/>
    </row>
    <row r="79" spans="1:22" x14ac:dyDescent="0.2">
      <c r="A79" s="97">
        <v>357.53591918945312</v>
      </c>
      <c r="B79" s="107">
        <v>0.48417763351285154</v>
      </c>
      <c r="C79" s="24">
        <f t="shared" si="0"/>
        <v>0.45382535199914126</v>
      </c>
      <c r="D79" s="24">
        <f t="shared" si="1"/>
        <v>0.34058301272557434</v>
      </c>
      <c r="E79" s="24">
        <f t="shared" si="1"/>
        <v>0.31923243647934674</v>
      </c>
      <c r="F79" s="24">
        <f t="shared" si="2"/>
        <v>1.7731538540242175E-2</v>
      </c>
      <c r="G79" s="24"/>
      <c r="H79" s="110"/>
      <c r="I79" s="137"/>
      <c r="J79" s="1"/>
      <c r="K79" s="137"/>
      <c r="L79" s="1"/>
      <c r="M79" s="1"/>
      <c r="N79" s="131"/>
      <c r="O79" s="61"/>
      <c r="P79" s="106"/>
      <c r="Q79" s="58"/>
      <c r="R79" s="58"/>
      <c r="S79" s="58"/>
      <c r="T79" s="58"/>
      <c r="U79" s="58"/>
      <c r="V79" s="58"/>
    </row>
    <row r="80" spans="1:22" x14ac:dyDescent="0.2">
      <c r="A80" s="97">
        <v>391.8616943359375</v>
      </c>
      <c r="B80" s="107">
        <v>0.50956995691553941</v>
      </c>
      <c r="C80" s="24">
        <f t="shared" si="0"/>
        <v>0.47921767540182914</v>
      </c>
      <c r="D80" s="24">
        <f t="shared" si="1"/>
        <v>0.35844462674075378</v>
      </c>
      <c r="E80" s="24">
        <f t="shared" si="1"/>
        <v>0.33709405049452612</v>
      </c>
      <c r="F80" s="24">
        <f t="shared" si="2"/>
        <v>1.7861614015179383E-2</v>
      </c>
      <c r="G80" s="24"/>
      <c r="H80" s="110"/>
      <c r="I80" s="137"/>
      <c r="J80" s="1"/>
      <c r="K80" s="137"/>
      <c r="L80" s="1"/>
      <c r="M80" s="1"/>
      <c r="N80" s="131"/>
      <c r="O80" s="61"/>
      <c r="P80" s="106"/>
      <c r="Q80" s="58"/>
      <c r="R80" s="58"/>
      <c r="S80" s="58"/>
      <c r="T80" s="58"/>
      <c r="U80" s="58"/>
      <c r="V80" s="58"/>
    </row>
    <row r="81" spans="1:22" x14ac:dyDescent="0.2">
      <c r="A81" s="97">
        <v>428.64804077148437</v>
      </c>
      <c r="B81" s="107">
        <v>0.53523043029577733</v>
      </c>
      <c r="C81" s="24">
        <f t="shared" si="0"/>
        <v>0.50487814878206705</v>
      </c>
      <c r="D81" s="24">
        <f t="shared" si="1"/>
        <v>0.37649486435375135</v>
      </c>
      <c r="E81" s="24">
        <f t="shared" si="1"/>
        <v>0.35514428810752369</v>
      </c>
      <c r="F81" s="24">
        <f t="shared" si="2"/>
        <v>1.8050237612997566E-2</v>
      </c>
      <c r="G81" s="24"/>
      <c r="H81" s="110"/>
      <c r="I81" s="137"/>
      <c r="J81" s="1"/>
      <c r="K81" s="137"/>
      <c r="L81" s="1"/>
      <c r="M81" s="1"/>
      <c r="N81" s="131"/>
      <c r="O81" s="61"/>
      <c r="P81" s="106"/>
      <c r="Q81" s="58"/>
      <c r="R81" s="58"/>
      <c r="S81" s="58"/>
      <c r="T81" s="58"/>
      <c r="U81" s="58"/>
      <c r="V81" s="58"/>
    </row>
    <row r="82" spans="1:22" x14ac:dyDescent="0.2">
      <c r="A82" s="97">
        <v>469.199951171875</v>
      </c>
      <c r="B82" s="107">
        <v>0.56052878546537155</v>
      </c>
      <c r="C82" s="24">
        <f t="shared" si="0"/>
        <v>0.53017650395166127</v>
      </c>
      <c r="D82" s="24">
        <f t="shared" si="1"/>
        <v>0.39429037869452954</v>
      </c>
      <c r="E82" s="24">
        <f t="shared" si="1"/>
        <v>0.37293980244830194</v>
      </c>
      <c r="F82" s="24">
        <f t="shared" si="2"/>
        <v>1.7795514340778251E-2</v>
      </c>
      <c r="G82" s="24"/>
      <c r="H82" s="110"/>
      <c r="I82" s="137"/>
      <c r="J82" s="1"/>
      <c r="K82" s="137"/>
      <c r="L82" s="1"/>
      <c r="M82" s="1"/>
      <c r="N82" s="131"/>
      <c r="O82" s="61"/>
      <c r="P82" s="106"/>
      <c r="Q82" s="58"/>
      <c r="R82" s="58"/>
      <c r="S82" s="58"/>
      <c r="T82" s="58"/>
      <c r="U82" s="58"/>
      <c r="V82" s="58"/>
    </row>
    <row r="83" spans="1:22" x14ac:dyDescent="0.2">
      <c r="A83" s="97">
        <v>512.8580322265625</v>
      </c>
      <c r="B83" s="107">
        <v>0.5857829913330197</v>
      </c>
      <c r="C83" s="24">
        <f t="shared" si="0"/>
        <v>0.55543070981930942</v>
      </c>
      <c r="D83" s="24">
        <f t="shared" si="1"/>
        <v>0.41205483727968056</v>
      </c>
      <c r="E83" s="24">
        <f t="shared" si="1"/>
        <v>0.39070426103345296</v>
      </c>
      <c r="F83" s="24">
        <f t="shared" si="2"/>
        <v>1.7764458585151022E-2</v>
      </c>
      <c r="G83" s="24"/>
      <c r="H83" s="110"/>
      <c r="I83" s="1"/>
      <c r="J83" s="1"/>
      <c r="K83" s="137"/>
      <c r="L83" s="1"/>
      <c r="M83" s="1"/>
      <c r="N83" s="131"/>
      <c r="O83" s="61"/>
      <c r="P83" s="106"/>
      <c r="Q83" s="58"/>
      <c r="R83" s="58"/>
      <c r="S83" s="58"/>
      <c r="T83" s="58"/>
      <c r="U83" s="58"/>
      <c r="V83" s="58"/>
    </row>
    <row r="84" spans="1:22" x14ac:dyDescent="0.2">
      <c r="A84" s="97">
        <v>561.77740478515625</v>
      </c>
      <c r="B84" s="107">
        <v>0.61133966688634156</v>
      </c>
      <c r="C84" s="24">
        <f t="shared" si="0"/>
        <v>0.58098738537263128</v>
      </c>
      <c r="D84" s="24">
        <f t="shared" si="1"/>
        <v>0.43003206082891621</v>
      </c>
      <c r="E84" s="24">
        <f t="shared" si="1"/>
        <v>0.40868148458268855</v>
      </c>
      <c r="F84" s="24">
        <f t="shared" si="2"/>
        <v>1.7977223549235588E-2</v>
      </c>
      <c r="G84" s="24"/>
      <c r="H84" s="110"/>
      <c r="I84" s="1"/>
      <c r="J84" s="1"/>
      <c r="K84" s="137"/>
      <c r="L84" s="1"/>
      <c r="M84" s="1"/>
      <c r="N84" s="131"/>
      <c r="O84" s="61"/>
      <c r="P84" s="106"/>
      <c r="Q84" s="58"/>
      <c r="R84" s="58"/>
      <c r="S84" s="58"/>
      <c r="T84" s="58"/>
      <c r="U84" s="58"/>
      <c r="V84" s="58"/>
    </row>
    <row r="85" spans="1:22" x14ac:dyDescent="0.2">
      <c r="A85" s="97">
        <v>613.458740234375</v>
      </c>
      <c r="B85" s="107">
        <v>0.6363381691222012</v>
      </c>
      <c r="C85" s="24">
        <f t="shared" si="0"/>
        <v>0.60598588760849093</v>
      </c>
      <c r="D85" s="24">
        <f t="shared" si="1"/>
        <v>0.44761665089629299</v>
      </c>
      <c r="E85" s="24">
        <f t="shared" si="1"/>
        <v>0.42626607465006533</v>
      </c>
      <c r="F85" s="24">
        <f t="shared" si="2"/>
        <v>1.7584590067376782E-2</v>
      </c>
      <c r="G85" s="24"/>
      <c r="H85" s="110"/>
      <c r="I85" s="1"/>
      <c r="J85" s="1"/>
      <c r="K85" s="137"/>
      <c r="L85" s="1"/>
      <c r="M85" s="1"/>
      <c r="N85" s="131"/>
      <c r="O85" s="61"/>
      <c r="P85" s="106"/>
      <c r="Q85" s="58"/>
      <c r="R85" s="58"/>
      <c r="S85" s="58"/>
      <c r="T85" s="58"/>
      <c r="U85" s="58"/>
      <c r="V85" s="58"/>
    </row>
    <row r="86" spans="1:22" x14ac:dyDescent="0.2">
      <c r="A86" s="97">
        <v>671.80816650390625</v>
      </c>
      <c r="B86" s="107">
        <v>0.66197730590970516</v>
      </c>
      <c r="C86" s="24">
        <f t="shared" si="0"/>
        <v>0.63162502439599488</v>
      </c>
      <c r="D86" s="24">
        <f t="shared" si="1"/>
        <v>0.46565187980064388</v>
      </c>
      <c r="E86" s="24">
        <f t="shared" si="1"/>
        <v>0.44430130355441622</v>
      </c>
      <c r="F86" s="24">
        <f t="shared" si="2"/>
        <v>1.8035228904350886E-2</v>
      </c>
      <c r="G86" s="24"/>
      <c r="H86" s="110"/>
      <c r="I86" s="1"/>
      <c r="J86" s="1"/>
      <c r="K86" s="137"/>
      <c r="L86" s="1"/>
      <c r="M86" s="1"/>
      <c r="N86" s="131"/>
      <c r="O86" s="61"/>
      <c r="P86" s="106"/>
      <c r="Q86" s="58"/>
      <c r="R86" s="58"/>
      <c r="S86" s="58"/>
      <c r="T86" s="58"/>
      <c r="U86" s="58"/>
      <c r="V86" s="58"/>
    </row>
    <row r="87" spans="1:22" x14ac:dyDescent="0.2">
      <c r="A87" s="97">
        <v>734.5745849609375</v>
      </c>
      <c r="B87" s="107">
        <v>0.68744937315033072</v>
      </c>
      <c r="C87" s="24">
        <f t="shared" si="0"/>
        <v>0.65709709163662045</v>
      </c>
      <c r="D87" s="24">
        <f t="shared" si="1"/>
        <v>0.48356958768446001</v>
      </c>
      <c r="E87" s="24">
        <f t="shared" si="1"/>
        <v>0.46221901143823235</v>
      </c>
      <c r="F87" s="24">
        <f t="shared" si="2"/>
        <v>1.7917707883816136E-2</v>
      </c>
      <c r="G87" s="24"/>
      <c r="H87" s="110"/>
      <c r="I87" s="1"/>
      <c r="J87" s="1"/>
      <c r="K87" s="137"/>
      <c r="L87" s="1"/>
      <c r="M87" s="1"/>
      <c r="N87" s="131"/>
      <c r="O87" s="61"/>
      <c r="P87" s="106"/>
      <c r="Q87" s="58"/>
      <c r="R87" s="58"/>
      <c r="S87" s="58"/>
      <c r="T87" s="58"/>
      <c r="U87" s="58"/>
      <c r="V87" s="58"/>
    </row>
    <row r="88" spans="1:22" x14ac:dyDescent="0.2">
      <c r="A88" s="97">
        <v>804.4002685546875</v>
      </c>
      <c r="B88" s="107">
        <v>0.71346652994872328</v>
      </c>
      <c r="C88" s="24">
        <f t="shared" si="0"/>
        <v>0.68311424843501301</v>
      </c>
      <c r="D88" s="24">
        <f t="shared" si="1"/>
        <v>0.50187072559671964</v>
      </c>
      <c r="E88" s="24">
        <f t="shared" si="1"/>
        <v>0.48052014935049198</v>
      </c>
      <c r="F88" s="24">
        <f t="shared" si="2"/>
        <v>1.8301137912259624E-2</v>
      </c>
      <c r="G88" s="24"/>
      <c r="H88" s="110"/>
      <c r="I88" s="1"/>
      <c r="J88" s="1"/>
      <c r="K88" s="137"/>
      <c r="L88" s="1"/>
      <c r="M88" s="1"/>
      <c r="N88" s="131"/>
      <c r="O88" s="61"/>
      <c r="P88" s="106"/>
      <c r="Q88" s="58"/>
      <c r="R88" s="58"/>
      <c r="S88" s="58"/>
      <c r="T88" s="58"/>
      <c r="U88" s="58"/>
      <c r="V88" s="58"/>
    </row>
    <row r="89" spans="1:22" x14ac:dyDescent="0.2">
      <c r="A89" s="97">
        <v>880.11578369140625</v>
      </c>
      <c r="B89" s="107">
        <v>0.7391429722254097</v>
      </c>
      <c r="C89" s="24">
        <f t="shared" si="0"/>
        <v>0.70879069071169942</v>
      </c>
      <c r="D89" s="24">
        <f t="shared" si="1"/>
        <v>0.51993219614260355</v>
      </c>
      <c r="E89" s="24">
        <f t="shared" si="1"/>
        <v>0.49858161989637595</v>
      </c>
      <c r="F89" s="24">
        <f t="shared" si="2"/>
        <v>1.8061470545883973E-2</v>
      </c>
      <c r="G89" s="24"/>
      <c r="H89" s="110"/>
      <c r="I89" s="1"/>
      <c r="J89" s="1"/>
      <c r="K89" s="137"/>
      <c r="L89" s="1"/>
      <c r="M89" s="1"/>
      <c r="N89" s="131"/>
      <c r="O89" s="61"/>
      <c r="P89" s="106"/>
      <c r="Q89" s="58"/>
      <c r="R89" s="58"/>
      <c r="S89" s="58"/>
      <c r="T89" s="58"/>
      <c r="U89" s="58"/>
      <c r="V89" s="58"/>
    </row>
    <row r="90" spans="1:22" x14ac:dyDescent="0.2">
      <c r="A90" s="97">
        <v>962.4754638671875</v>
      </c>
      <c r="B90" s="107">
        <v>0.76500674710245131</v>
      </c>
      <c r="C90" s="24">
        <f t="shared" si="0"/>
        <v>0.73465446558874103</v>
      </c>
      <c r="D90" s="24">
        <f t="shared" si="1"/>
        <v>0.53812544126251693</v>
      </c>
      <c r="E90" s="24">
        <f t="shared" si="1"/>
        <v>0.51677486501628922</v>
      </c>
      <c r="F90" s="24">
        <f t="shared" si="2"/>
        <v>1.8193245119913271E-2</v>
      </c>
      <c r="G90" s="24"/>
      <c r="H90" s="110"/>
      <c r="I90" s="1"/>
      <c r="J90" s="1"/>
      <c r="K90" s="137"/>
      <c r="L90" s="1"/>
      <c r="M90" s="1"/>
      <c r="N90" s="131"/>
      <c r="O90" s="61"/>
      <c r="P90" s="106"/>
      <c r="Q90" s="58"/>
      <c r="R90" s="58"/>
      <c r="S90" s="58"/>
      <c r="T90" s="58"/>
      <c r="U90" s="58"/>
      <c r="V90" s="58"/>
    </row>
    <row r="91" spans="1:22" x14ac:dyDescent="0.2">
      <c r="A91" s="97">
        <v>1048.5760498046875</v>
      </c>
      <c r="B91" s="107">
        <v>0.78980080720604651</v>
      </c>
      <c r="C91" s="24">
        <f t="shared" si="0"/>
        <v>0.75944852569233623</v>
      </c>
      <c r="D91" s="24">
        <f t="shared" si="1"/>
        <v>0.55556622147062884</v>
      </c>
      <c r="E91" s="24">
        <f t="shared" si="1"/>
        <v>0.53421564522440124</v>
      </c>
      <c r="F91" s="24">
        <f t="shared" si="2"/>
        <v>1.7440780208112017E-2</v>
      </c>
      <c r="G91" s="24"/>
      <c r="H91" s="110"/>
      <c r="I91" s="1"/>
      <c r="J91" s="1"/>
      <c r="K91" s="137"/>
      <c r="L91" s="1"/>
      <c r="M91" s="1"/>
      <c r="N91" s="131"/>
      <c r="O91" s="61"/>
      <c r="P91" s="106"/>
      <c r="Q91" s="58"/>
      <c r="R91" s="58"/>
      <c r="S91" s="58"/>
      <c r="T91" s="58"/>
      <c r="U91" s="58"/>
      <c r="V91" s="58"/>
    </row>
    <row r="92" spans="1:22" x14ac:dyDescent="0.2">
      <c r="A92" s="97">
        <v>1148.3358154296875</v>
      </c>
      <c r="B92" s="107">
        <v>0.81621490514473316</v>
      </c>
      <c r="C92" s="24">
        <f t="shared" si="0"/>
        <v>0.78586262363102288</v>
      </c>
      <c r="D92" s="24">
        <f t="shared" si="1"/>
        <v>0.57414657800035174</v>
      </c>
      <c r="E92" s="24">
        <f t="shared" si="1"/>
        <v>0.55279600175412402</v>
      </c>
      <c r="F92" s="24">
        <f t="shared" si="2"/>
        <v>1.8580356529722786E-2</v>
      </c>
      <c r="G92" s="24"/>
      <c r="H92" s="110"/>
      <c r="I92" s="1"/>
      <c r="J92" s="1"/>
      <c r="K92" s="1"/>
      <c r="L92" s="1"/>
      <c r="M92" s="1"/>
      <c r="N92" s="131"/>
      <c r="O92" s="61"/>
      <c r="P92" s="106"/>
      <c r="Q92" s="58"/>
      <c r="R92" s="58"/>
      <c r="S92" s="58"/>
      <c r="T92" s="58"/>
      <c r="U92" s="58"/>
      <c r="V92" s="58"/>
    </row>
    <row r="93" spans="1:22" x14ac:dyDescent="0.2">
      <c r="A93" s="97">
        <v>1258.6380615234375</v>
      </c>
      <c r="B93" s="107">
        <v>0.84255029923663727</v>
      </c>
      <c r="C93" s="24">
        <f t="shared" si="0"/>
        <v>0.81219801772292699</v>
      </c>
      <c r="D93" s="24">
        <f t="shared" si="1"/>
        <v>0.59267157221799127</v>
      </c>
      <c r="E93" s="24">
        <f t="shared" si="1"/>
        <v>0.57132099597176367</v>
      </c>
      <c r="F93" s="24">
        <f t="shared" si="2"/>
        <v>1.8524994217639645E-2</v>
      </c>
      <c r="G93" s="24"/>
      <c r="H93" s="110"/>
      <c r="I93" s="1"/>
      <c r="J93" s="1"/>
      <c r="K93" s="1"/>
      <c r="L93" s="1"/>
      <c r="M93" s="1"/>
      <c r="N93" s="131"/>
      <c r="O93" s="61"/>
      <c r="P93" s="106"/>
      <c r="Q93" s="58"/>
      <c r="R93" s="58"/>
      <c r="S93" s="58"/>
      <c r="T93" s="58"/>
      <c r="U93" s="58"/>
      <c r="V93" s="58"/>
    </row>
    <row r="94" spans="1:22" x14ac:dyDescent="0.2">
      <c r="A94" s="97">
        <v>1378.488037109375</v>
      </c>
      <c r="B94" s="107">
        <v>0.86808744979472152</v>
      </c>
      <c r="C94" s="24">
        <f t="shared" si="0"/>
        <v>0.83773516828101124</v>
      </c>
      <c r="D94" s="24">
        <f t="shared" si="1"/>
        <v>0.61063506138289936</v>
      </c>
      <c r="E94" s="24">
        <f t="shared" si="1"/>
        <v>0.58928448513667164</v>
      </c>
      <c r="F94" s="24">
        <f t="shared" si="2"/>
        <v>1.7963489164907975E-2</v>
      </c>
      <c r="G94" s="24"/>
      <c r="H94" s="110"/>
      <c r="I94" s="1"/>
      <c r="J94" s="1"/>
      <c r="K94" s="1"/>
      <c r="L94" s="1"/>
      <c r="M94" s="1"/>
      <c r="N94" s="131"/>
      <c r="O94" s="61"/>
      <c r="P94" s="106"/>
      <c r="Q94" s="58"/>
      <c r="R94" s="58"/>
      <c r="S94" s="58"/>
      <c r="T94" s="58"/>
      <c r="U94" s="58"/>
      <c r="V94" s="58"/>
    </row>
    <row r="95" spans="1:22" x14ac:dyDescent="0.2">
      <c r="A95" s="97">
        <v>1508.3704833984375</v>
      </c>
      <c r="B95" s="107">
        <v>0.89331911133797159</v>
      </c>
      <c r="C95" s="24">
        <f t="shared" si="0"/>
        <v>0.86296682982426132</v>
      </c>
      <c r="D95" s="24">
        <f t="shared" si="1"/>
        <v>0.62838366170985771</v>
      </c>
      <c r="E95" s="24">
        <f t="shared" si="1"/>
        <v>0.60703308546363</v>
      </c>
      <c r="F95" s="24">
        <f t="shared" si="2"/>
        <v>1.7748600326958353E-2</v>
      </c>
      <c r="G95" s="24"/>
      <c r="H95" s="110"/>
      <c r="I95" s="1"/>
      <c r="J95" s="1"/>
      <c r="K95" s="1"/>
      <c r="L95" s="1"/>
      <c r="M95" s="1"/>
      <c r="N95" s="131"/>
      <c r="O95" s="61"/>
      <c r="P95" s="106"/>
      <c r="Q95" s="58"/>
      <c r="R95" s="58"/>
      <c r="S95" s="58"/>
      <c r="T95" s="58"/>
      <c r="U95" s="58"/>
      <c r="V95" s="58"/>
    </row>
    <row r="96" spans="1:22" x14ac:dyDescent="0.2">
      <c r="A96" s="97">
        <v>1648.3974609375</v>
      </c>
      <c r="B96" s="107">
        <v>0.91747327494816178</v>
      </c>
      <c r="C96" s="24">
        <f t="shared" si="0"/>
        <v>0.8871209934344515</v>
      </c>
      <c r="D96" s="24">
        <f t="shared" si="1"/>
        <v>0.64537432225016256</v>
      </c>
      <c r="E96" s="24">
        <f t="shared" si="1"/>
        <v>0.62402374600393495</v>
      </c>
      <c r="F96" s="24">
        <f t="shared" si="2"/>
        <v>1.6990660540304958E-2</v>
      </c>
      <c r="G96" s="24"/>
      <c r="H96" s="110"/>
      <c r="I96" s="1"/>
      <c r="J96" s="1"/>
      <c r="K96" s="1"/>
      <c r="L96" s="1"/>
      <c r="M96" s="1"/>
      <c r="N96" s="131"/>
      <c r="O96" s="61"/>
      <c r="P96" s="106"/>
      <c r="Q96" s="58"/>
      <c r="R96" s="58"/>
      <c r="S96" s="58"/>
      <c r="T96" s="58"/>
      <c r="U96" s="58"/>
      <c r="V96" s="58"/>
    </row>
    <row r="97" spans="1:22" x14ac:dyDescent="0.2">
      <c r="A97" s="97">
        <v>1808.462646484375</v>
      </c>
      <c r="B97" s="107">
        <v>0.9423223539386808</v>
      </c>
      <c r="C97" s="24">
        <f t="shared" si="0"/>
        <v>0.91197007242497052</v>
      </c>
      <c r="D97" s="24">
        <f t="shared" si="1"/>
        <v>0.6628538041598161</v>
      </c>
      <c r="E97" s="24">
        <f t="shared" si="1"/>
        <v>0.64150322791358849</v>
      </c>
      <c r="F97" s="24">
        <f t="shared" si="2"/>
        <v>1.7479481909653538E-2</v>
      </c>
      <c r="G97" s="24"/>
      <c r="H97" s="110"/>
      <c r="I97" s="1"/>
      <c r="J97" s="1"/>
      <c r="K97" s="1"/>
      <c r="L97" s="1"/>
      <c r="M97" s="1"/>
      <c r="N97" s="131"/>
      <c r="O97" s="61"/>
      <c r="P97" s="106"/>
      <c r="Q97" s="58"/>
      <c r="R97" s="58"/>
      <c r="S97" s="58"/>
      <c r="T97" s="58"/>
      <c r="U97" s="58"/>
      <c r="V97" s="58"/>
    </row>
    <row r="98" spans="1:22" x14ac:dyDescent="0.2">
      <c r="A98" s="97">
        <v>1978.4178466796875</v>
      </c>
      <c r="B98" s="107">
        <v>0.96550925867826931</v>
      </c>
      <c r="C98" s="24">
        <f t="shared" si="0"/>
        <v>0.93515697716455903</v>
      </c>
      <c r="D98" s="24">
        <f t="shared" si="1"/>
        <v>0.6791640699081416</v>
      </c>
      <c r="E98" s="24">
        <f t="shared" si="1"/>
        <v>0.65781349366191399</v>
      </c>
      <c r="F98" s="24">
        <f t="shared" si="2"/>
        <v>1.6310265748325503E-2</v>
      </c>
      <c r="G98" s="24"/>
      <c r="H98" s="110"/>
      <c r="I98" s="1"/>
      <c r="J98" s="1"/>
      <c r="K98" s="1"/>
      <c r="L98" s="1"/>
      <c r="M98" s="1"/>
      <c r="N98" s="131"/>
      <c r="O98" s="61"/>
      <c r="P98" s="106"/>
      <c r="Q98" s="58"/>
      <c r="R98" s="58"/>
      <c r="S98" s="58"/>
      <c r="T98" s="58"/>
      <c r="U98" s="58"/>
      <c r="V98" s="58"/>
    </row>
    <row r="99" spans="1:22" x14ac:dyDescent="0.2">
      <c r="A99" s="97">
        <v>2158.409423828125</v>
      </c>
      <c r="B99" s="107">
        <v>0.98709679121346472</v>
      </c>
      <c r="C99" s="24">
        <f t="shared" si="0"/>
        <v>0.95674450969975444</v>
      </c>
      <c r="D99" s="24">
        <f t="shared" si="1"/>
        <v>0.69434929607153284</v>
      </c>
      <c r="E99" s="24">
        <f t="shared" si="1"/>
        <v>0.67299871982530524</v>
      </c>
      <c r="F99" s="24">
        <f t="shared" si="2"/>
        <v>1.5185226163391241E-2</v>
      </c>
      <c r="G99" s="24"/>
      <c r="H99" s="110"/>
      <c r="I99" s="1"/>
      <c r="J99" s="1"/>
      <c r="K99" s="1"/>
      <c r="L99" s="1"/>
      <c r="M99" s="1"/>
      <c r="N99" s="131"/>
      <c r="O99" s="61"/>
      <c r="P99" s="106"/>
      <c r="Q99" s="58"/>
      <c r="R99" s="58"/>
      <c r="S99" s="58"/>
      <c r="T99" s="58"/>
      <c r="U99" s="58"/>
      <c r="V99" s="58"/>
    </row>
    <row r="100" spans="1:22" x14ac:dyDescent="0.2">
      <c r="A100" s="97">
        <v>2368.582763671875</v>
      </c>
      <c r="B100" s="107">
        <v>1.0098140896242975</v>
      </c>
      <c r="C100" s="24">
        <f t="shared" si="0"/>
        <v>0.97946180811058725</v>
      </c>
      <c r="D100" s="24">
        <f t="shared" si="1"/>
        <v>0.71032922863804193</v>
      </c>
      <c r="E100" s="24">
        <f t="shared" si="1"/>
        <v>0.68897865239181433</v>
      </c>
      <c r="F100" s="24">
        <f t="shared" si="2"/>
        <v>1.5979932566509092E-2</v>
      </c>
      <c r="G100" s="24"/>
      <c r="H100" s="110"/>
      <c r="I100" s="1"/>
      <c r="J100" s="1"/>
      <c r="K100" s="1"/>
      <c r="L100" s="1"/>
      <c r="M100" s="1"/>
      <c r="N100" s="131"/>
      <c r="O100" s="61"/>
      <c r="P100" s="106"/>
      <c r="Q100" s="58"/>
      <c r="R100" s="58"/>
      <c r="S100" s="58"/>
      <c r="T100" s="58"/>
      <c r="U100" s="58"/>
      <c r="V100" s="58"/>
    </row>
    <row r="101" spans="1:22" x14ac:dyDescent="0.2">
      <c r="A101" s="97">
        <v>2588.760009765625</v>
      </c>
      <c r="B101" s="107">
        <v>1.0298634416927517</v>
      </c>
      <c r="C101" s="24">
        <f t="shared" si="0"/>
        <v>0.9995111601790414</v>
      </c>
      <c r="D101" s="24">
        <f t="shared" si="1"/>
        <v>0.72443245906016474</v>
      </c>
      <c r="E101" s="24">
        <f t="shared" si="1"/>
        <v>0.70308188281393702</v>
      </c>
      <c r="F101" s="24">
        <f t="shared" si="2"/>
        <v>1.4103230422122692E-2</v>
      </c>
      <c r="G101" s="24"/>
      <c r="H101" s="110"/>
      <c r="I101" s="1"/>
      <c r="J101" s="1"/>
      <c r="K101" s="1"/>
      <c r="L101" s="1"/>
      <c r="M101" s="1"/>
      <c r="N101" s="131"/>
      <c r="O101" s="61"/>
      <c r="P101" s="106"/>
      <c r="Q101" s="58"/>
      <c r="R101" s="58"/>
      <c r="S101" s="58"/>
      <c r="T101" s="58"/>
      <c r="U101" s="58"/>
      <c r="V101" s="58"/>
    </row>
    <row r="102" spans="1:22" x14ac:dyDescent="0.2">
      <c r="A102" s="97">
        <v>2825.946533203125</v>
      </c>
      <c r="B102" s="107">
        <v>1.0481786252838492</v>
      </c>
      <c r="C102" s="24">
        <f t="shared" si="0"/>
        <v>1.0178263437701389</v>
      </c>
      <c r="D102" s="24">
        <f t="shared" si="1"/>
        <v>0.7373158307285762</v>
      </c>
      <c r="E102" s="24">
        <f t="shared" si="1"/>
        <v>0.7159652544823486</v>
      </c>
      <c r="F102" s="24">
        <f t="shared" si="2"/>
        <v>1.2883371668411581E-2</v>
      </c>
      <c r="G102" s="24"/>
      <c r="H102" s="110"/>
      <c r="I102" s="1"/>
      <c r="J102" s="1"/>
      <c r="K102" s="1"/>
      <c r="L102" s="1"/>
      <c r="M102" s="1"/>
      <c r="N102" s="131"/>
      <c r="O102" s="61"/>
      <c r="P102" s="106"/>
      <c r="Q102" s="58"/>
      <c r="R102" s="58"/>
      <c r="S102" s="58"/>
      <c r="T102" s="58"/>
      <c r="U102" s="58"/>
      <c r="V102" s="58"/>
    </row>
    <row r="103" spans="1:22" x14ac:dyDescent="0.2">
      <c r="A103" s="97">
        <v>3099.234130859375</v>
      </c>
      <c r="B103" s="107">
        <v>1.0673869264406084</v>
      </c>
      <c r="C103" s="24">
        <f t="shared" si="0"/>
        <v>1.0370346449268981</v>
      </c>
      <c r="D103" s="24">
        <f t="shared" si="1"/>
        <v>0.75082744428628001</v>
      </c>
      <c r="E103" s="24">
        <f t="shared" si="1"/>
        <v>0.72947686804005241</v>
      </c>
      <c r="F103" s="24">
        <f t="shared" si="2"/>
        <v>1.3511613557703805E-2</v>
      </c>
      <c r="G103" s="24"/>
      <c r="H103" s="110"/>
      <c r="I103" s="1"/>
      <c r="J103" s="1"/>
      <c r="K103" s="1"/>
      <c r="L103" s="1"/>
      <c r="M103" s="1"/>
      <c r="N103" s="131"/>
      <c r="O103" s="61"/>
      <c r="P103" s="106"/>
      <c r="Q103" s="58"/>
      <c r="R103" s="58"/>
      <c r="S103" s="58"/>
      <c r="T103" s="58"/>
      <c r="U103" s="58"/>
      <c r="V103" s="58"/>
    </row>
    <row r="104" spans="1:22" x14ac:dyDescent="0.2">
      <c r="A104" s="97">
        <v>3388.214599609375</v>
      </c>
      <c r="B104" s="107">
        <v>1.085521084474486</v>
      </c>
      <c r="C104" s="24">
        <f t="shared" si="0"/>
        <v>1.0551688029607758</v>
      </c>
      <c r="D104" s="24">
        <f t="shared" si="1"/>
        <v>0.7635834779171804</v>
      </c>
      <c r="E104" s="24">
        <f t="shared" si="1"/>
        <v>0.74223290167095279</v>
      </c>
      <c r="F104" s="24">
        <f t="shared" si="2"/>
        <v>1.2756033630900387E-2</v>
      </c>
      <c r="G104" s="24"/>
      <c r="H104" s="110"/>
      <c r="I104" s="1"/>
      <c r="J104" s="1"/>
      <c r="K104" s="1"/>
      <c r="L104" s="1"/>
      <c r="M104" s="1"/>
      <c r="N104" s="131"/>
      <c r="O104" s="61"/>
      <c r="P104" s="106"/>
      <c r="Q104" s="58"/>
      <c r="R104" s="58"/>
      <c r="S104" s="58"/>
      <c r="T104" s="58"/>
      <c r="U104" s="58"/>
      <c r="V104" s="58"/>
    </row>
    <row r="105" spans="1:22" x14ac:dyDescent="0.2">
      <c r="A105" s="97">
        <v>3708.189208984375</v>
      </c>
      <c r="B105" s="107">
        <v>1.1021848292072236</v>
      </c>
      <c r="C105" s="24">
        <f t="shared" si="0"/>
        <v>1.0718325476935133</v>
      </c>
      <c r="D105" s="24">
        <f t="shared" si="1"/>
        <v>0.77530518497578427</v>
      </c>
      <c r="E105" s="24">
        <f t="shared" si="1"/>
        <v>0.75395460872955666</v>
      </c>
      <c r="F105" s="24">
        <f t="shared" si="2"/>
        <v>1.172170705860387E-2</v>
      </c>
      <c r="G105" s="24"/>
      <c r="H105" s="110"/>
      <c r="I105" s="1"/>
      <c r="J105" s="1"/>
      <c r="K105" s="1"/>
      <c r="L105" s="1"/>
      <c r="M105" s="1"/>
      <c r="N105" s="131"/>
      <c r="O105" s="61"/>
      <c r="P105" s="106"/>
      <c r="Q105" s="58"/>
      <c r="R105" s="58"/>
      <c r="S105" s="58"/>
      <c r="T105" s="58"/>
      <c r="U105" s="58"/>
      <c r="V105" s="58"/>
    </row>
    <row r="106" spans="1:22" x14ac:dyDescent="0.2">
      <c r="A106" s="97">
        <v>4058.746826171875</v>
      </c>
      <c r="B106" s="107">
        <v>1.11851604515509</v>
      </c>
      <c r="C106" s="24">
        <f t="shared" si="0"/>
        <v>1.0881637636413797</v>
      </c>
      <c r="D106" s="24">
        <f t="shared" si="1"/>
        <v>0.78679298272604659</v>
      </c>
      <c r="E106" s="24">
        <f t="shared" si="1"/>
        <v>0.76544240647981898</v>
      </c>
      <c r="F106" s="24">
        <f t="shared" si="2"/>
        <v>1.1487797750262319E-2</v>
      </c>
      <c r="G106" s="24"/>
      <c r="H106" s="110"/>
      <c r="I106" s="1"/>
      <c r="J106" s="1"/>
      <c r="K106" s="1"/>
      <c r="L106" s="1"/>
      <c r="M106" s="1"/>
      <c r="N106" s="131"/>
      <c r="O106" s="61"/>
      <c r="P106" s="106"/>
      <c r="Q106" s="58"/>
      <c r="R106" s="58"/>
      <c r="S106" s="58"/>
      <c r="T106" s="58"/>
      <c r="U106" s="58"/>
      <c r="V106" s="58"/>
    </row>
    <row r="107" spans="1:22" x14ac:dyDescent="0.2">
      <c r="A107" s="97">
        <v>4435.2802734375</v>
      </c>
      <c r="B107" s="107">
        <v>1.1332829802130282</v>
      </c>
      <c r="C107" s="24">
        <f t="shared" si="0"/>
        <v>1.1029306986993179</v>
      </c>
      <c r="D107" s="24">
        <f t="shared" si="1"/>
        <v>0.79718042502540676</v>
      </c>
      <c r="E107" s="24">
        <f t="shared" si="1"/>
        <v>0.77582984877917915</v>
      </c>
      <c r="F107" s="24">
        <f t="shared" si="2"/>
        <v>1.0387442299360172E-2</v>
      </c>
      <c r="G107" s="24"/>
      <c r="H107" s="110"/>
      <c r="I107" s="1"/>
      <c r="J107" s="1"/>
      <c r="K107" s="1"/>
      <c r="L107" s="1"/>
      <c r="M107" s="1"/>
      <c r="N107" s="131"/>
      <c r="O107" s="61"/>
      <c r="P107" s="106"/>
      <c r="Q107" s="58"/>
      <c r="R107" s="58"/>
      <c r="S107" s="58"/>
      <c r="T107" s="58"/>
      <c r="U107" s="58"/>
      <c r="V107" s="58"/>
    </row>
    <row r="108" spans="1:22" x14ac:dyDescent="0.2">
      <c r="A108" s="97">
        <v>4845.98095703125</v>
      </c>
      <c r="B108" s="107">
        <v>1.1482760294769823</v>
      </c>
      <c r="C108" s="24">
        <f t="shared" si="0"/>
        <v>1.117923747963272</v>
      </c>
      <c r="D108" s="24">
        <f t="shared" si="1"/>
        <v>0.80772692187866324</v>
      </c>
      <c r="E108" s="24">
        <f t="shared" si="1"/>
        <v>0.78637634563243552</v>
      </c>
      <c r="F108" s="24">
        <f t="shared" si="2"/>
        <v>1.0546496853256371E-2</v>
      </c>
      <c r="G108" s="24"/>
      <c r="H108" s="110"/>
      <c r="I108" s="1"/>
      <c r="J108" s="1"/>
      <c r="K108" s="1"/>
      <c r="L108" s="1"/>
      <c r="M108" s="1"/>
      <c r="N108" s="131"/>
      <c r="O108" s="61"/>
      <c r="P108" s="106"/>
      <c r="Q108" s="58"/>
      <c r="R108" s="58"/>
      <c r="S108" s="58"/>
      <c r="T108" s="58"/>
      <c r="U108" s="58"/>
      <c r="V108" s="58"/>
    </row>
    <row r="109" spans="1:22" x14ac:dyDescent="0.2">
      <c r="A109" s="97">
        <v>5304.080078125</v>
      </c>
      <c r="B109" s="107">
        <v>1.1617639767025529</v>
      </c>
      <c r="C109" s="24">
        <f t="shared" si="0"/>
        <v>1.1314116951888427</v>
      </c>
      <c r="D109" s="24">
        <f t="shared" si="1"/>
        <v>0.8172146912087731</v>
      </c>
      <c r="E109" s="24">
        <f t="shared" si="1"/>
        <v>0.79586411496254539</v>
      </c>
      <c r="F109" s="24">
        <f t="shared" si="2"/>
        <v>9.4877693301098631E-3</v>
      </c>
      <c r="G109" s="24"/>
      <c r="H109" s="110"/>
      <c r="I109" s="1"/>
      <c r="J109" s="1"/>
      <c r="K109" s="1"/>
      <c r="L109" s="1"/>
      <c r="M109" s="1"/>
      <c r="N109" s="131"/>
      <c r="O109" s="61"/>
      <c r="P109" s="106"/>
      <c r="Q109" s="58"/>
      <c r="R109" s="58"/>
      <c r="S109" s="58"/>
      <c r="T109" s="58"/>
      <c r="U109" s="58"/>
      <c r="V109" s="58"/>
    </row>
    <row r="110" spans="1:22" x14ac:dyDescent="0.2">
      <c r="A110" s="97">
        <v>5805.4560546875</v>
      </c>
      <c r="B110" s="107">
        <v>1.1756314200554907</v>
      </c>
      <c r="C110" s="24">
        <f t="shared" si="0"/>
        <v>1.1452791385417804</v>
      </c>
      <c r="D110" s="24">
        <f t="shared" si="1"/>
        <v>0.82696940788512574</v>
      </c>
      <c r="E110" s="24">
        <f t="shared" si="1"/>
        <v>0.80561883163889814</v>
      </c>
      <c r="F110" s="24">
        <f t="shared" si="2"/>
        <v>9.7547166763527482E-3</v>
      </c>
      <c r="G110" s="24"/>
      <c r="H110" s="110"/>
      <c r="I110" s="1"/>
      <c r="J110" s="1"/>
      <c r="K110" s="1"/>
      <c r="L110" s="1"/>
      <c r="M110" s="1"/>
      <c r="N110" s="131"/>
      <c r="O110" s="61"/>
      <c r="P110" s="106"/>
      <c r="Q110" s="58"/>
      <c r="R110" s="58"/>
      <c r="S110" s="58"/>
      <c r="T110" s="58"/>
      <c r="U110" s="58"/>
      <c r="V110" s="58"/>
    </row>
    <row r="111" spans="1:22" x14ac:dyDescent="0.2">
      <c r="A111" s="97">
        <v>6353.33935546875</v>
      </c>
      <c r="B111" s="107">
        <v>1.1880744110067307</v>
      </c>
      <c r="C111" s="24">
        <f t="shared" si="0"/>
        <v>1.1577221294930204</v>
      </c>
      <c r="D111" s="24">
        <f t="shared" si="1"/>
        <v>0.83572212806912805</v>
      </c>
      <c r="E111" s="24">
        <f t="shared" si="1"/>
        <v>0.81437155182290033</v>
      </c>
      <c r="F111" s="24">
        <f t="shared" si="2"/>
        <v>8.752720184002194E-3</v>
      </c>
      <c r="G111" s="24"/>
      <c r="H111" s="110"/>
      <c r="I111" s="1"/>
      <c r="J111" s="1"/>
      <c r="K111" s="1"/>
      <c r="L111" s="1"/>
      <c r="M111" s="1"/>
      <c r="N111" s="131"/>
      <c r="O111" s="61"/>
      <c r="P111" s="106"/>
      <c r="Q111" s="58"/>
      <c r="R111" s="58"/>
      <c r="S111" s="58"/>
      <c r="T111" s="58"/>
      <c r="U111" s="58"/>
      <c r="V111" s="58"/>
    </row>
    <row r="112" spans="1:22" x14ac:dyDescent="0.2">
      <c r="A112" s="97">
        <v>6945.20703125</v>
      </c>
      <c r="B112" s="107">
        <v>1.1994037391711889</v>
      </c>
      <c r="C112" s="24">
        <f t="shared" si="0"/>
        <v>1.1690514576574786</v>
      </c>
      <c r="D112" s="24">
        <f t="shared" si="1"/>
        <v>0.84369146917729276</v>
      </c>
      <c r="E112" s="24">
        <f t="shared" si="1"/>
        <v>0.82234089293106505</v>
      </c>
      <c r="F112" s="24">
        <f t="shared" si="2"/>
        <v>7.9693411081647181E-3</v>
      </c>
      <c r="G112" s="24"/>
      <c r="H112" s="110"/>
      <c r="I112" s="1"/>
      <c r="J112" s="1"/>
      <c r="K112" s="1"/>
      <c r="L112" s="1"/>
      <c r="M112" s="1"/>
      <c r="N112" s="131"/>
      <c r="O112" s="61"/>
      <c r="P112" s="106"/>
      <c r="Q112" s="58"/>
      <c r="R112" s="58"/>
      <c r="S112" s="58"/>
      <c r="T112" s="58"/>
      <c r="U112" s="58"/>
      <c r="V112" s="58"/>
    </row>
    <row r="113" spans="1:22" x14ac:dyDescent="0.2">
      <c r="A113" s="97">
        <v>7603.89208984375</v>
      </c>
      <c r="B113" s="107">
        <v>1.2115188980718075</v>
      </c>
      <c r="C113" s="24">
        <f t="shared" si="0"/>
        <v>1.1811666165580972</v>
      </c>
      <c r="D113" s="24">
        <f t="shared" si="1"/>
        <v>0.85221358385674373</v>
      </c>
      <c r="E113" s="24">
        <f t="shared" si="1"/>
        <v>0.83086300761051601</v>
      </c>
      <c r="F113" s="24">
        <f t="shared" si="2"/>
        <v>8.522114679450965E-3</v>
      </c>
      <c r="G113" s="24"/>
      <c r="H113" s="110"/>
      <c r="I113" s="1"/>
      <c r="J113" s="1"/>
      <c r="K113" s="1"/>
      <c r="L113" s="1"/>
      <c r="M113" s="1"/>
      <c r="N113" s="131"/>
      <c r="O113" s="61"/>
      <c r="P113" s="106"/>
      <c r="Q113" s="58"/>
      <c r="R113" s="58"/>
      <c r="S113" s="58"/>
      <c r="T113" s="58"/>
      <c r="U113" s="58"/>
      <c r="V113" s="58"/>
    </row>
    <row r="114" spans="1:22" x14ac:dyDescent="0.2">
      <c r="A114" s="97">
        <v>8313.3974609375</v>
      </c>
      <c r="B114" s="107">
        <v>1.2246460019146024</v>
      </c>
      <c r="C114" s="24">
        <f t="shared" si="0"/>
        <v>1.1942937204008921</v>
      </c>
      <c r="D114" s="24">
        <f t="shared" si="1"/>
        <v>0.86144752666137736</v>
      </c>
      <c r="E114" s="24">
        <f t="shared" si="1"/>
        <v>0.84009695041514976</v>
      </c>
      <c r="F114" s="24">
        <f t="shared" si="2"/>
        <v>9.2339428046337435E-3</v>
      </c>
      <c r="G114" s="24"/>
      <c r="H114" s="110"/>
      <c r="I114" s="1"/>
      <c r="J114" s="1"/>
      <c r="K114" s="1"/>
      <c r="L114" s="1"/>
      <c r="M114" s="1"/>
      <c r="N114" s="131"/>
      <c r="O114" s="61"/>
      <c r="P114" s="106"/>
      <c r="Q114" s="58"/>
      <c r="R114" s="58"/>
      <c r="S114" s="58"/>
      <c r="T114" s="58"/>
      <c r="U114" s="58"/>
      <c r="V114" s="58"/>
    </row>
    <row r="115" spans="1:22" x14ac:dyDescent="0.2">
      <c r="A115" s="97">
        <v>9094.6494140625</v>
      </c>
      <c r="B115" s="107">
        <v>1.2289186881576597</v>
      </c>
      <c r="C115" s="24">
        <f t="shared" si="0"/>
        <v>1.1985664066439494</v>
      </c>
      <c r="D115" s="24">
        <f t="shared" si="1"/>
        <v>0.86445304416645841</v>
      </c>
      <c r="E115" s="24">
        <f t="shared" si="1"/>
        <v>0.8431024679202308</v>
      </c>
      <c r="F115" s="24">
        <f t="shared" si="2"/>
        <v>3.0055175050810456E-3</v>
      </c>
      <c r="G115" s="24"/>
      <c r="H115" s="110"/>
      <c r="I115" s="1"/>
      <c r="J115" s="1"/>
      <c r="K115" s="1"/>
      <c r="L115" s="1"/>
      <c r="M115" s="1"/>
      <c r="N115" s="131"/>
      <c r="O115" s="61"/>
      <c r="P115" s="106"/>
      <c r="Q115" s="58"/>
      <c r="R115" s="58"/>
      <c r="S115" s="58"/>
      <c r="T115" s="58"/>
      <c r="U115" s="58"/>
      <c r="V115" s="58"/>
    </row>
    <row r="116" spans="1:22" x14ac:dyDescent="0.2">
      <c r="A116" s="97">
        <v>9954.0029296875</v>
      </c>
      <c r="B116" s="107">
        <v>1.2434957409595071</v>
      </c>
      <c r="C116" s="24">
        <f t="shared" si="0"/>
        <v>1.2131434594457968</v>
      </c>
      <c r="D116" s="24">
        <f t="shared" si="1"/>
        <v>0.87470691839830306</v>
      </c>
      <c r="E116" s="24">
        <f t="shared" si="1"/>
        <v>0.85335634215207545</v>
      </c>
      <c r="F116" s="24">
        <f t="shared" si="2"/>
        <v>1.0253874231844651E-2</v>
      </c>
      <c r="G116" s="24"/>
      <c r="H116" s="110"/>
      <c r="I116" s="1"/>
      <c r="J116" s="1"/>
      <c r="K116" s="1"/>
      <c r="L116" s="1"/>
      <c r="M116" s="1"/>
      <c r="N116" s="131"/>
      <c r="O116" s="61"/>
      <c r="P116" s="106"/>
      <c r="Q116" s="58"/>
      <c r="R116" s="58"/>
      <c r="S116" s="58"/>
      <c r="T116" s="58"/>
      <c r="U116" s="58"/>
      <c r="V116" s="58"/>
    </row>
    <row r="117" spans="1:22" x14ac:dyDescent="0.2">
      <c r="A117" s="97">
        <v>10895.234375</v>
      </c>
      <c r="B117" s="107">
        <v>1.2538249331136166</v>
      </c>
      <c r="C117" s="24">
        <f t="shared" si="0"/>
        <v>1.2234726515999064</v>
      </c>
      <c r="D117" s="24">
        <f t="shared" si="1"/>
        <v>0.88197273808795762</v>
      </c>
      <c r="E117" s="24">
        <f t="shared" si="1"/>
        <v>0.8606221618417299</v>
      </c>
      <c r="F117" s="24">
        <f t="shared" si="2"/>
        <v>7.2658196896544514E-3</v>
      </c>
      <c r="G117" s="24"/>
      <c r="H117" s="110"/>
      <c r="I117" s="1"/>
      <c r="J117" s="1"/>
      <c r="K117" s="1"/>
      <c r="L117" s="1"/>
      <c r="M117" s="1"/>
      <c r="N117" s="131"/>
      <c r="O117" s="61"/>
      <c r="P117" s="106"/>
      <c r="Q117" s="58"/>
      <c r="R117" s="58"/>
      <c r="S117" s="58"/>
      <c r="T117" s="58"/>
      <c r="U117" s="58"/>
      <c r="V117" s="58"/>
    </row>
    <row r="118" spans="1:22" x14ac:dyDescent="0.2">
      <c r="A118" s="97">
        <v>11896.720703125</v>
      </c>
      <c r="B118" s="107">
        <v>1.2651373530347765</v>
      </c>
      <c r="C118" s="24">
        <f t="shared" si="0"/>
        <v>1.2347850715210662</v>
      </c>
      <c r="D118" s="24">
        <f t="shared" si="1"/>
        <v>0.88993018550247793</v>
      </c>
      <c r="E118" s="24">
        <f t="shared" si="1"/>
        <v>0.86857960925625033</v>
      </c>
      <c r="F118" s="24">
        <f t="shared" si="2"/>
        <v>7.9574474145204244E-3</v>
      </c>
      <c r="G118" s="24"/>
      <c r="H118" s="110"/>
      <c r="I118" s="1"/>
      <c r="J118" s="1"/>
      <c r="K118" s="1"/>
      <c r="L118" s="1"/>
      <c r="M118" s="1"/>
      <c r="N118" s="131"/>
      <c r="O118" s="61"/>
      <c r="P118" s="106"/>
      <c r="Q118" s="58"/>
      <c r="R118" s="58"/>
      <c r="S118" s="58"/>
      <c r="T118" s="58"/>
      <c r="U118" s="58"/>
      <c r="V118" s="58"/>
    </row>
    <row r="119" spans="1:22" x14ac:dyDescent="0.2">
      <c r="A119" s="97">
        <v>12995.5205078125</v>
      </c>
      <c r="B119" s="107">
        <v>1.2701195145343362</v>
      </c>
      <c r="C119" s="24">
        <f t="shared" si="0"/>
        <v>1.239767233020626</v>
      </c>
      <c r="D119" s="24">
        <f t="shared" si="1"/>
        <v>0.89343476616865691</v>
      </c>
      <c r="E119" s="24">
        <f t="shared" si="1"/>
        <v>0.87208418992242931</v>
      </c>
      <c r="F119" s="24">
        <f t="shared" si="2"/>
        <v>3.5045806661789802E-3</v>
      </c>
      <c r="G119" s="24"/>
      <c r="H119" s="110"/>
      <c r="I119" s="1"/>
      <c r="J119" s="1"/>
      <c r="K119" s="1"/>
      <c r="L119" s="1"/>
      <c r="M119" s="1"/>
      <c r="N119" s="131"/>
      <c r="O119" s="61"/>
      <c r="P119" s="106"/>
      <c r="Q119" s="58"/>
      <c r="R119" s="58"/>
      <c r="S119" s="58"/>
      <c r="T119" s="58"/>
      <c r="U119" s="58"/>
      <c r="V119" s="58"/>
    </row>
    <row r="120" spans="1:22" x14ac:dyDescent="0.2">
      <c r="A120" s="97">
        <v>14294.2802734375</v>
      </c>
      <c r="B120" s="107">
        <v>1.2788924773429453</v>
      </c>
      <c r="C120" s="24">
        <f t="shared" si="0"/>
        <v>1.248540195829235</v>
      </c>
      <c r="D120" s="24">
        <f t="shared" si="1"/>
        <v>0.89960589407104929</v>
      </c>
      <c r="E120" s="24">
        <f t="shared" si="1"/>
        <v>0.87825531782482169</v>
      </c>
      <c r="F120" s="24">
        <f t="shared" si="2"/>
        <v>6.1711279023923815E-3</v>
      </c>
      <c r="G120" s="24"/>
      <c r="H120" s="110"/>
      <c r="I120" s="1"/>
      <c r="J120" s="1"/>
      <c r="K120" s="1"/>
      <c r="L120" s="1"/>
      <c r="M120" s="1"/>
      <c r="N120" s="131"/>
      <c r="O120" s="61"/>
      <c r="P120" s="106"/>
      <c r="Q120" s="58"/>
      <c r="R120" s="58"/>
      <c r="S120" s="58"/>
      <c r="T120" s="58"/>
      <c r="U120" s="58"/>
      <c r="V120" s="58"/>
    </row>
    <row r="121" spans="1:22" x14ac:dyDescent="0.2">
      <c r="A121" s="97">
        <v>15594.58203125</v>
      </c>
      <c r="B121" s="107">
        <v>1.2864405318592607</v>
      </c>
      <c r="C121" s="24">
        <f t="shared" si="0"/>
        <v>1.2560882503455504</v>
      </c>
      <c r="D121" s="24">
        <f t="shared" si="1"/>
        <v>0.904915389944975</v>
      </c>
      <c r="E121" s="24">
        <f t="shared" si="1"/>
        <v>0.88356481369874729</v>
      </c>
      <c r="F121" s="24">
        <f t="shared" si="2"/>
        <v>5.309495873925596E-3</v>
      </c>
      <c r="G121" s="24"/>
      <c r="H121" s="110"/>
      <c r="I121" s="1"/>
      <c r="J121" s="1"/>
      <c r="K121" s="1"/>
      <c r="L121" s="1"/>
      <c r="M121" s="1"/>
      <c r="N121" s="131"/>
      <c r="O121" s="61"/>
      <c r="P121" s="106"/>
      <c r="Q121" s="58"/>
      <c r="R121" s="58"/>
      <c r="S121" s="58"/>
      <c r="T121" s="58"/>
      <c r="U121" s="58"/>
      <c r="V121" s="58"/>
    </row>
    <row r="122" spans="1:22" x14ac:dyDescent="0.2">
      <c r="A122" s="97">
        <v>17095.107421875</v>
      </c>
      <c r="B122" s="107">
        <v>1.2965705824811875</v>
      </c>
      <c r="C122" s="24">
        <f t="shared" si="0"/>
        <v>1.2662183009674772</v>
      </c>
      <c r="D122" s="24">
        <f t="shared" si="1"/>
        <v>0.91204112835392781</v>
      </c>
      <c r="E122" s="24">
        <f t="shared" si="1"/>
        <v>0.89069055210770021</v>
      </c>
      <c r="F122" s="24">
        <f t="shared" si="2"/>
        <v>7.1257384089529197E-3</v>
      </c>
      <c r="G122" s="24"/>
      <c r="H122" s="110"/>
      <c r="I122" s="1"/>
      <c r="J122" s="1"/>
      <c r="K122" s="1"/>
      <c r="L122" s="1"/>
      <c r="M122" s="1"/>
      <c r="N122" s="131"/>
      <c r="O122" s="61"/>
      <c r="P122" s="106"/>
      <c r="Q122" s="58"/>
      <c r="R122" s="58"/>
      <c r="S122" s="58"/>
      <c r="T122" s="58"/>
      <c r="U122" s="58"/>
      <c r="V122" s="58"/>
    </row>
    <row r="123" spans="1:22" x14ac:dyDescent="0.2">
      <c r="A123" s="97">
        <v>18695.3671875</v>
      </c>
      <c r="B123" s="107">
        <v>1.2965705824811875</v>
      </c>
      <c r="C123" s="24">
        <f t="shared" si="0"/>
        <v>1.2662183009674772</v>
      </c>
      <c r="D123" s="24">
        <f t="shared" si="1"/>
        <v>0.91204112835392781</v>
      </c>
      <c r="E123" s="24">
        <f t="shared" si="1"/>
        <v>0.89069055210770021</v>
      </c>
      <c r="F123" s="24">
        <f t="shared" si="2"/>
        <v>0</v>
      </c>
      <c r="G123" s="24"/>
      <c r="H123" s="110"/>
      <c r="I123" s="1"/>
      <c r="J123" s="1"/>
      <c r="K123" s="1"/>
      <c r="L123" s="1"/>
      <c r="M123" s="1"/>
      <c r="N123" s="131"/>
      <c r="O123" s="61"/>
      <c r="P123" s="106"/>
      <c r="Q123" s="58"/>
      <c r="R123" s="58"/>
      <c r="S123" s="58"/>
      <c r="T123" s="58"/>
      <c r="U123" s="58"/>
      <c r="V123" s="58"/>
    </row>
    <row r="124" spans="1:22" x14ac:dyDescent="0.2">
      <c r="A124" s="97">
        <v>20394.369140625</v>
      </c>
      <c r="B124" s="107">
        <v>1.3050884455238401</v>
      </c>
      <c r="C124" s="24">
        <f t="shared" si="0"/>
        <v>1.2747361640101298</v>
      </c>
      <c r="D124" s="24">
        <f t="shared" si="1"/>
        <v>0.91803281251331892</v>
      </c>
      <c r="E124" s="24">
        <f t="shared" si="1"/>
        <v>0.89668223626709131</v>
      </c>
      <c r="F124" s="24">
        <f t="shared" si="2"/>
        <v>5.9916841593911085E-3</v>
      </c>
      <c r="G124" s="24"/>
      <c r="H124" s="110"/>
      <c r="I124" s="1"/>
      <c r="J124" s="1"/>
      <c r="K124" s="1"/>
      <c r="L124" s="1"/>
      <c r="M124" s="1"/>
      <c r="N124" s="131"/>
      <c r="O124" s="61"/>
      <c r="P124" s="106"/>
      <c r="Q124" s="58"/>
      <c r="R124" s="58"/>
      <c r="S124" s="58"/>
      <c r="T124" s="58"/>
      <c r="U124" s="58"/>
      <c r="V124" s="58"/>
    </row>
    <row r="125" spans="1:22" x14ac:dyDescent="0.2">
      <c r="A125" s="97">
        <v>22295.521484375</v>
      </c>
      <c r="B125" s="107">
        <v>1.3113281240706265</v>
      </c>
      <c r="C125" s="24">
        <f t="shared" si="0"/>
        <v>1.2809758425569162</v>
      </c>
      <c r="D125" s="24">
        <f t="shared" si="1"/>
        <v>0.92242196304570767</v>
      </c>
      <c r="E125" s="24">
        <f t="shared" si="1"/>
        <v>0.90107138679948007</v>
      </c>
      <c r="F125" s="24">
        <f t="shared" si="2"/>
        <v>4.3891505323887525E-3</v>
      </c>
      <c r="G125" s="24"/>
      <c r="H125" s="110"/>
      <c r="I125" s="1"/>
      <c r="J125" s="1"/>
      <c r="K125" s="1"/>
      <c r="L125" s="1"/>
      <c r="M125" s="1"/>
      <c r="N125" s="131"/>
      <c r="O125" s="61"/>
      <c r="P125" s="106"/>
      <c r="Q125" s="58"/>
      <c r="R125" s="58"/>
      <c r="S125" s="58"/>
      <c r="T125" s="58"/>
      <c r="U125" s="58"/>
      <c r="V125" s="58"/>
    </row>
    <row r="126" spans="1:22" x14ac:dyDescent="0.2">
      <c r="A126" s="97">
        <v>24396.67578125</v>
      </c>
      <c r="B126" s="107">
        <v>1.3160000327248991</v>
      </c>
      <c r="C126" s="24">
        <f t="shared" si="0"/>
        <v>1.2856477512111888</v>
      </c>
      <c r="D126" s="24">
        <f t="shared" si="1"/>
        <v>0.92570830387295</v>
      </c>
      <c r="E126" s="24">
        <f t="shared" si="1"/>
        <v>0.90435772762672229</v>
      </c>
      <c r="F126" s="24">
        <f t="shared" si="2"/>
        <v>3.2863408272422179E-3</v>
      </c>
      <c r="G126" s="24"/>
      <c r="H126" s="110"/>
      <c r="I126" s="1"/>
      <c r="J126" s="1"/>
      <c r="K126" s="1"/>
      <c r="L126" s="1"/>
      <c r="M126" s="1"/>
      <c r="N126" s="131"/>
      <c r="O126" s="61"/>
      <c r="P126" s="106"/>
      <c r="Q126" s="58"/>
      <c r="R126" s="58"/>
      <c r="S126" s="58"/>
      <c r="T126" s="58"/>
      <c r="U126" s="58"/>
      <c r="V126" s="58"/>
    </row>
    <row r="127" spans="1:22" x14ac:dyDescent="0.2">
      <c r="A127" s="97">
        <v>26697.0546875</v>
      </c>
      <c r="B127" s="107">
        <v>1.3204852797408519</v>
      </c>
      <c r="C127" s="24">
        <f t="shared" si="0"/>
        <v>1.2901329982271417</v>
      </c>
      <c r="D127" s="24">
        <f t="shared" si="1"/>
        <v>0.92886334209813282</v>
      </c>
      <c r="E127" s="24">
        <f t="shared" si="1"/>
        <v>0.90751276585190521</v>
      </c>
      <c r="F127" s="24">
        <f t="shared" si="2"/>
        <v>3.1550382251829268E-3</v>
      </c>
      <c r="G127" s="24"/>
      <c r="H127" s="110"/>
      <c r="I127" s="1"/>
      <c r="J127" s="1"/>
      <c r="K127" s="1"/>
      <c r="L127" s="1"/>
      <c r="M127" s="1"/>
      <c r="N127" s="131"/>
      <c r="O127" s="61"/>
      <c r="P127" s="106"/>
      <c r="Q127" s="58"/>
      <c r="R127" s="58"/>
      <c r="S127" s="58"/>
      <c r="T127" s="58"/>
      <c r="U127" s="58"/>
      <c r="V127" s="58"/>
    </row>
    <row r="128" spans="1:22" x14ac:dyDescent="0.2">
      <c r="A128" s="97">
        <v>29296.841796875</v>
      </c>
      <c r="B128" s="107">
        <v>1.3206026980970917</v>
      </c>
      <c r="C128" s="24">
        <f t="shared" si="0"/>
        <v>1.2902504165833815</v>
      </c>
      <c r="D128" s="24">
        <f t="shared" si="1"/>
        <v>0.92894593719288621</v>
      </c>
      <c r="E128" s="24">
        <f t="shared" si="1"/>
        <v>0.90759536094665849</v>
      </c>
      <c r="F128" s="24">
        <f t="shared" si="2"/>
        <v>8.2595094753279419E-5</v>
      </c>
      <c r="G128" s="24"/>
      <c r="H128" s="110"/>
      <c r="I128" s="1"/>
      <c r="J128" s="1"/>
      <c r="K128" s="1"/>
      <c r="L128" s="1"/>
      <c r="M128" s="1"/>
      <c r="N128" s="131"/>
      <c r="O128" s="61"/>
      <c r="P128" s="106"/>
      <c r="Q128" s="58"/>
      <c r="R128" s="58"/>
      <c r="S128" s="58"/>
      <c r="T128" s="58"/>
      <c r="U128" s="58"/>
      <c r="V128" s="58"/>
    </row>
    <row r="129" spans="1:23" x14ac:dyDescent="0.2">
      <c r="A129" s="97">
        <v>31997.15625</v>
      </c>
      <c r="B129" s="107">
        <v>1.3248512297068655</v>
      </c>
      <c r="C129" s="24">
        <f t="shared" si="0"/>
        <v>1.2944989481931553</v>
      </c>
      <c r="D129" s="24">
        <f t="shared" si="1"/>
        <v>0.93193446370704658</v>
      </c>
      <c r="E129" s="24">
        <f t="shared" si="1"/>
        <v>0.91058388746081886</v>
      </c>
      <c r="F129" s="24">
        <f t="shared" si="2"/>
        <v>2.9885265141603723E-3</v>
      </c>
      <c r="G129" s="24"/>
      <c r="H129" s="110"/>
      <c r="I129" s="1"/>
      <c r="J129" s="1"/>
      <c r="K129" s="1"/>
      <c r="L129" s="1"/>
      <c r="M129" s="1"/>
      <c r="N129" s="131"/>
      <c r="O129" s="61"/>
      <c r="P129" s="106"/>
      <c r="Q129" s="58"/>
      <c r="R129" s="58"/>
      <c r="S129" s="58"/>
      <c r="T129" s="58"/>
      <c r="U129" s="58"/>
      <c r="V129" s="58"/>
    </row>
    <row r="130" spans="1:23" x14ac:dyDescent="0.2">
      <c r="A130" s="97">
        <v>34997.19140625</v>
      </c>
      <c r="B130" s="107">
        <v>1.327921283597213</v>
      </c>
      <c r="C130" s="24">
        <f t="shared" si="0"/>
        <v>1.2975690020835027</v>
      </c>
      <c r="D130" s="24">
        <f t="shared" si="1"/>
        <v>0.93409401865306541</v>
      </c>
      <c r="E130" s="24">
        <f t="shared" si="1"/>
        <v>0.9127434424068378</v>
      </c>
      <c r="F130" s="24">
        <f t="shared" si="2"/>
        <v>2.1595549460189378E-3</v>
      </c>
      <c r="G130" s="24"/>
      <c r="H130" s="110"/>
      <c r="I130" s="1"/>
      <c r="J130" s="1"/>
      <c r="K130" s="1"/>
      <c r="L130" s="1"/>
      <c r="M130" s="1"/>
      <c r="N130" s="131"/>
      <c r="O130" s="61"/>
      <c r="P130" s="106"/>
      <c r="Q130" s="58"/>
      <c r="R130" s="58"/>
      <c r="S130" s="58"/>
      <c r="T130" s="58"/>
      <c r="U130" s="58"/>
      <c r="V130" s="58"/>
    </row>
    <row r="131" spans="1:23" x14ac:dyDescent="0.2">
      <c r="A131" s="97">
        <v>38297.421875</v>
      </c>
      <c r="B131" s="107">
        <v>1.3299893227835118</v>
      </c>
      <c r="C131" s="24">
        <f t="shared" si="0"/>
        <v>1.2996370412698015</v>
      </c>
      <c r="D131" s="24">
        <f t="shared" si="1"/>
        <v>0.93554873065905797</v>
      </c>
      <c r="E131" s="24">
        <f t="shared" si="1"/>
        <v>0.91419815441283037</v>
      </c>
      <c r="F131" s="24">
        <f t="shared" si="2"/>
        <v>1.4547120059925644E-3</v>
      </c>
      <c r="G131" s="24"/>
      <c r="H131" s="110"/>
      <c r="I131" s="1"/>
      <c r="J131" s="1"/>
      <c r="K131" s="1"/>
      <c r="L131" s="1"/>
      <c r="M131" s="1"/>
      <c r="N131" s="131"/>
      <c r="O131" s="61"/>
      <c r="P131" s="106"/>
      <c r="Q131" s="58"/>
      <c r="R131" s="58"/>
      <c r="S131" s="58"/>
      <c r="T131" s="58"/>
      <c r="U131" s="58"/>
      <c r="V131" s="58"/>
    </row>
    <row r="132" spans="1:23" x14ac:dyDescent="0.2">
      <c r="A132" s="97">
        <v>41897.19921875</v>
      </c>
      <c r="B132" s="107">
        <v>1.3335022116173922</v>
      </c>
      <c r="C132" s="24">
        <f t="shared" si="0"/>
        <v>1.303149930103682</v>
      </c>
      <c r="D132" s="24">
        <f t="shared" si="1"/>
        <v>0.93801978710528944</v>
      </c>
      <c r="E132" s="24">
        <f t="shared" si="1"/>
        <v>0.91666921085906183</v>
      </c>
      <c r="F132" s="24">
        <f t="shared" si="2"/>
        <v>2.4710564462314677E-3</v>
      </c>
      <c r="G132" s="24"/>
      <c r="H132" s="110"/>
      <c r="I132" s="1"/>
      <c r="J132" s="1"/>
      <c r="K132" s="1"/>
      <c r="L132" s="1"/>
      <c r="M132" s="1"/>
      <c r="N132" s="131"/>
      <c r="O132" s="61"/>
      <c r="P132" s="106"/>
      <c r="Q132" s="58"/>
      <c r="R132" s="58"/>
      <c r="S132" s="58"/>
      <c r="T132" s="58"/>
      <c r="U132" s="58"/>
      <c r="V132" s="58"/>
    </row>
    <row r="133" spans="1:23" x14ac:dyDescent="0.2">
      <c r="A133" s="97">
        <v>45795.90625</v>
      </c>
      <c r="B133" s="107">
        <v>1.3351754567419112</v>
      </c>
      <c r="C133" s="24">
        <f t="shared" si="0"/>
        <v>1.3048231752282009</v>
      </c>
      <c r="D133" s="24">
        <f t="shared" si="1"/>
        <v>0.93919679080412288</v>
      </c>
      <c r="E133" s="24">
        <f t="shared" si="1"/>
        <v>0.91784621455789528</v>
      </c>
      <c r="F133" s="24">
        <f t="shared" si="2"/>
        <v>1.1770036988334454E-3</v>
      </c>
      <c r="G133" s="24"/>
      <c r="H133" s="110"/>
      <c r="I133" s="1"/>
      <c r="J133" s="1"/>
      <c r="K133" s="1"/>
      <c r="L133" s="1"/>
      <c r="M133" s="1"/>
      <c r="N133" s="131"/>
      <c r="O133" s="61"/>
      <c r="P133" s="106"/>
      <c r="Q133" s="58"/>
      <c r="R133" s="58"/>
      <c r="S133" s="58"/>
      <c r="T133" s="58"/>
      <c r="U133" s="58"/>
      <c r="V133" s="58"/>
    </row>
    <row r="134" spans="1:23" x14ac:dyDescent="0.2">
      <c r="A134" s="97">
        <v>50091.828125</v>
      </c>
      <c r="B134" s="107">
        <v>1.3385577763636529</v>
      </c>
      <c r="C134" s="24">
        <f t="shared" si="0"/>
        <v>1.3082054948499426</v>
      </c>
      <c r="D134" s="24">
        <f t="shared" si="1"/>
        <v>0.94157600150498866</v>
      </c>
      <c r="E134" s="24">
        <f t="shared" si="1"/>
        <v>0.92022542525876094</v>
      </c>
      <c r="F134" s="24">
        <f t="shared" si="2"/>
        <v>2.3792107008656638E-3</v>
      </c>
      <c r="G134" s="24"/>
      <c r="H134" s="110"/>
      <c r="I134" s="1"/>
      <c r="J134" s="1"/>
      <c r="K134" s="1"/>
      <c r="L134" s="1"/>
      <c r="M134" s="1"/>
      <c r="N134" s="131"/>
      <c r="O134" s="61"/>
      <c r="P134" s="106"/>
      <c r="Q134" s="58"/>
      <c r="R134" s="58"/>
      <c r="S134" s="58"/>
      <c r="T134" s="58"/>
      <c r="U134" s="58"/>
      <c r="V134" s="58"/>
    </row>
    <row r="135" spans="1:23" x14ac:dyDescent="0.2">
      <c r="A135" s="97">
        <v>54784.2734375</v>
      </c>
      <c r="B135" s="107">
        <v>1.3385577763636529</v>
      </c>
      <c r="C135" s="24">
        <f t="shared" si="0"/>
        <v>1.3082054948499426</v>
      </c>
      <c r="D135" s="24">
        <f t="shared" si="1"/>
        <v>0.94157600150498866</v>
      </c>
      <c r="E135" s="24">
        <f t="shared" si="1"/>
        <v>0.92022542525876094</v>
      </c>
      <c r="F135" s="24">
        <f t="shared" si="2"/>
        <v>0</v>
      </c>
      <c r="G135" s="24"/>
      <c r="H135" s="110"/>
      <c r="I135" s="1"/>
      <c r="J135" s="1"/>
      <c r="K135" s="1"/>
      <c r="L135" s="1"/>
      <c r="M135" s="1"/>
      <c r="N135" s="131"/>
      <c r="O135" s="61"/>
      <c r="P135" s="106"/>
      <c r="Q135" s="58"/>
      <c r="R135" s="58"/>
      <c r="S135" s="58"/>
      <c r="T135" s="58"/>
      <c r="U135" s="58"/>
      <c r="V135" s="58"/>
    </row>
    <row r="136" spans="1:23" x14ac:dyDescent="0.2">
      <c r="A136" s="97">
        <v>59484.26953125</v>
      </c>
      <c r="B136" s="107">
        <v>1.3385577763636529</v>
      </c>
      <c r="C136" s="24">
        <f t="shared" si="0"/>
        <v>1.3082054948499426</v>
      </c>
      <c r="D136" s="24">
        <f t="shared" si="1"/>
        <v>0.94157600150498866</v>
      </c>
      <c r="E136" s="24">
        <f t="shared" si="1"/>
        <v>0.92022542525876094</v>
      </c>
      <c r="F136" s="24">
        <f t="shared" si="2"/>
        <v>0</v>
      </c>
      <c r="G136" s="24"/>
      <c r="H136" s="127"/>
      <c r="I136" s="97"/>
      <c r="J136" s="97"/>
      <c r="K136" s="97"/>
      <c r="L136" s="97"/>
      <c r="M136" s="97"/>
      <c r="P136" s="106"/>
      <c r="Q136" s="58"/>
      <c r="R136" s="58"/>
      <c r="S136" s="58"/>
      <c r="T136" s="58"/>
      <c r="U136" s="58"/>
      <c r="V136" s="58"/>
    </row>
    <row r="137" spans="1:23" x14ac:dyDescent="0.2">
      <c r="A137" s="97"/>
      <c r="B137" s="107"/>
      <c r="C137" s="24"/>
      <c r="D137" s="24"/>
      <c r="E137" s="24"/>
      <c r="F137" s="24"/>
      <c r="G137" s="24"/>
      <c r="H137" s="127"/>
      <c r="I137" s="97"/>
      <c r="J137" s="97"/>
      <c r="K137" s="97"/>
      <c r="L137" s="97"/>
      <c r="M137" s="97"/>
      <c r="P137" s="25"/>
      <c r="Q137" s="58"/>
      <c r="R137" s="58"/>
      <c r="S137" s="58"/>
      <c r="T137" s="58"/>
      <c r="U137" s="58"/>
      <c r="V137" s="58"/>
    </row>
    <row r="138" spans="1:23" x14ac:dyDescent="0.2">
      <c r="A138" s="97"/>
      <c r="B138" s="107"/>
      <c r="C138" s="24"/>
      <c r="D138" s="24"/>
      <c r="E138" s="24"/>
      <c r="F138" s="24"/>
      <c r="G138" s="24"/>
      <c r="H138" s="127"/>
      <c r="I138" s="97"/>
      <c r="J138" s="97"/>
      <c r="K138" s="97"/>
      <c r="L138" s="97"/>
      <c r="M138" s="97"/>
      <c r="P138" s="25"/>
      <c r="Q138" s="58"/>
      <c r="R138" s="58"/>
      <c r="S138" s="58"/>
      <c r="T138" s="58"/>
      <c r="U138" s="58"/>
      <c r="V138" s="58"/>
    </row>
    <row r="139" spans="1:23" x14ac:dyDescent="0.2">
      <c r="A139" s="97"/>
      <c r="B139" s="107"/>
      <c r="C139" s="24"/>
      <c r="D139" s="24"/>
      <c r="E139" s="24"/>
      <c r="F139" s="24"/>
      <c r="G139" s="24"/>
      <c r="H139" s="127"/>
      <c r="I139" s="97"/>
      <c r="J139" s="97"/>
      <c r="K139" s="97"/>
      <c r="L139" s="97"/>
      <c r="M139" s="97"/>
      <c r="P139" s="25"/>
      <c r="Q139" s="58"/>
      <c r="R139" s="58"/>
      <c r="S139" s="58"/>
      <c r="T139" s="58"/>
      <c r="U139" s="58"/>
      <c r="V139" s="58"/>
    </row>
    <row r="140" spans="1:23" x14ac:dyDescent="0.2">
      <c r="A140" s="97"/>
      <c r="B140" s="107"/>
      <c r="C140" s="24"/>
      <c r="D140" s="24"/>
      <c r="E140" s="24"/>
      <c r="F140" s="24"/>
      <c r="G140" s="24"/>
      <c r="H140" s="127"/>
      <c r="I140" s="97"/>
      <c r="J140" s="97"/>
      <c r="K140" s="97"/>
      <c r="L140" s="97"/>
      <c r="M140" s="97"/>
      <c r="P140" s="25"/>
      <c r="Q140" s="58"/>
      <c r="R140" s="58"/>
      <c r="S140" s="58"/>
      <c r="T140" s="58"/>
      <c r="U140" s="58"/>
      <c r="V140" s="58"/>
    </row>
    <row r="141" spans="1:23" x14ac:dyDescent="0.2">
      <c r="A141" s="97"/>
      <c r="B141" s="107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127"/>
      <c r="P141" s="97"/>
      <c r="Q141" s="97"/>
      <c r="R141" s="97"/>
      <c r="S141" s="97"/>
      <c r="T141" s="97"/>
      <c r="W141" s="25"/>
    </row>
  </sheetData>
  <mergeCells count="5">
    <mergeCell ref="A5:M5"/>
    <mergeCell ref="I32:J32"/>
    <mergeCell ref="I33:J33"/>
    <mergeCell ref="K32:L32"/>
    <mergeCell ref="K33:L33"/>
  </mergeCells>
  <printOptions horizontalCentered="1"/>
  <pageMargins left="0.5" right="0.5" top="0.1" bottom="0.25" header="0" footer="0"/>
  <pageSetup scale="65" orientation="portrait" r:id="rId1"/>
  <rowBreaks count="2" manualBreakCount="2">
    <brk id="86" max="12" man="1"/>
    <brk id="16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workbookViewId="0">
      <selection activeCell="C7" sqref="C7"/>
    </sheetView>
  </sheetViews>
  <sheetFormatPr defaultColWidth="8.85546875" defaultRowHeight="12.75" x14ac:dyDescent="0.2"/>
  <cols>
    <col min="1" max="17" width="8.140625" style="133" customWidth="1"/>
    <col min="18" max="16384" width="8.85546875" style="133"/>
  </cols>
  <sheetData>
    <row r="1" spans="1:15" ht="15.75" x14ac:dyDescent="0.25">
      <c r="C1" s="164" t="s">
        <v>11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20"/>
      <c r="O1" s="120"/>
    </row>
    <row r="2" spans="1:15" x14ac:dyDescent="0.2">
      <c r="C2" s="59" t="str">
        <f>Table!A7</f>
        <v>Shell Exploration &amp; Production Company</v>
      </c>
      <c r="K2" s="54" t="str">
        <f>Table!L7</f>
        <v>Sample Number:</v>
      </c>
      <c r="N2" s="116"/>
      <c r="O2" s="37" t="str">
        <f>Table!$P$7</f>
        <v>MC 26</v>
      </c>
    </row>
    <row r="3" spans="1:15" x14ac:dyDescent="0.2">
      <c r="C3" s="59" t="str">
        <f>Table!A8</f>
        <v>OSC-Y-2321 Burger J 001</v>
      </c>
      <c r="K3" s="54" t="str">
        <f>Table!L8</f>
        <v>Sample Depth, feet:</v>
      </c>
      <c r="N3" s="144"/>
      <c r="O3" s="9">
        <f>Table!$P$8</f>
        <v>5965</v>
      </c>
    </row>
    <row r="4" spans="1:15" x14ac:dyDescent="0.2">
      <c r="C4" s="59" t="str">
        <f>Table!A9</f>
        <v>Offshore</v>
      </c>
      <c r="K4" s="54" t="str">
        <f>Table!L9</f>
        <v>Permeability to Air (calc), mD:</v>
      </c>
      <c r="M4" s="51"/>
      <c r="N4" s="35"/>
      <c r="O4" s="66">
        <f>Table!$P$9</f>
        <v>0.42251476461127702</v>
      </c>
    </row>
    <row r="5" spans="1:15" x14ac:dyDescent="0.2">
      <c r="C5" s="59" t="str">
        <f>Table!A10</f>
        <v>HH-77445</v>
      </c>
      <c r="D5" s="18"/>
      <c r="E5" s="18"/>
      <c r="F5" s="99"/>
      <c r="G5" s="18"/>
      <c r="K5" s="54" t="str">
        <f>Table!L10</f>
        <v>Porosity, fraction:</v>
      </c>
      <c r="M5" s="51"/>
      <c r="N5" s="35"/>
      <c r="O5" s="66">
        <f>Table!$P$10</f>
        <v>0.16166380104274999</v>
      </c>
    </row>
    <row r="6" spans="1:15" ht="14.25" x14ac:dyDescent="0.2">
      <c r="A6" s="51"/>
      <c r="C6" s="175" t="s">
        <v>97</v>
      </c>
      <c r="D6" s="62"/>
      <c r="E6" s="62"/>
      <c r="F6" s="62"/>
      <c r="G6" s="51"/>
      <c r="K6" s="54" t="str">
        <f>Table!L11</f>
        <v>Grain Density, grams/cc:</v>
      </c>
      <c r="M6" s="62"/>
      <c r="N6" s="49"/>
      <c r="O6" s="99">
        <f>Table!$P$11</f>
        <v>2.6549504722755719</v>
      </c>
    </row>
    <row r="7" spans="1:15" x14ac:dyDescent="0.2">
      <c r="B7" s="59"/>
      <c r="D7" s="51"/>
      <c r="E7" s="51"/>
      <c r="I7" s="54"/>
      <c r="K7" s="62"/>
      <c r="L7" s="28"/>
      <c r="M7" s="141"/>
    </row>
    <row r="8" spans="1:15" x14ac:dyDescent="0.2">
      <c r="B8" s="59"/>
      <c r="D8" s="51"/>
      <c r="E8" s="51"/>
      <c r="I8" s="54"/>
      <c r="K8" s="62"/>
      <c r="L8" s="28"/>
      <c r="M8" s="141"/>
    </row>
    <row r="9" spans="1:15" ht="12" customHeight="1" x14ac:dyDescent="0.2">
      <c r="B9" s="51"/>
      <c r="C9" s="51"/>
      <c r="D9" s="51"/>
      <c r="E9" s="51"/>
      <c r="F9" s="51"/>
    </row>
    <row r="10" spans="1:15" x14ac:dyDescent="0.2">
      <c r="B10" s="51"/>
      <c r="C10" s="51"/>
      <c r="D10" s="51"/>
      <c r="E10" s="51"/>
      <c r="F10" s="51"/>
      <c r="K10" s="62"/>
      <c r="L10" s="28"/>
    </row>
    <row r="11" spans="1:15" x14ac:dyDescent="0.2">
      <c r="B11" s="51"/>
      <c r="C11" s="51"/>
      <c r="D11" s="62"/>
      <c r="E11" s="51"/>
      <c r="F11" s="51"/>
      <c r="K11" s="62"/>
      <c r="L11" s="28"/>
    </row>
    <row r="12" spans="1:15" x14ac:dyDescent="0.2">
      <c r="B12" s="51"/>
      <c r="C12" s="51"/>
      <c r="D12" s="62"/>
      <c r="E12" s="51"/>
      <c r="F12" s="51"/>
      <c r="G12" s="54"/>
      <c r="H12" s="51"/>
      <c r="I12" s="51"/>
      <c r="J12" s="66"/>
      <c r="K12" s="62"/>
      <c r="L12" s="28"/>
    </row>
    <row r="13" spans="1:15" x14ac:dyDescent="0.2">
      <c r="A13" s="59"/>
      <c r="B13" s="51"/>
      <c r="C13" s="51"/>
      <c r="D13" s="51"/>
      <c r="E13" s="51"/>
      <c r="F13" s="51"/>
      <c r="G13" s="51"/>
      <c r="H13" s="51"/>
      <c r="I13" s="35"/>
      <c r="J13" s="62"/>
      <c r="K13" s="62"/>
      <c r="L13" s="28"/>
    </row>
    <row r="14" spans="1:15" x14ac:dyDescent="0.2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62"/>
      <c r="L14" s="28"/>
    </row>
    <row r="15" spans="1:15" x14ac:dyDescent="0.2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51"/>
      <c r="L15" s="28"/>
    </row>
    <row r="16" spans="1:15" x14ac:dyDescent="0.2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51"/>
      <c r="L16" s="28"/>
    </row>
    <row r="17" spans="1:12" x14ac:dyDescent="0.2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51"/>
      <c r="L17" s="106"/>
    </row>
    <row r="18" spans="1:12" x14ac:dyDescent="0.2">
      <c r="A18" s="25"/>
      <c r="B18" s="33"/>
      <c r="C18" s="33"/>
      <c r="D18" s="53"/>
      <c r="E18" s="4"/>
      <c r="F18" s="153"/>
      <c r="G18" s="153"/>
      <c r="H18" s="153"/>
      <c r="I18" s="153"/>
      <c r="J18" s="153"/>
      <c r="K18" s="51"/>
      <c r="L18" s="106"/>
    </row>
    <row r="19" spans="1:12" x14ac:dyDescent="0.2">
      <c r="A19" s="151"/>
      <c r="B19" s="33"/>
      <c r="C19" s="33"/>
      <c r="D19" s="53"/>
      <c r="E19" s="4"/>
      <c r="F19" s="153"/>
      <c r="G19" s="153"/>
      <c r="H19" s="153"/>
      <c r="I19" s="153"/>
      <c r="J19" s="153"/>
      <c r="K19" s="51"/>
      <c r="L19" s="106"/>
    </row>
    <row r="20" spans="1:12" x14ac:dyDescent="0.2">
      <c r="A20" s="151"/>
      <c r="B20" s="33"/>
      <c r="C20" s="33"/>
      <c r="D20" s="53"/>
      <c r="E20" s="4"/>
      <c r="F20" s="153"/>
      <c r="G20" s="153"/>
      <c r="H20" s="153"/>
      <c r="I20" s="153"/>
      <c r="J20" s="153"/>
      <c r="K20" s="51"/>
      <c r="L20" s="147"/>
    </row>
    <row r="21" spans="1:12" x14ac:dyDescent="0.2">
      <c r="A21" s="151"/>
      <c r="B21" s="33"/>
      <c r="C21" s="33"/>
      <c r="D21" s="53"/>
      <c r="E21" s="4"/>
      <c r="F21" s="153"/>
      <c r="G21" s="153"/>
      <c r="H21" s="153"/>
      <c r="I21" s="153"/>
      <c r="J21" s="153"/>
      <c r="K21" s="51"/>
      <c r="L21" s="30"/>
    </row>
    <row r="22" spans="1:12" x14ac:dyDescent="0.2">
      <c r="A22" s="151"/>
      <c r="B22" s="33"/>
      <c r="C22" s="33"/>
      <c r="D22" s="53"/>
      <c r="E22" s="4"/>
      <c r="F22" s="153"/>
      <c r="G22" s="153"/>
      <c r="H22" s="153"/>
      <c r="I22" s="153"/>
      <c r="J22" s="153"/>
      <c r="K22" s="51"/>
      <c r="L22" s="30"/>
    </row>
    <row r="23" spans="1:12" x14ac:dyDescent="0.2">
      <c r="A23" s="151"/>
      <c r="B23" s="33"/>
      <c r="C23" s="33"/>
      <c r="D23" s="53"/>
      <c r="E23" s="4"/>
      <c r="F23" s="153"/>
      <c r="G23" s="153"/>
      <c r="H23" s="153"/>
      <c r="I23" s="153"/>
      <c r="J23" s="153"/>
      <c r="K23" s="51"/>
      <c r="L23" s="30"/>
    </row>
    <row r="24" spans="1:12" x14ac:dyDescent="0.2">
      <c r="A24" s="60"/>
      <c r="B24" s="33"/>
      <c r="C24" s="33"/>
      <c r="D24" s="53"/>
      <c r="E24" s="4"/>
      <c r="F24" s="153"/>
      <c r="G24" s="153"/>
      <c r="H24" s="153"/>
      <c r="I24" s="153"/>
      <c r="J24" s="153"/>
      <c r="K24" s="51"/>
      <c r="L24" s="30"/>
    </row>
    <row r="25" spans="1:12" x14ac:dyDescent="0.2">
      <c r="A25" s="60"/>
      <c r="B25" s="33"/>
      <c r="C25" s="33"/>
      <c r="D25" s="53"/>
      <c r="E25" s="4"/>
      <c r="F25" s="153"/>
      <c r="G25" s="153"/>
      <c r="H25" s="153"/>
      <c r="I25" s="153"/>
      <c r="J25" s="153"/>
      <c r="K25" s="51"/>
      <c r="L25" s="30"/>
    </row>
    <row r="26" spans="1:12" x14ac:dyDescent="0.2">
      <c r="A26" s="60"/>
      <c r="B26" s="33"/>
      <c r="C26" s="33"/>
      <c r="D26" s="53"/>
      <c r="E26" s="4"/>
      <c r="F26" s="153"/>
      <c r="G26" s="153"/>
      <c r="H26" s="153"/>
      <c r="I26" s="153"/>
      <c r="J26" s="153"/>
      <c r="K26" s="51"/>
      <c r="L26" s="30"/>
    </row>
    <row r="27" spans="1:12" ht="15.75" customHeight="1" x14ac:dyDescent="0.2">
      <c r="A27" s="60"/>
      <c r="B27" s="33"/>
      <c r="C27" s="33"/>
      <c r="D27" s="53"/>
      <c r="E27" s="4"/>
      <c r="F27" s="153"/>
      <c r="G27" s="153"/>
      <c r="H27" s="153"/>
      <c r="I27" s="153"/>
      <c r="J27" s="153"/>
      <c r="K27" s="51"/>
      <c r="L27" s="30"/>
    </row>
    <row r="28" spans="1:12" x14ac:dyDescent="0.2">
      <c r="A28" s="60"/>
      <c r="B28" s="33"/>
      <c r="C28" s="33"/>
      <c r="D28" s="53"/>
      <c r="E28" s="4"/>
      <c r="F28" s="153"/>
      <c r="G28" s="153"/>
      <c r="H28" s="153"/>
      <c r="I28" s="153"/>
      <c r="J28" s="153"/>
      <c r="K28" s="51"/>
      <c r="L28" s="30"/>
    </row>
    <row r="29" spans="1:12" x14ac:dyDescent="0.2">
      <c r="A29" s="78"/>
      <c r="B29" s="33"/>
      <c r="C29" s="33"/>
      <c r="D29" s="53"/>
      <c r="E29" s="4"/>
      <c r="F29" s="153"/>
      <c r="G29" s="153"/>
      <c r="H29" s="153"/>
      <c r="I29" s="153"/>
      <c r="J29" s="153"/>
      <c r="K29" s="51"/>
      <c r="L29" s="30"/>
    </row>
    <row r="30" spans="1:12" x14ac:dyDescent="0.2">
      <c r="A30" s="78"/>
      <c r="B30" s="33"/>
      <c r="C30" s="33"/>
      <c r="D30" s="53"/>
      <c r="E30" s="4"/>
      <c r="F30" s="153"/>
      <c r="G30" s="153"/>
      <c r="H30" s="153"/>
      <c r="I30" s="153"/>
      <c r="J30" s="153"/>
      <c r="K30" s="51"/>
      <c r="L30" s="30"/>
    </row>
    <row r="31" spans="1:12" x14ac:dyDescent="0.2">
      <c r="A31" s="78"/>
      <c r="B31" s="33"/>
      <c r="C31" s="33"/>
      <c r="D31" s="53"/>
      <c r="E31" s="4"/>
      <c r="F31" s="153"/>
      <c r="G31" s="153"/>
      <c r="H31" s="153"/>
      <c r="I31" s="153"/>
      <c r="J31" s="153"/>
      <c r="K31" s="51"/>
      <c r="L31" s="30"/>
    </row>
    <row r="32" spans="1:12" x14ac:dyDescent="0.2">
      <c r="A32" s="78"/>
      <c r="B32" s="33"/>
      <c r="C32" s="33"/>
      <c r="D32" s="53"/>
      <c r="E32" s="4"/>
      <c r="F32" s="153"/>
      <c r="G32" s="153"/>
      <c r="H32" s="153"/>
      <c r="I32" s="153"/>
      <c r="J32" s="153"/>
      <c r="K32" s="51"/>
      <c r="L32" s="30"/>
    </row>
    <row r="33" spans="1:12" x14ac:dyDescent="0.2">
      <c r="A33" s="78"/>
      <c r="B33" s="33"/>
      <c r="C33" s="33"/>
      <c r="D33" s="53"/>
      <c r="E33" s="4"/>
      <c r="F33" s="153"/>
      <c r="G33" s="153"/>
      <c r="H33" s="153"/>
      <c r="I33" s="153"/>
      <c r="J33" s="153"/>
      <c r="K33" s="51"/>
      <c r="L33" s="30"/>
    </row>
    <row r="34" spans="1:12" x14ac:dyDescent="0.2">
      <c r="A34" s="29"/>
      <c r="B34" s="33"/>
      <c r="C34" s="33"/>
      <c r="D34" s="53"/>
      <c r="E34" s="4"/>
      <c r="F34" s="153"/>
      <c r="G34" s="153"/>
      <c r="H34" s="153"/>
      <c r="I34" s="153"/>
      <c r="J34" s="153"/>
      <c r="K34" s="51"/>
      <c r="L34" s="30"/>
    </row>
    <row r="35" spans="1:12" x14ac:dyDescent="0.2">
      <c r="A35" s="29"/>
      <c r="B35" s="33"/>
      <c r="C35" s="33"/>
      <c r="D35" s="53"/>
      <c r="E35" s="4"/>
      <c r="F35" s="153"/>
      <c r="G35" s="153"/>
      <c r="H35" s="153"/>
      <c r="I35" s="153"/>
      <c r="J35" s="153"/>
      <c r="K35" s="51"/>
      <c r="L35" s="30"/>
    </row>
    <row r="36" spans="1:12" x14ac:dyDescent="0.2">
      <c r="A36" s="29"/>
      <c r="B36" s="33"/>
      <c r="C36" s="33"/>
      <c r="D36" s="53"/>
      <c r="E36" s="4"/>
      <c r="F36" s="153"/>
      <c r="G36" s="153"/>
      <c r="H36" s="153"/>
      <c r="I36" s="153"/>
      <c r="J36" s="153"/>
      <c r="K36" s="51"/>
      <c r="L36" s="30"/>
    </row>
    <row r="37" spans="1:12" x14ac:dyDescent="0.2">
      <c r="A37" s="29"/>
      <c r="B37" s="33"/>
      <c r="C37" s="33"/>
      <c r="D37" s="53"/>
      <c r="E37" s="4"/>
      <c r="F37" s="153"/>
      <c r="G37" s="153"/>
      <c r="H37" s="153"/>
      <c r="I37" s="153"/>
      <c r="J37" s="153"/>
      <c r="K37" s="51"/>
      <c r="L37" s="30"/>
    </row>
    <row r="38" spans="1:12" x14ac:dyDescent="0.2">
      <c r="A38" s="29"/>
      <c r="B38" s="33"/>
      <c r="C38" s="33"/>
      <c r="D38" s="53"/>
      <c r="E38" s="4"/>
      <c r="F38" s="153"/>
      <c r="G38" s="153"/>
      <c r="H38" s="153"/>
      <c r="I38" s="153"/>
      <c r="J38" s="153"/>
      <c r="K38" s="51"/>
      <c r="L38" s="30"/>
    </row>
    <row r="39" spans="1:12" x14ac:dyDescent="0.2">
      <c r="A39" s="29"/>
      <c r="B39" s="33"/>
      <c r="C39" s="33"/>
      <c r="D39" s="53"/>
      <c r="E39" s="4"/>
      <c r="F39" s="153"/>
      <c r="G39" s="153"/>
      <c r="H39" s="153"/>
      <c r="I39" s="153"/>
      <c r="J39" s="153"/>
      <c r="K39" s="51"/>
      <c r="L39" s="30"/>
    </row>
    <row r="40" spans="1:12" x14ac:dyDescent="0.2">
      <c r="A40" s="29"/>
      <c r="B40" s="33"/>
      <c r="C40" s="33"/>
      <c r="D40" s="53"/>
      <c r="E40" s="4"/>
      <c r="F40" s="153"/>
      <c r="G40" s="153"/>
      <c r="H40" s="153"/>
      <c r="I40" s="153"/>
      <c r="J40" s="153"/>
      <c r="K40" s="51"/>
      <c r="L40" s="30"/>
    </row>
    <row r="41" spans="1:12" x14ac:dyDescent="0.2">
      <c r="A41" s="29"/>
      <c r="B41" s="33"/>
      <c r="C41" s="33"/>
      <c r="D41" s="53"/>
      <c r="E41" s="4"/>
      <c r="F41" s="153"/>
      <c r="G41" s="153"/>
      <c r="H41" s="153"/>
      <c r="I41" s="153"/>
      <c r="J41" s="153"/>
      <c r="K41" s="51"/>
      <c r="L41" s="30"/>
    </row>
    <row r="42" spans="1:12" x14ac:dyDescent="0.2">
      <c r="A42" s="29"/>
      <c r="B42" s="33"/>
      <c r="C42" s="33"/>
      <c r="D42" s="53"/>
      <c r="E42" s="4"/>
      <c r="F42" s="153"/>
      <c r="G42" s="153"/>
      <c r="H42" s="153"/>
      <c r="I42" s="153"/>
      <c r="J42" s="153"/>
      <c r="K42" s="51"/>
      <c r="L42" s="30"/>
    </row>
    <row r="43" spans="1:12" x14ac:dyDescent="0.2">
      <c r="A43" s="29"/>
      <c r="B43" s="33"/>
      <c r="C43" s="33"/>
      <c r="D43" s="53"/>
      <c r="E43" s="4"/>
      <c r="F43" s="153"/>
      <c r="G43" s="153"/>
      <c r="H43" s="153"/>
      <c r="I43" s="153"/>
      <c r="J43" s="153"/>
      <c r="K43" s="51"/>
      <c r="L43" s="30"/>
    </row>
    <row r="44" spans="1:12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</row>
    <row r="45" spans="1:12" ht="17.25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</row>
    <row r="46" spans="1:12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</row>
    <row r="47" spans="1:12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2" ht="15" x14ac:dyDescent="0.2">
      <c r="A48" s="58"/>
      <c r="B48" s="58"/>
      <c r="C48" s="58"/>
      <c r="D48" s="58"/>
      <c r="E48" s="58"/>
      <c r="F48" s="58"/>
      <c r="G48" s="58"/>
      <c r="H48" s="27"/>
      <c r="I48" s="132"/>
      <c r="J48" s="129"/>
      <c r="K48" s="58"/>
    </row>
    <row r="49" spans="1:12" x14ac:dyDescent="0.2">
      <c r="A49" s="58"/>
      <c r="B49" s="58"/>
      <c r="C49" s="58"/>
      <c r="D49" s="58"/>
      <c r="E49" s="58"/>
      <c r="F49" s="58"/>
      <c r="G49" s="58"/>
      <c r="H49" s="132"/>
      <c r="I49" s="132"/>
      <c r="J49" s="129"/>
      <c r="K49" s="58"/>
    </row>
    <row r="50" spans="1:12" x14ac:dyDescent="0.2">
      <c r="G50" s="58"/>
      <c r="H50" s="132"/>
      <c r="I50" s="132"/>
      <c r="J50" s="129"/>
      <c r="K50" s="58"/>
    </row>
    <row r="51" spans="1:12" x14ac:dyDescent="0.2">
      <c r="G51" s="58"/>
      <c r="H51" s="132"/>
      <c r="I51" s="132"/>
      <c r="J51" s="129"/>
      <c r="K51" s="58"/>
    </row>
    <row r="52" spans="1:12" x14ac:dyDescent="0.2">
      <c r="G52" s="58"/>
      <c r="H52" s="132"/>
      <c r="I52" s="132"/>
      <c r="J52" s="129"/>
      <c r="K52" s="58"/>
    </row>
    <row r="53" spans="1:12" x14ac:dyDescent="0.2">
      <c r="G53" s="58"/>
      <c r="H53" s="58"/>
      <c r="I53" s="58"/>
      <c r="J53" s="58"/>
      <c r="K53" s="58"/>
    </row>
    <row r="54" spans="1:12" x14ac:dyDescent="0.2">
      <c r="G54" s="58"/>
      <c r="H54" s="58"/>
      <c r="I54" s="58"/>
      <c r="J54" s="58"/>
      <c r="K54" s="58"/>
    </row>
    <row r="56" spans="1:12" x14ac:dyDescent="0.2">
      <c r="J56"/>
      <c r="K56"/>
      <c r="L56"/>
    </row>
    <row r="57" spans="1:12" x14ac:dyDescent="0.2">
      <c r="J57"/>
      <c r="K57"/>
      <c r="L57"/>
    </row>
    <row r="58" spans="1:12" x14ac:dyDescent="0.2">
      <c r="J58"/>
      <c r="K58"/>
      <c r="L58"/>
    </row>
    <row r="59" spans="1:12" x14ac:dyDescent="0.2">
      <c r="J59"/>
      <c r="K59"/>
      <c r="L59"/>
    </row>
    <row r="60" spans="1:12" x14ac:dyDescent="0.2">
      <c r="J60"/>
      <c r="K60"/>
      <c r="L60"/>
    </row>
  </sheetData>
  <mergeCells count="1">
    <mergeCell ref="C1:M1"/>
  </mergeCells>
  <printOptions horizontalCentered="1"/>
  <pageMargins left="0.5" right="0.5" top="0.5" bottom="0.5" header="0" footer="0"/>
  <pageSetup scale="9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workbookViewId="0">
      <selection activeCell="C8" sqref="C8"/>
    </sheetView>
  </sheetViews>
  <sheetFormatPr defaultColWidth="8.85546875" defaultRowHeight="12.75" x14ac:dyDescent="0.2"/>
  <cols>
    <col min="1" max="7" width="8.28515625" style="133" customWidth="1"/>
    <col min="8" max="8" width="4.85546875" style="133" customWidth="1"/>
    <col min="9" max="14" width="8.28515625" style="133" customWidth="1"/>
    <col min="15" max="15" width="13.140625" style="133" customWidth="1"/>
    <col min="16" max="19" width="8.28515625" style="133" customWidth="1"/>
    <col min="20" max="16384" width="8.85546875" style="133"/>
  </cols>
  <sheetData>
    <row r="1" spans="1:15" ht="15.75" x14ac:dyDescent="0.25">
      <c r="C1" s="164" t="s">
        <v>11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5" x14ac:dyDescent="0.2">
      <c r="C2" s="59" t="str">
        <f>Table!A7</f>
        <v>Shell Exploration &amp; Production Company</v>
      </c>
      <c r="K2" s="54" t="str">
        <f>Table!L7</f>
        <v>Sample Number:</v>
      </c>
      <c r="O2" s="37" t="str">
        <f>Table!$P$7</f>
        <v>MC 26</v>
      </c>
    </row>
    <row r="3" spans="1:15" x14ac:dyDescent="0.2">
      <c r="C3" s="59" t="str">
        <f>Table!A8</f>
        <v>OSC-Y-2321 Burger J 001</v>
      </c>
      <c r="K3" s="54" t="str">
        <f>Table!L8</f>
        <v>Sample Depth, feet:</v>
      </c>
      <c r="O3" s="9">
        <f>Table!$P$8</f>
        <v>5965</v>
      </c>
    </row>
    <row r="4" spans="1:15" x14ac:dyDescent="0.2">
      <c r="C4" s="59" t="str">
        <f>Table!A9</f>
        <v>Offshore</v>
      </c>
      <c r="K4" s="54" t="str">
        <f>Table!L9</f>
        <v>Permeability to Air (calc), mD:</v>
      </c>
      <c r="M4" s="51"/>
      <c r="N4" s="51"/>
      <c r="O4" s="66">
        <f>Table!$P$9</f>
        <v>0.42251476461127702</v>
      </c>
    </row>
    <row r="5" spans="1:15" x14ac:dyDescent="0.2">
      <c r="C5" s="59" t="str">
        <f>Table!A10</f>
        <v>HH-77445</v>
      </c>
      <c r="D5" s="2"/>
      <c r="E5" s="2"/>
      <c r="F5" s="99"/>
      <c r="G5" s="2"/>
      <c r="K5" s="54" t="str">
        <f>Table!L10</f>
        <v>Porosity, fraction:</v>
      </c>
      <c r="M5" s="51"/>
      <c r="N5" s="51"/>
      <c r="O5" s="66">
        <f>Table!$P$10</f>
        <v>0.16166380104274999</v>
      </c>
    </row>
    <row r="6" spans="1:15" x14ac:dyDescent="0.2">
      <c r="A6" s="51"/>
      <c r="C6" s="176" t="s">
        <v>97</v>
      </c>
      <c r="D6" s="62"/>
      <c r="E6" s="62"/>
      <c r="F6" s="62"/>
      <c r="G6" s="51"/>
      <c r="K6" s="54" t="str">
        <f>Table!L11</f>
        <v>Grain Density, grams/cc:</v>
      </c>
      <c r="M6" s="62"/>
      <c r="N6" s="62"/>
      <c r="O6" s="99">
        <f>Table!$P$11</f>
        <v>2.6549504722755719</v>
      </c>
    </row>
    <row r="7" spans="1:15" x14ac:dyDescent="0.2">
      <c r="B7" s="59"/>
      <c r="D7" s="51"/>
      <c r="E7" s="51"/>
      <c r="I7" s="54"/>
      <c r="K7" s="62"/>
      <c r="L7" s="28"/>
      <c r="M7" s="141"/>
    </row>
    <row r="8" spans="1:15" x14ac:dyDescent="0.2">
      <c r="B8" s="51"/>
      <c r="C8" s="51"/>
      <c r="D8" s="51"/>
      <c r="E8" s="51"/>
      <c r="F8" s="51"/>
    </row>
    <row r="9" spans="1:15" x14ac:dyDescent="0.2">
      <c r="B9" s="51"/>
      <c r="C9" s="51"/>
      <c r="D9" s="51"/>
      <c r="E9" s="51"/>
      <c r="F9" s="51"/>
      <c r="K9" s="62"/>
      <c r="L9" s="28"/>
    </row>
    <row r="10" spans="1:15" x14ac:dyDescent="0.2">
      <c r="B10" s="51"/>
      <c r="C10" s="51"/>
      <c r="D10" s="62"/>
      <c r="E10" s="51"/>
      <c r="F10" s="51"/>
      <c r="K10" s="62"/>
      <c r="L10" s="28"/>
    </row>
    <row r="11" spans="1:15" x14ac:dyDescent="0.2">
      <c r="B11" s="51"/>
      <c r="C11" s="51"/>
      <c r="D11" s="62"/>
      <c r="E11" s="51"/>
      <c r="F11" s="51"/>
      <c r="G11" s="54"/>
      <c r="H11" s="51"/>
      <c r="I11" s="51"/>
      <c r="J11" s="66"/>
      <c r="K11" s="62"/>
      <c r="L11" s="28"/>
    </row>
    <row r="12" spans="1:15" x14ac:dyDescent="0.2">
      <c r="A12" s="59"/>
      <c r="B12" s="51"/>
      <c r="C12" s="51"/>
      <c r="D12" s="51"/>
      <c r="E12" s="51"/>
      <c r="F12" s="51"/>
      <c r="G12" s="51"/>
      <c r="H12" s="51"/>
      <c r="I12" s="35"/>
      <c r="J12" s="62"/>
      <c r="K12" s="62"/>
      <c r="L12" s="28"/>
    </row>
    <row r="13" spans="1:15" x14ac:dyDescent="0.2">
      <c r="A13" s="135"/>
      <c r="B13" s="135"/>
      <c r="C13" s="135"/>
      <c r="D13" s="135"/>
      <c r="E13" s="135"/>
      <c r="F13" s="122"/>
      <c r="G13" s="122"/>
      <c r="H13" s="122"/>
      <c r="I13" s="122"/>
      <c r="J13" s="122"/>
      <c r="K13" s="62"/>
      <c r="L13" s="28"/>
    </row>
    <row r="14" spans="1:15" x14ac:dyDescent="0.2">
      <c r="A14" s="135"/>
      <c r="B14" s="135"/>
      <c r="C14" s="135"/>
      <c r="D14" s="135"/>
      <c r="E14" s="135"/>
      <c r="F14" s="135"/>
      <c r="G14" s="135"/>
      <c r="H14" s="135"/>
      <c r="I14" s="122"/>
      <c r="J14" s="122"/>
      <c r="K14" s="51"/>
      <c r="L14" s="28"/>
    </row>
    <row r="15" spans="1:15" x14ac:dyDescent="0.2">
      <c r="A15" s="135"/>
      <c r="B15" s="135"/>
      <c r="C15" s="135"/>
      <c r="D15" s="135"/>
      <c r="E15" s="135"/>
      <c r="F15" s="135"/>
      <c r="G15" s="135"/>
      <c r="H15" s="135"/>
      <c r="I15" s="122"/>
      <c r="J15" s="122"/>
      <c r="K15" s="51"/>
      <c r="L15" s="28"/>
    </row>
    <row r="16" spans="1:15" x14ac:dyDescent="0.2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51"/>
      <c r="L16" s="106"/>
    </row>
    <row r="17" spans="1:12" x14ac:dyDescent="0.2">
      <c r="A17" s="25"/>
      <c r="B17" s="33"/>
      <c r="C17" s="33"/>
      <c r="D17" s="53"/>
      <c r="E17" s="4"/>
      <c r="F17" s="153"/>
      <c r="G17" s="153"/>
      <c r="H17" s="153"/>
      <c r="I17" s="153"/>
      <c r="J17" s="153"/>
      <c r="K17" s="51"/>
      <c r="L17" s="106"/>
    </row>
    <row r="18" spans="1:12" x14ac:dyDescent="0.2">
      <c r="A18" s="151"/>
      <c r="B18" s="33"/>
      <c r="C18" s="33"/>
      <c r="D18" s="53"/>
      <c r="E18" s="4"/>
      <c r="F18" s="153"/>
      <c r="G18" s="153"/>
      <c r="H18" s="153"/>
      <c r="I18" s="153"/>
      <c r="J18" s="153"/>
      <c r="K18" s="51"/>
      <c r="L18" s="106"/>
    </row>
    <row r="19" spans="1:12" x14ac:dyDescent="0.2">
      <c r="A19" s="151"/>
      <c r="B19" s="33"/>
      <c r="C19" s="33"/>
      <c r="D19" s="53"/>
      <c r="E19" s="4"/>
      <c r="F19" s="153"/>
      <c r="G19" s="153"/>
      <c r="H19" s="153"/>
      <c r="I19" s="153"/>
      <c r="J19" s="153"/>
      <c r="K19" s="51"/>
      <c r="L19" s="147"/>
    </row>
    <row r="20" spans="1:12" x14ac:dyDescent="0.2">
      <c r="A20" s="151"/>
      <c r="B20" s="33"/>
      <c r="C20" s="33"/>
      <c r="D20" s="53"/>
      <c r="E20" s="4"/>
      <c r="F20" s="153"/>
      <c r="G20" s="153"/>
      <c r="H20" s="153"/>
      <c r="I20" s="153"/>
      <c r="J20" s="153"/>
      <c r="K20" s="51"/>
      <c r="L20" s="30"/>
    </row>
    <row r="21" spans="1:12" x14ac:dyDescent="0.2">
      <c r="A21" s="151"/>
      <c r="B21" s="33"/>
      <c r="C21" s="33"/>
      <c r="D21" s="53"/>
      <c r="E21" s="4"/>
      <c r="F21" s="153"/>
      <c r="G21" s="153"/>
      <c r="H21" s="153"/>
      <c r="I21" s="153"/>
      <c r="J21" s="153"/>
      <c r="K21" s="51"/>
      <c r="L21" s="30"/>
    </row>
    <row r="22" spans="1:12" x14ac:dyDescent="0.2">
      <c r="A22" s="151"/>
      <c r="B22" s="33"/>
      <c r="C22" s="33"/>
      <c r="D22" s="53"/>
      <c r="E22" s="4"/>
      <c r="F22" s="153"/>
      <c r="G22" s="153"/>
      <c r="H22" s="153"/>
      <c r="I22" s="153"/>
      <c r="J22" s="153"/>
      <c r="K22" s="51"/>
      <c r="L22" s="30"/>
    </row>
    <row r="23" spans="1:12" x14ac:dyDescent="0.2">
      <c r="A23" s="60"/>
      <c r="B23" s="33"/>
      <c r="C23" s="33"/>
      <c r="D23" s="53"/>
      <c r="E23" s="4"/>
      <c r="F23" s="153"/>
      <c r="G23" s="153"/>
      <c r="H23" s="153"/>
      <c r="I23" s="153"/>
      <c r="J23" s="153"/>
      <c r="K23" s="51"/>
      <c r="L23" s="30"/>
    </row>
    <row r="24" spans="1:12" x14ac:dyDescent="0.2">
      <c r="A24" s="60"/>
      <c r="B24" s="33"/>
      <c r="C24" s="33"/>
      <c r="D24" s="53"/>
      <c r="E24" s="4"/>
      <c r="F24" s="153"/>
      <c r="G24" s="153"/>
      <c r="H24" s="153"/>
      <c r="I24" s="153"/>
      <c r="J24" s="153"/>
      <c r="K24" s="51"/>
      <c r="L24" s="30"/>
    </row>
    <row r="25" spans="1:12" x14ac:dyDescent="0.2">
      <c r="A25" s="60"/>
      <c r="B25" s="33"/>
      <c r="C25" s="33"/>
      <c r="D25" s="53"/>
      <c r="E25" s="4"/>
      <c r="F25" s="153"/>
      <c r="G25" s="153"/>
      <c r="H25" s="153"/>
      <c r="I25" s="153"/>
      <c r="J25" s="153"/>
      <c r="K25" s="51"/>
      <c r="L25" s="30"/>
    </row>
    <row r="26" spans="1:12" x14ac:dyDescent="0.2">
      <c r="A26" s="60"/>
      <c r="B26" s="33"/>
      <c r="C26" s="33"/>
      <c r="D26" s="53"/>
      <c r="E26" s="4"/>
      <c r="F26" s="153"/>
      <c r="G26" s="153"/>
      <c r="H26" s="153"/>
      <c r="I26" s="153"/>
      <c r="J26" s="153"/>
      <c r="K26" s="51"/>
      <c r="L26" s="30"/>
    </row>
    <row r="27" spans="1:12" x14ac:dyDescent="0.2">
      <c r="A27" s="60"/>
      <c r="B27" s="33"/>
      <c r="C27" s="33"/>
      <c r="D27" s="53"/>
      <c r="E27" s="4"/>
      <c r="F27" s="153"/>
      <c r="G27" s="153"/>
      <c r="H27" s="153"/>
      <c r="I27" s="153"/>
      <c r="J27" s="153"/>
      <c r="K27" s="51"/>
      <c r="L27" s="30"/>
    </row>
    <row r="28" spans="1:12" x14ac:dyDescent="0.2">
      <c r="A28" s="78"/>
      <c r="B28" s="33"/>
      <c r="C28" s="33"/>
      <c r="D28" s="53"/>
      <c r="E28" s="4"/>
      <c r="F28" s="153"/>
      <c r="G28" s="153"/>
      <c r="H28" s="153"/>
      <c r="I28" s="153"/>
      <c r="J28" s="153"/>
      <c r="K28" s="51"/>
      <c r="L28" s="30"/>
    </row>
    <row r="29" spans="1:12" x14ac:dyDescent="0.2">
      <c r="A29" s="78"/>
      <c r="B29" s="33"/>
      <c r="C29" s="33"/>
      <c r="D29" s="53"/>
      <c r="E29" s="4"/>
      <c r="F29" s="153"/>
      <c r="G29" s="153"/>
      <c r="H29" s="153"/>
      <c r="I29" s="153"/>
      <c r="J29" s="153"/>
      <c r="K29" s="51"/>
      <c r="L29" s="30"/>
    </row>
    <row r="30" spans="1:12" x14ac:dyDescent="0.2">
      <c r="A30" s="78"/>
      <c r="B30" s="33"/>
      <c r="C30" s="33"/>
      <c r="D30" s="53"/>
      <c r="E30" s="4"/>
      <c r="F30" s="153"/>
      <c r="G30" s="153"/>
      <c r="H30" s="153"/>
      <c r="I30" s="153"/>
      <c r="J30" s="153"/>
      <c r="K30" s="51"/>
      <c r="L30" s="30"/>
    </row>
    <row r="31" spans="1:12" x14ac:dyDescent="0.2">
      <c r="A31" s="78"/>
      <c r="B31" s="33"/>
      <c r="C31" s="33"/>
      <c r="D31" s="53"/>
      <c r="E31" s="4"/>
      <c r="F31" s="153"/>
      <c r="G31" s="153"/>
      <c r="H31" s="153"/>
      <c r="I31" s="153"/>
      <c r="J31" s="153"/>
      <c r="K31" s="51"/>
      <c r="L31" s="30"/>
    </row>
    <row r="32" spans="1:12" x14ac:dyDescent="0.2">
      <c r="A32" s="78"/>
      <c r="B32" s="33"/>
      <c r="C32" s="33"/>
      <c r="D32" s="53"/>
      <c r="E32" s="4"/>
      <c r="F32" s="153"/>
      <c r="G32" s="153"/>
      <c r="H32" s="153"/>
      <c r="I32" s="153"/>
      <c r="J32" s="153"/>
      <c r="K32" s="51"/>
      <c r="L32" s="30"/>
    </row>
    <row r="33" spans="1:13" x14ac:dyDescent="0.2">
      <c r="A33" s="29"/>
      <c r="B33" s="33"/>
      <c r="C33" s="33"/>
      <c r="D33" s="53"/>
      <c r="E33" s="4"/>
      <c r="F33" s="153"/>
      <c r="G33" s="153"/>
      <c r="H33" s="153"/>
      <c r="I33" s="153"/>
      <c r="J33" s="153"/>
      <c r="K33" s="51"/>
      <c r="L33" s="30"/>
    </row>
    <row r="34" spans="1:13" x14ac:dyDescent="0.2">
      <c r="A34" s="29"/>
      <c r="B34" s="33"/>
      <c r="C34" s="33"/>
      <c r="D34" s="53"/>
      <c r="E34" s="4"/>
      <c r="F34" s="153"/>
      <c r="G34" s="153"/>
      <c r="H34" s="153"/>
      <c r="I34" s="153"/>
      <c r="J34" s="153"/>
      <c r="K34" s="51"/>
      <c r="L34" s="30"/>
    </row>
    <row r="35" spans="1:13" x14ac:dyDescent="0.2">
      <c r="A35" s="29"/>
      <c r="B35" s="33"/>
      <c r="C35" s="33"/>
      <c r="D35" s="53"/>
      <c r="E35" s="4"/>
      <c r="F35" s="153"/>
      <c r="G35" s="153"/>
      <c r="H35" s="153"/>
      <c r="I35" s="153"/>
      <c r="J35" s="153"/>
      <c r="K35" s="51"/>
      <c r="L35" s="30"/>
    </row>
    <row r="36" spans="1:13" x14ac:dyDescent="0.2">
      <c r="A36" s="29"/>
      <c r="B36" s="33"/>
      <c r="C36" s="33"/>
      <c r="D36" s="53"/>
      <c r="E36" s="4"/>
      <c r="F36" s="153"/>
      <c r="G36" s="153"/>
      <c r="H36" s="153"/>
      <c r="I36" s="153"/>
      <c r="J36" s="153"/>
      <c r="K36" s="51"/>
      <c r="L36" s="30"/>
    </row>
    <row r="37" spans="1:13" x14ac:dyDescent="0.2">
      <c r="A37" s="29"/>
      <c r="B37" s="33"/>
      <c r="C37" s="33"/>
      <c r="D37" s="53"/>
      <c r="E37" s="4"/>
      <c r="F37" s="153"/>
      <c r="G37" s="153"/>
      <c r="H37" s="153"/>
      <c r="I37" s="153"/>
      <c r="J37" s="153"/>
      <c r="K37"/>
      <c r="L37"/>
      <c r="M37"/>
    </row>
    <row r="38" spans="1:13" x14ac:dyDescent="0.2">
      <c r="A38" s="29"/>
      <c r="B38" s="33"/>
      <c r="C38" s="33"/>
      <c r="D38" s="53"/>
      <c r="E38" s="4"/>
      <c r="F38" s="153"/>
      <c r="G38" s="153"/>
      <c r="H38" s="153"/>
      <c r="I38" s="153"/>
      <c r="J38" s="153"/>
      <c r="K38"/>
      <c r="L38"/>
      <c r="M38"/>
    </row>
    <row r="39" spans="1:13" x14ac:dyDescent="0.2">
      <c r="A39" s="29"/>
      <c r="B39" s="33"/>
      <c r="C39" s="33"/>
      <c r="D39" s="53"/>
      <c r="E39" s="4"/>
      <c r="F39" s="153"/>
      <c r="G39" s="153"/>
      <c r="H39" s="153"/>
      <c r="I39" s="153"/>
      <c r="J39" s="153"/>
      <c r="K39"/>
      <c r="L39"/>
      <c r="M39"/>
    </row>
    <row r="40" spans="1:13" x14ac:dyDescent="0.2">
      <c r="A40" s="29"/>
      <c r="B40" s="33"/>
      <c r="C40" s="33"/>
      <c r="D40" s="53"/>
      <c r="E40" s="4"/>
      <c r="F40" s="153"/>
      <c r="G40" s="153"/>
      <c r="H40" s="153"/>
      <c r="I40" s="153"/>
      <c r="J40" s="153"/>
      <c r="K40"/>
      <c r="L40"/>
      <c r="M40"/>
    </row>
    <row r="41" spans="1:13" x14ac:dyDescent="0.2">
      <c r="A41" s="29"/>
      <c r="B41" s="33"/>
      <c r="C41" s="33"/>
      <c r="D41" s="53"/>
      <c r="E41" s="4"/>
      <c r="F41" s="153"/>
      <c r="G41" s="153"/>
      <c r="H41" s="153"/>
      <c r="I41" s="153"/>
      <c r="J41" s="153"/>
      <c r="K41"/>
      <c r="L41"/>
      <c r="M41"/>
    </row>
    <row r="42" spans="1:13" x14ac:dyDescent="0.2">
      <c r="A42" s="29"/>
      <c r="B42" s="33"/>
      <c r="C42" s="33"/>
      <c r="D42" s="53"/>
      <c r="E42" s="4"/>
      <c r="F42" s="153"/>
      <c r="G42" s="153"/>
      <c r="H42" s="153"/>
      <c r="I42" s="153"/>
      <c r="J42" s="153"/>
      <c r="K42" s="51"/>
      <c r="L42" s="30"/>
    </row>
    <row r="43" spans="1:13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</row>
    <row r="44" spans="1:13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</row>
    <row r="45" spans="1:13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</row>
    <row r="46" spans="1:13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</row>
    <row r="47" spans="1:13" x14ac:dyDescent="0.2">
      <c r="A47" s="58"/>
      <c r="B47" s="58"/>
      <c r="C47" s="58"/>
      <c r="D47" s="58"/>
      <c r="E47" s="58"/>
      <c r="F47" s="58"/>
      <c r="G47" s="58"/>
    </row>
    <row r="48" spans="1:13" x14ac:dyDescent="0.2">
      <c r="A48" s="58"/>
      <c r="B48" s="58"/>
      <c r="C48" s="58"/>
      <c r="D48" s="58"/>
      <c r="E48" s="58"/>
      <c r="F48" s="58"/>
      <c r="G48" s="58"/>
    </row>
    <row r="55" spans="10:12" x14ac:dyDescent="0.2">
      <c r="J55"/>
      <c r="K55"/>
      <c r="L55"/>
    </row>
    <row r="56" spans="10:12" x14ac:dyDescent="0.2">
      <c r="J56"/>
      <c r="K56"/>
      <c r="L56"/>
    </row>
    <row r="57" spans="10:12" x14ac:dyDescent="0.2">
      <c r="J57"/>
      <c r="K57"/>
      <c r="L57"/>
    </row>
    <row r="58" spans="10:12" x14ac:dyDescent="0.2">
      <c r="J58"/>
      <c r="K58"/>
      <c r="L58"/>
    </row>
    <row r="59" spans="10:12" x14ac:dyDescent="0.2">
      <c r="J59"/>
      <c r="K59"/>
      <c r="L59"/>
    </row>
  </sheetData>
  <mergeCells count="1">
    <mergeCell ref="C1:M1"/>
  </mergeCells>
  <printOptions horizontalCentered="1"/>
  <pageMargins left="0.5" right="0.5" top="0.5" bottom="0.5" header="0" footer="0"/>
  <pageSetup scale="7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AV190"/>
  <sheetViews>
    <sheetView showGridLines="0" tabSelected="1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A4" sqref="A4"/>
    </sheetView>
  </sheetViews>
  <sheetFormatPr defaultColWidth="8.85546875" defaultRowHeight="12.75" x14ac:dyDescent="0.2"/>
  <cols>
    <col min="1" max="2" width="8.85546875" style="133"/>
    <col min="3" max="3" width="11.140625" style="133" customWidth="1"/>
    <col min="4" max="4" width="16.28515625" style="133" customWidth="1"/>
    <col min="5" max="8" width="10.85546875" style="133" customWidth="1"/>
    <col min="9" max="9" width="11.140625" style="133" customWidth="1"/>
    <col min="10" max="10" width="11.85546875" style="133" customWidth="1"/>
    <col min="11" max="11" width="9.85546875" style="133" bestFit="1" customWidth="1"/>
    <col min="12" max="12" width="10.5703125" style="133" customWidth="1"/>
    <col min="13" max="14" width="10.5703125" style="133" bestFit="1" customWidth="1"/>
    <col min="15" max="15" width="8.85546875" style="133" customWidth="1"/>
    <col min="16" max="16" width="10.5703125" style="133" bestFit="1" customWidth="1"/>
    <col min="17" max="17" width="9.5703125" style="133" customWidth="1"/>
    <col min="18" max="18" width="8.85546875" style="133" customWidth="1"/>
    <col min="19" max="19" width="10.85546875" style="133" customWidth="1"/>
    <col min="20" max="20" width="11.140625" style="133" customWidth="1"/>
    <col min="21" max="21" width="9.28515625" style="133" customWidth="1"/>
    <col min="22" max="22" width="10.7109375" style="133" customWidth="1"/>
    <col min="23" max="23" width="10.5703125" style="133" customWidth="1"/>
    <col min="24" max="24" width="11" style="133" customWidth="1"/>
    <col min="25" max="25" width="9.140625"/>
    <col min="26" max="26" width="13" style="133" customWidth="1"/>
    <col min="27" max="28" width="8.85546875" style="133"/>
    <col min="29" max="29" width="12.140625" style="133" bestFit="1" customWidth="1"/>
    <col min="30" max="39" width="8.85546875" style="133"/>
    <col min="40" max="40" width="15.85546875" style="133" customWidth="1"/>
    <col min="41" max="43" width="8.85546875" style="133"/>
    <col min="44" max="48" width="8.85546875" style="58"/>
    <col min="49" max="16384" width="8.85546875" style="133"/>
  </cols>
  <sheetData>
    <row r="1" spans="1:48" x14ac:dyDescent="0.2">
      <c r="P1" s="83"/>
      <c r="Q1" s="83"/>
      <c r="Z1" s="146" t="s">
        <v>50</v>
      </c>
      <c r="AA1" s="154"/>
      <c r="AB1" s="154"/>
      <c r="AC1" s="11"/>
      <c r="AD1" s="11"/>
    </row>
    <row r="2" spans="1:48" x14ac:dyDescent="0.2">
      <c r="Z2" s="16"/>
      <c r="AA2" s="162"/>
      <c r="AB2" s="72" t="s">
        <v>66</v>
      </c>
      <c r="AC2" s="72" t="s">
        <v>51</v>
      </c>
      <c r="AD2" s="90" t="s">
        <v>0</v>
      </c>
      <c r="AE2" s="138" t="s">
        <v>28</v>
      </c>
      <c r="AJ2" s="133">
        <v>74.968000000000004</v>
      </c>
    </row>
    <row r="3" spans="1:48" x14ac:dyDescent="0.2">
      <c r="P3" s="94"/>
      <c r="Q3" s="94"/>
      <c r="Z3" s="19" t="s">
        <v>82</v>
      </c>
      <c r="AA3" s="147"/>
      <c r="AB3" s="101">
        <v>140</v>
      </c>
      <c r="AC3" s="106"/>
      <c r="AD3" s="89"/>
      <c r="AE3" s="155"/>
      <c r="AJ3" s="133">
        <v>13.5512</v>
      </c>
    </row>
    <row r="4" spans="1:48" x14ac:dyDescent="0.2">
      <c r="Z4" s="19" t="s">
        <v>22</v>
      </c>
      <c r="AA4" s="147"/>
      <c r="AB4" s="101">
        <v>485</v>
      </c>
      <c r="AC4" s="106"/>
      <c r="AD4" s="89"/>
      <c r="AE4" s="155"/>
      <c r="AJ4" s="133">
        <v>216.39400000000001</v>
      </c>
      <c r="AN4" s="170" t="s">
        <v>30</v>
      </c>
      <c r="AO4" s="171"/>
      <c r="AP4" s="172"/>
      <c r="AR4" s="169"/>
      <c r="AS4" s="169"/>
      <c r="AT4" s="169"/>
    </row>
    <row r="5" spans="1:48" ht="15.75" x14ac:dyDescent="0.25">
      <c r="A5" s="164" t="s">
        <v>11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54"/>
      <c r="R5" s="62"/>
      <c r="S5" s="62"/>
      <c r="T5" s="62"/>
      <c r="U5" s="62"/>
      <c r="V5" s="62"/>
      <c r="W5" s="62"/>
      <c r="X5" s="62"/>
      <c r="Z5" s="19" t="s">
        <v>31</v>
      </c>
      <c r="AA5" s="147"/>
      <c r="AB5" s="106"/>
      <c r="AC5" s="104">
        <v>0</v>
      </c>
      <c r="AD5" s="104">
        <v>0</v>
      </c>
      <c r="AE5" s="75">
        <v>30</v>
      </c>
      <c r="AJ5" s="133">
        <v>17.229800000000001</v>
      </c>
      <c r="AN5" s="119" t="s">
        <v>44</v>
      </c>
      <c r="AO5" s="119" t="s">
        <v>33</v>
      </c>
      <c r="AP5" s="119" t="s">
        <v>55</v>
      </c>
      <c r="AR5" s="142"/>
      <c r="AS5" s="142"/>
      <c r="AT5" s="142"/>
    </row>
    <row r="6" spans="1:48" x14ac:dyDescent="0.2">
      <c r="A6" s="51"/>
      <c r="B6" s="62"/>
      <c r="C6" s="62"/>
      <c r="D6" s="51"/>
      <c r="E6" s="51"/>
      <c r="F6" s="51"/>
      <c r="G6" s="51"/>
      <c r="H6" s="51"/>
      <c r="I6" s="51"/>
      <c r="J6" s="51"/>
      <c r="K6" s="62"/>
      <c r="L6" s="62"/>
      <c r="M6" s="62"/>
      <c r="N6" s="51"/>
      <c r="O6" s="62"/>
      <c r="P6" s="62"/>
      <c r="Q6" s="62"/>
      <c r="R6" s="62"/>
      <c r="S6" s="62"/>
      <c r="T6" s="62"/>
      <c r="U6" s="62"/>
      <c r="V6" s="62"/>
      <c r="W6" s="62"/>
      <c r="X6" s="62"/>
      <c r="Z6" s="19" t="s">
        <v>29</v>
      </c>
      <c r="AA6" s="147"/>
      <c r="AB6" s="106"/>
      <c r="AC6" s="95">
        <v>70</v>
      </c>
      <c r="AD6" s="101">
        <v>24</v>
      </c>
      <c r="AE6" s="73">
        <v>35</v>
      </c>
      <c r="AN6" s="44" t="s">
        <v>46</v>
      </c>
      <c r="AO6" s="44" t="s">
        <v>25</v>
      </c>
      <c r="AP6" s="44" t="s">
        <v>25</v>
      </c>
      <c r="AR6" s="142"/>
      <c r="AS6" s="142"/>
      <c r="AT6" s="142"/>
    </row>
    <row r="7" spans="1:48" ht="12.4" customHeight="1" x14ac:dyDescent="0.2">
      <c r="A7" s="77" t="s">
        <v>92</v>
      </c>
      <c r="B7" s="51"/>
      <c r="C7" s="51"/>
      <c r="D7" s="62"/>
      <c r="E7" s="62"/>
      <c r="F7" s="62"/>
      <c r="G7" s="62"/>
      <c r="H7" s="62"/>
      <c r="I7" s="62"/>
      <c r="J7" s="62"/>
      <c r="K7" s="51"/>
      <c r="L7" s="133" t="s">
        <v>40</v>
      </c>
      <c r="P7" s="37" t="s">
        <v>91</v>
      </c>
      <c r="Q7" s="37"/>
      <c r="R7" s="62"/>
      <c r="S7" s="62"/>
      <c r="T7" s="62"/>
      <c r="U7" s="62"/>
      <c r="V7" s="62"/>
      <c r="W7" s="62"/>
      <c r="X7" s="62"/>
      <c r="Z7" s="14" t="s">
        <v>24</v>
      </c>
      <c r="AA7" s="130"/>
      <c r="AB7" s="86"/>
      <c r="AC7" s="95">
        <v>0</v>
      </c>
      <c r="AD7" s="134"/>
      <c r="AE7" s="73">
        <v>30</v>
      </c>
      <c r="AN7" s="124" t="s">
        <v>81</v>
      </c>
      <c r="AO7" s="82">
        <v>1</v>
      </c>
      <c r="AP7" s="82">
        <f t="shared" ref="AP7:AP27" si="0">AO7-AO8</f>
        <v>7.9774574741239057E-2</v>
      </c>
      <c r="AR7" s="52" t="s">
        <v>81</v>
      </c>
      <c r="AS7" s="13"/>
      <c r="AT7" s="13"/>
      <c r="AU7" s="93"/>
      <c r="AV7" s="93"/>
    </row>
    <row r="8" spans="1:48" ht="12.4" customHeight="1" x14ac:dyDescent="0.2">
      <c r="A8" s="173" t="s">
        <v>96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133" t="s">
        <v>93</v>
      </c>
      <c r="P8" s="9">
        <v>5965</v>
      </c>
      <c r="Q8" s="81"/>
      <c r="R8" s="62"/>
      <c r="S8" s="62"/>
      <c r="T8" s="62"/>
      <c r="U8" s="62"/>
      <c r="V8" s="62"/>
      <c r="W8" s="62"/>
      <c r="X8" s="62"/>
      <c r="Z8" s="123" t="s">
        <v>80</v>
      </c>
      <c r="AA8" s="47"/>
      <c r="AB8" s="3"/>
      <c r="AC8" s="109">
        <v>50</v>
      </c>
      <c r="AD8" s="149"/>
      <c r="AE8" s="125">
        <v>25</v>
      </c>
      <c r="AN8" s="160">
        <f>E135</f>
        <v>1.9938254227091128E-3</v>
      </c>
      <c r="AO8" s="82">
        <f>B135</f>
        <v>0.92022542525876094</v>
      </c>
      <c r="AP8" s="82">
        <f t="shared" si="0"/>
        <v>2.3792107008656638E-3</v>
      </c>
      <c r="AR8" s="76">
        <v>1.8387307309880479E-3</v>
      </c>
      <c r="AS8" s="13"/>
      <c r="AT8" s="13"/>
      <c r="AU8" s="96"/>
      <c r="AV8" s="161"/>
    </row>
    <row r="9" spans="1:48" ht="12.4" customHeight="1" x14ac:dyDescent="0.2">
      <c r="A9" s="59" t="s">
        <v>94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4" t="s">
        <v>74</v>
      </c>
      <c r="N9" s="51"/>
      <c r="O9" s="51"/>
      <c r="P9" s="163">
        <f>MAX(V18:V136)</f>
        <v>0.42251476461127702</v>
      </c>
      <c r="Q9" s="55"/>
      <c r="R9" s="62"/>
      <c r="S9" s="62"/>
      <c r="T9" s="62"/>
      <c r="U9" s="62"/>
      <c r="V9" s="62"/>
      <c r="W9" s="62"/>
      <c r="X9" s="62"/>
      <c r="Z9" s="31" t="s">
        <v>10</v>
      </c>
      <c r="AA9" s="130"/>
      <c r="AB9" s="130"/>
      <c r="AC9" s="102">
        <f>ABS($AC$6*COS($AC$5*PI()/180))</f>
        <v>70</v>
      </c>
      <c r="AD9" s="102">
        <f>ABS($AD$6*COS($AD$5*PI()/180))</f>
        <v>24</v>
      </c>
      <c r="AE9" s="158">
        <f>ABS($AE$6*COS($AE$5*PI()/180))</f>
        <v>30.310889132455355</v>
      </c>
      <c r="AN9" s="160">
        <f>E133</f>
        <v>2.3851537416477056E-3</v>
      </c>
      <c r="AO9" s="82">
        <f>B133</f>
        <v>0.91784621455789528</v>
      </c>
      <c r="AP9" s="82">
        <f t="shared" si="0"/>
        <v>1.6774827758415212E-2</v>
      </c>
      <c r="AR9" s="76">
        <v>2.3796891258599209E-3</v>
      </c>
      <c r="AS9" s="13"/>
      <c r="AT9" s="13"/>
      <c r="AU9" s="96"/>
      <c r="AV9" s="161"/>
    </row>
    <row r="10" spans="1:48" ht="12.4" customHeight="1" x14ac:dyDescent="0.2">
      <c r="A10" s="67" t="s">
        <v>95</v>
      </c>
      <c r="B10" s="51"/>
      <c r="C10" s="51"/>
      <c r="D10" s="62"/>
      <c r="E10" s="62"/>
      <c r="F10" s="62"/>
      <c r="G10" s="62"/>
      <c r="H10" s="62"/>
      <c r="I10" s="62"/>
      <c r="J10" s="62"/>
      <c r="K10" s="51"/>
      <c r="L10" s="54" t="s">
        <v>52</v>
      </c>
      <c r="N10" s="51"/>
      <c r="O10" s="51"/>
      <c r="P10" s="66">
        <f>'Raw Data'!M10</f>
        <v>0.16166380104274999</v>
      </c>
      <c r="Q10" s="66"/>
      <c r="R10" s="62"/>
      <c r="S10" s="62"/>
      <c r="T10" s="62"/>
      <c r="U10" s="62"/>
      <c r="V10" s="62"/>
      <c r="W10" s="62"/>
      <c r="X10" s="62"/>
      <c r="Z10" s="139" t="s">
        <v>60</v>
      </c>
      <c r="AA10" s="47"/>
      <c r="AB10" s="47"/>
      <c r="AC10" s="113">
        <f>ABS($AC$8*COS($AC$7*PI()/180))</f>
        <v>50</v>
      </c>
      <c r="AD10" s="3"/>
      <c r="AE10" s="108">
        <f>ABS($AE$8*COS($AE$7*PI()/180))</f>
        <v>21.650635094610969</v>
      </c>
      <c r="AN10" s="160">
        <f>E125</f>
        <v>4.8992026143405117E-3</v>
      </c>
      <c r="AO10" s="82">
        <f>$B125</f>
        <v>0.90107138679948007</v>
      </c>
      <c r="AP10" s="82">
        <f t="shared" si="0"/>
        <v>2.2816068974658377E-2</v>
      </c>
      <c r="AR10" s="76">
        <v>4.918869133300207E-3</v>
      </c>
      <c r="AS10" s="13"/>
      <c r="AT10" s="13"/>
      <c r="AU10" s="96"/>
      <c r="AV10" s="161"/>
    </row>
    <row r="11" spans="1:48" ht="12.4" customHeight="1" x14ac:dyDescent="0.2">
      <c r="A11" s="174" t="s">
        <v>97</v>
      </c>
      <c r="B11" s="51"/>
      <c r="C11" s="51"/>
      <c r="D11" s="62"/>
      <c r="E11" s="62"/>
      <c r="F11" s="62"/>
      <c r="G11" s="62"/>
      <c r="H11" s="62"/>
      <c r="I11" s="62"/>
      <c r="J11" s="62"/>
      <c r="K11" s="51"/>
      <c r="L11" s="133" t="s">
        <v>23</v>
      </c>
      <c r="P11" s="99">
        <f>'Raw Data'!M11</f>
        <v>2.6549504722755719</v>
      </c>
      <c r="Q11" s="99"/>
      <c r="R11" s="62"/>
      <c r="V11" s="62"/>
      <c r="W11" s="62"/>
      <c r="X11" s="62"/>
      <c r="Z11" s="51"/>
      <c r="AA11" s="64" t="s">
        <v>47</v>
      </c>
      <c r="AB11" s="74"/>
      <c r="AC11" s="74"/>
      <c r="AD11" s="15"/>
      <c r="AN11" s="160">
        <f>E120</f>
        <v>7.6415373880217938E-3</v>
      </c>
      <c r="AO11" s="82">
        <f>$B120</f>
        <v>0.87825531782482169</v>
      </c>
      <c r="AP11" s="82">
        <f t="shared" si="0"/>
        <v>1.7633155983091786E-2</v>
      </c>
      <c r="AR11" s="76">
        <v>7.6659819593601552E-3</v>
      </c>
      <c r="AS11" s="13"/>
      <c r="AT11" s="13"/>
      <c r="AU11" s="96"/>
      <c r="AV11" s="161"/>
    </row>
    <row r="12" spans="1:48" ht="12.4" customHeight="1" x14ac:dyDescent="0.2">
      <c r="B12" s="51"/>
      <c r="C12" s="51"/>
      <c r="D12" s="56"/>
      <c r="E12" s="51"/>
      <c r="F12" s="51"/>
      <c r="G12" s="51"/>
      <c r="H12" s="51"/>
      <c r="I12" s="51"/>
      <c r="J12" s="51"/>
      <c r="K12" s="51"/>
      <c r="L12" s="51"/>
      <c r="M12" s="54"/>
      <c r="N12" s="51"/>
      <c r="O12" s="51"/>
      <c r="P12" s="141"/>
      <c r="Q12" s="141"/>
      <c r="R12" s="62"/>
      <c r="S12" s="62"/>
      <c r="T12" s="62"/>
      <c r="U12" s="62"/>
      <c r="V12" s="62"/>
      <c r="W12" s="62"/>
      <c r="X12" s="62"/>
      <c r="Z12" s="51"/>
      <c r="AA12" s="32" t="s">
        <v>71</v>
      </c>
      <c r="AB12" s="162"/>
      <c r="AC12" s="50">
        <v>0.433</v>
      </c>
      <c r="AD12" s="62"/>
      <c r="AN12" s="82">
        <f>E117</f>
        <v>1.002550962969395E-2</v>
      </c>
      <c r="AO12" s="82">
        <f>$B117</f>
        <v>0.8606221618417299</v>
      </c>
      <c r="AP12" s="82">
        <f t="shared" si="0"/>
        <v>8.479231306255075E-2</v>
      </c>
      <c r="AR12" s="13">
        <v>1.0017670706649362E-2</v>
      </c>
      <c r="AS12" s="13"/>
      <c r="AT12" s="13"/>
      <c r="AU12" s="96"/>
      <c r="AV12" s="161"/>
    </row>
    <row r="13" spans="1:48" ht="12.4" customHeight="1" x14ac:dyDescent="0.2">
      <c r="Z13" s="51"/>
      <c r="AA13" s="14" t="s">
        <v>14</v>
      </c>
      <c r="AB13" s="130"/>
      <c r="AC13" s="48">
        <v>0.34599999999999997</v>
      </c>
      <c r="AD13" s="51"/>
      <c r="AN13" s="82">
        <f>E107</f>
        <v>2.4627592938941307E-2</v>
      </c>
      <c r="AO13" s="82">
        <f>$B107</f>
        <v>0.77582984877917915</v>
      </c>
      <c r="AP13" s="82">
        <f t="shared" si="0"/>
        <v>0.10283112895387392</v>
      </c>
      <c r="AR13" s="13">
        <v>2.4302503920103202E-2</v>
      </c>
      <c r="AS13" s="13"/>
      <c r="AT13" s="13"/>
      <c r="AU13" s="96"/>
      <c r="AV13" s="161"/>
    </row>
    <row r="14" spans="1:48" ht="12.4" customHeight="1" x14ac:dyDescent="0.2">
      <c r="A14" s="114" t="s">
        <v>84</v>
      </c>
      <c r="B14" s="114" t="s">
        <v>62</v>
      </c>
      <c r="C14" s="114" t="s">
        <v>45</v>
      </c>
      <c r="D14" s="118" t="s">
        <v>90</v>
      </c>
      <c r="E14" s="114" t="s">
        <v>88</v>
      </c>
      <c r="F14" s="114" t="s">
        <v>88</v>
      </c>
      <c r="G14" s="114" t="s">
        <v>13</v>
      </c>
      <c r="H14" s="114" t="s">
        <v>16</v>
      </c>
      <c r="I14" s="114" t="s">
        <v>67</v>
      </c>
      <c r="J14" s="114" t="s">
        <v>79</v>
      </c>
      <c r="K14" s="114"/>
      <c r="L14" s="6" t="s">
        <v>85</v>
      </c>
      <c r="M14" s="85"/>
      <c r="N14" s="46"/>
      <c r="O14" s="6" t="s">
        <v>17</v>
      </c>
      <c r="P14" s="46"/>
      <c r="Q14" s="46" t="s">
        <v>7</v>
      </c>
      <c r="R14" s="114" t="s">
        <v>62</v>
      </c>
      <c r="S14" s="114" t="s">
        <v>37</v>
      </c>
      <c r="T14" s="114" t="s">
        <v>58</v>
      </c>
      <c r="U14" s="114"/>
      <c r="V14" s="114" t="s">
        <v>27</v>
      </c>
      <c r="W14" s="114" t="s">
        <v>86</v>
      </c>
      <c r="X14" s="114" t="s">
        <v>86</v>
      </c>
      <c r="Z14" s="51"/>
      <c r="AA14" s="123" t="s">
        <v>12</v>
      </c>
      <c r="AB14" s="47"/>
      <c r="AC14" s="157">
        <v>0.1</v>
      </c>
      <c r="AD14" s="51"/>
      <c r="AN14" s="82">
        <f>E99</f>
        <v>5.060683850731422E-2</v>
      </c>
      <c r="AO14" s="82">
        <f>$B99</f>
        <v>0.67299871982530524</v>
      </c>
      <c r="AP14" s="82">
        <f t="shared" si="0"/>
        <v>6.5965634361675241E-2</v>
      </c>
      <c r="AR14" s="13">
        <v>4.9484801750667114E-2</v>
      </c>
      <c r="AS14" s="13"/>
      <c r="AT14" s="13"/>
      <c r="AU14" s="96"/>
      <c r="AV14" s="161"/>
    </row>
    <row r="15" spans="1:48" ht="12.4" customHeight="1" x14ac:dyDescent="0.2">
      <c r="A15" s="121" t="s">
        <v>77</v>
      </c>
      <c r="B15" s="121" t="s">
        <v>5</v>
      </c>
      <c r="C15" s="121" t="s">
        <v>5</v>
      </c>
      <c r="D15" s="128" t="s">
        <v>69</v>
      </c>
      <c r="E15" s="121" t="s">
        <v>78</v>
      </c>
      <c r="F15" s="121" t="s">
        <v>53</v>
      </c>
      <c r="G15" s="121" t="s">
        <v>32</v>
      </c>
      <c r="H15" s="121" t="s">
        <v>32</v>
      </c>
      <c r="I15" s="121" t="s">
        <v>75</v>
      </c>
      <c r="J15" s="121" t="s">
        <v>75</v>
      </c>
      <c r="K15" s="121" t="s">
        <v>87</v>
      </c>
      <c r="L15" s="114" t="s">
        <v>73</v>
      </c>
      <c r="M15" s="114" t="s">
        <v>4</v>
      </c>
      <c r="N15" s="114" t="s">
        <v>41</v>
      </c>
      <c r="O15" s="5" t="s">
        <v>1</v>
      </c>
      <c r="P15" s="45"/>
      <c r="Q15" s="45" t="s">
        <v>8</v>
      </c>
      <c r="R15" s="121" t="s">
        <v>33</v>
      </c>
      <c r="S15" s="121" t="s">
        <v>43</v>
      </c>
      <c r="T15" s="121" t="s">
        <v>86</v>
      </c>
      <c r="U15" s="121" t="s">
        <v>27</v>
      </c>
      <c r="V15" s="121" t="s">
        <v>86</v>
      </c>
      <c r="W15" s="121" t="s">
        <v>42</v>
      </c>
      <c r="X15" s="121" t="s">
        <v>42</v>
      </c>
      <c r="Z15" s="62"/>
      <c r="AN15" s="82">
        <f>E95</f>
        <v>7.2416079700945574E-2</v>
      </c>
      <c r="AO15" s="82">
        <f>$B95</f>
        <v>0.60703308546363</v>
      </c>
      <c r="AP15" s="82">
        <f t="shared" si="0"/>
        <v>7.2817440239228759E-2</v>
      </c>
      <c r="AR15" s="13">
        <v>7.1632047862346573E-2</v>
      </c>
      <c r="AS15" s="13"/>
      <c r="AT15" s="13"/>
      <c r="AU15" s="96"/>
      <c r="AV15" s="161"/>
    </row>
    <row r="16" spans="1:48" ht="12.4" customHeight="1" x14ac:dyDescent="0.2">
      <c r="A16" s="39" t="s">
        <v>48</v>
      </c>
      <c r="B16" s="39" t="s">
        <v>25</v>
      </c>
      <c r="C16" s="39" t="s">
        <v>25</v>
      </c>
      <c r="D16" s="43" t="s">
        <v>25</v>
      </c>
      <c r="E16" s="39" t="s">
        <v>54</v>
      </c>
      <c r="F16" s="39" t="s">
        <v>63</v>
      </c>
      <c r="G16" s="39" t="s">
        <v>59</v>
      </c>
      <c r="H16" s="39" t="s">
        <v>59</v>
      </c>
      <c r="I16" s="39" t="s">
        <v>54</v>
      </c>
      <c r="J16" s="39" t="s">
        <v>54</v>
      </c>
      <c r="K16" s="39" t="s">
        <v>68</v>
      </c>
      <c r="L16" s="39" t="s">
        <v>48</v>
      </c>
      <c r="M16" s="39" t="s">
        <v>48</v>
      </c>
      <c r="N16" s="39" t="s">
        <v>48</v>
      </c>
      <c r="O16" s="69" t="s">
        <v>65</v>
      </c>
      <c r="P16" s="69" t="s">
        <v>34</v>
      </c>
      <c r="Q16" s="39" t="s">
        <v>70</v>
      </c>
      <c r="R16" s="39" t="s">
        <v>21</v>
      </c>
      <c r="S16" s="39" t="s">
        <v>20</v>
      </c>
      <c r="T16" s="39"/>
      <c r="U16" s="39"/>
      <c r="V16" s="117"/>
      <c r="W16" s="43" t="s">
        <v>6</v>
      </c>
      <c r="X16" s="43" t="s">
        <v>89</v>
      </c>
      <c r="Z16" s="54" t="s">
        <v>72</v>
      </c>
      <c r="AA16" s="62"/>
      <c r="AB16" s="62"/>
      <c r="AC16" s="17">
        <f>ABS(Table!$AB$4*COS(Table!$AB$3*PI()/180))</f>
        <v>371.53155491270428</v>
      </c>
      <c r="AN16" s="82">
        <f>E91</f>
        <v>0.10417010493867447</v>
      </c>
      <c r="AO16" s="82">
        <f>$B91</f>
        <v>0.53421564522440124</v>
      </c>
      <c r="AP16" s="82">
        <f t="shared" si="0"/>
        <v>0.17907135711687755</v>
      </c>
      <c r="AR16" s="13">
        <v>9.9921582517046942E-2</v>
      </c>
      <c r="AS16" s="13"/>
      <c r="AT16" s="13"/>
      <c r="AU16" s="96"/>
      <c r="AV16" s="161"/>
    </row>
    <row r="17" spans="1:48" ht="12.4" customHeight="1" x14ac:dyDescent="0.2">
      <c r="A17" s="97"/>
      <c r="B17" s="107"/>
      <c r="C17" s="62"/>
      <c r="D17" s="65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51"/>
      <c r="S17" s="51"/>
      <c r="T17" s="51"/>
      <c r="U17" s="51"/>
      <c r="V17" s="51"/>
      <c r="W17" s="51"/>
      <c r="X17" s="51"/>
      <c r="AC17" s="68">
        <f ca="1">FORECAST(200,OFFSET(L$17,MATCH(200,L$18:L136, 1),-9,2,1),OFFSET(L$17,MATCH(200,L$18:L136, 1),0,2,1))</f>
        <v>0.46337376790427987</v>
      </c>
      <c r="AD17" s="133">
        <f ca="1">LOOKUP('Raw Data'!K34,Table!A18:A136,OFFSET(Table!S18:S136,-1,0))</f>
        <v>0</v>
      </c>
      <c r="AE17" s="133">
        <f ca="1">LOOKUP(AD17,S18:S136,E18:E136)</f>
        <v>4.1083857032854265</v>
      </c>
      <c r="AN17" s="82">
        <f>E81</f>
        <v>0.25482509367765094</v>
      </c>
      <c r="AO17" s="82">
        <f>$B81</f>
        <v>0.35514428810752369</v>
      </c>
      <c r="AP17" s="82">
        <f t="shared" si="0"/>
        <v>0.14987229202248531</v>
      </c>
      <c r="AR17" s="13">
        <v>0.25452110435346964</v>
      </c>
      <c r="AS17" s="13"/>
      <c r="AT17" s="13"/>
      <c r="AU17" s="96"/>
      <c r="AV17" s="161"/>
    </row>
    <row r="18" spans="1:48" ht="12.4" customHeight="1" x14ac:dyDescent="0.2">
      <c r="A18" s="97">
        <f>'Raw Data'!A18</f>
        <v>1.4877049922943115</v>
      </c>
      <c r="B18" s="107">
        <f>'Raw Data'!E18</f>
        <v>0</v>
      </c>
      <c r="C18" s="107">
        <f t="shared" ref="C18:C136" si="1">1-B18</f>
        <v>1</v>
      </c>
      <c r="D18" s="87">
        <f t="shared" ref="D18:D136" si="2">B18-B17</f>
        <v>0</v>
      </c>
      <c r="E18" s="80">
        <f>(2*Table!$AC$16*0.147)/A18</f>
        <v>73.42200080668016</v>
      </c>
      <c r="F18" s="80">
        <f t="shared" ref="F18:F136" si="3">E18*2</f>
        <v>146.84400161336032</v>
      </c>
      <c r="G18" s="97">
        <f>IF((('Raw Data'!C18)/('Raw Data'!C$136)*100)&lt;0,0,('Raw Data'!C18)/('Raw Data'!C$136)*100)</f>
        <v>0</v>
      </c>
      <c r="H18" s="97">
        <f t="shared" ref="H18:H136" si="4">G18-G17</f>
        <v>0</v>
      </c>
      <c r="I18" s="23">
        <f t="shared" ref="I18:I136" si="5">IF(E17&gt;0,LOG(E17)-LOG(E18), LOG(E18))</f>
        <v>1.8658262151919507</v>
      </c>
      <c r="J18" s="80">
        <f>'Raw Data'!F18/I18</f>
        <v>0</v>
      </c>
      <c r="K18" s="110">
        <f t="shared" ref="K18:K136" si="6">(0.217*A18*(SQRT(P$9/P$10)))/($AB$4*-COS(RADIANS($AB$3)))</f>
        <v>1.404738227363081E-3</v>
      </c>
      <c r="L18" s="97">
        <f>A18*Table!$AC$9/$AC$16</f>
        <v>0.28029745544781676</v>
      </c>
      <c r="M18" s="97">
        <f>A18*Table!$AD$9/$AC$16</f>
        <v>9.6101984724965742E-2</v>
      </c>
      <c r="N18" s="97">
        <f>ABS(A18*Table!$AE$9/$AC$16)</f>
        <v>0.1213723585169731</v>
      </c>
      <c r="O18" s="97">
        <f>($L18*(Table!$AC$10/Table!$AC$9)/(Table!$AC$12-Table!$AC$14))</f>
        <v>0.60123864317421016</v>
      </c>
      <c r="P18" s="97">
        <f>$N18*(Table!$AE$10/Table!$AE$9)/(Table!$AC$12-Table!$AC$13)</f>
        <v>0.99648898618204496</v>
      </c>
      <c r="Q18" s="97">
        <f>'Raw Data'!C18</f>
        <v>0</v>
      </c>
      <c r="R18" s="97">
        <f>'Raw Data'!C18/'Raw Data'!I$30*100</f>
        <v>0</v>
      </c>
      <c r="S18" s="38">
        <f t="shared" ref="S18:S136" si="7">D18/MAX($D$18:$D$136)</f>
        <v>0</v>
      </c>
      <c r="T18" s="38">
        <f t="shared" ref="T18:T136" si="8">1-(X18/$X$136)</f>
        <v>1</v>
      </c>
      <c r="U18" s="10">
        <f t="shared" ref="U18:U136" si="9">R18/A18</f>
        <v>0</v>
      </c>
      <c r="V18" s="10">
        <f t="shared" ref="V18:V136" si="10">(U18^1.691)*399</f>
        <v>0</v>
      </c>
      <c r="W18" s="10">
        <f t="shared" ref="W18:W136" si="11">((E18*E18)/8)*S18</f>
        <v>0</v>
      </c>
      <c r="X18" s="148">
        <f t="shared" ref="X18:X136" si="12">W18+X17</f>
        <v>0</v>
      </c>
      <c r="Z18" s="70"/>
      <c r="AA18" s="62"/>
      <c r="AB18" s="62"/>
      <c r="AC18" s="79"/>
      <c r="AN18" s="82">
        <f>E73</f>
        <v>0.525431300321757</v>
      </c>
      <c r="AO18" s="82">
        <f>$B73</f>
        <v>0.20527199608503838</v>
      </c>
      <c r="AP18" s="82">
        <f t="shared" si="0"/>
        <v>0.11278565496373411</v>
      </c>
      <c r="AR18" s="13">
        <v>0.47874420207019219</v>
      </c>
      <c r="AS18" s="13"/>
      <c r="AT18" s="13"/>
      <c r="AU18" s="96"/>
      <c r="AV18" s="161"/>
    </row>
    <row r="19" spans="1:48" ht="12.4" customHeight="1" x14ac:dyDescent="0.2">
      <c r="A19" s="97">
        <f>'Raw Data'!A19</f>
        <v>1.5774790048599243</v>
      </c>
      <c r="B19" s="107">
        <f>'Raw Data'!E19</f>
        <v>0</v>
      </c>
      <c r="C19" s="107">
        <f t="shared" si="1"/>
        <v>1</v>
      </c>
      <c r="D19" s="87">
        <f t="shared" si="2"/>
        <v>0</v>
      </c>
      <c r="E19" s="80">
        <f>(2*Table!$AC$16*0.147)/A19</f>
        <v>69.24356952315469</v>
      </c>
      <c r="F19" s="80">
        <f t="shared" si="3"/>
        <v>138.48713904630938</v>
      </c>
      <c r="G19" s="97">
        <f>IF((('Raw Data'!C19)/('Raw Data'!C$136)*100)&lt;0,0,('Raw Data'!C19)/('Raw Data'!C$136)*100)</f>
        <v>0</v>
      </c>
      <c r="H19" s="97">
        <f t="shared" si="4"/>
        <v>0</v>
      </c>
      <c r="I19" s="23">
        <f t="shared" si="5"/>
        <v>2.5446767423441319E-2</v>
      </c>
      <c r="J19" s="80">
        <f>'Raw Data'!F19/I19</f>
        <v>0</v>
      </c>
      <c r="K19" s="110">
        <f t="shared" si="6"/>
        <v>1.489505696671769E-3</v>
      </c>
      <c r="L19" s="97">
        <f>A19*Table!$AC$9/$AC$16</f>
        <v>0.29721171426782311</v>
      </c>
      <c r="M19" s="97">
        <f>A19*Table!$AD$9/$AC$16</f>
        <v>0.10190115917753936</v>
      </c>
      <c r="N19" s="97">
        <f>ABS(A19*Table!$AE$9/$AC$16)</f>
        <v>0.12869644742912836</v>
      </c>
      <c r="O19" s="97">
        <f>($L19*(Table!$AC$10/Table!$AC$9)/(Table!$AC$12-Table!$AC$14))</f>
        <v>0.63751976462424531</v>
      </c>
      <c r="P19" s="97">
        <f>$N19*(Table!$AE$10/Table!$AE$9)/(Table!$AC$12-Table!$AC$13)</f>
        <v>1.0566210790568829</v>
      </c>
      <c r="Q19" s="97">
        <f>'Raw Data'!C19</f>
        <v>0</v>
      </c>
      <c r="R19" s="97">
        <f>'Raw Data'!C19/'Raw Data'!I$30*100</f>
        <v>0</v>
      </c>
      <c r="S19" s="38">
        <f t="shared" si="7"/>
        <v>0</v>
      </c>
      <c r="T19" s="38">
        <f t="shared" si="8"/>
        <v>1</v>
      </c>
      <c r="U19" s="10">
        <f t="shared" si="9"/>
        <v>0</v>
      </c>
      <c r="V19" s="10">
        <f t="shared" si="10"/>
        <v>0</v>
      </c>
      <c r="W19" s="10">
        <f t="shared" si="11"/>
        <v>0</v>
      </c>
      <c r="X19" s="148">
        <f t="shared" si="12"/>
        <v>0</v>
      </c>
      <c r="AN19" s="82">
        <f>E68</f>
        <v>0.82322247611942856</v>
      </c>
      <c r="AO19" s="82">
        <f>$B68</f>
        <v>9.2486341121304272E-2</v>
      </c>
      <c r="AP19" s="82">
        <f t="shared" si="0"/>
        <v>6.5876012784218091E-2</v>
      </c>
      <c r="AR19" s="13">
        <v>0.74938444802644799</v>
      </c>
      <c r="AS19" s="13"/>
      <c r="AT19" s="13"/>
      <c r="AU19" s="96"/>
      <c r="AV19" s="161"/>
    </row>
    <row r="20" spans="1:48" ht="12.4" customHeight="1" x14ac:dyDescent="0.2">
      <c r="A20" s="97">
        <f>'Raw Data'!A20</f>
        <v>1.7830077409744263</v>
      </c>
      <c r="B20" s="107">
        <f>'Raw Data'!E20</f>
        <v>0</v>
      </c>
      <c r="C20" s="107">
        <f t="shared" si="1"/>
        <v>1</v>
      </c>
      <c r="D20" s="87">
        <f t="shared" si="2"/>
        <v>0</v>
      </c>
      <c r="E20" s="80">
        <f>(2*Table!$AC$16*0.147)/A20</f>
        <v>61.261807581743831</v>
      </c>
      <c r="F20" s="80">
        <f t="shared" si="3"/>
        <v>122.52361516348766</v>
      </c>
      <c r="G20" s="97">
        <f>IF((('Raw Data'!C20)/('Raw Data'!C$136)*100)&lt;0,0,('Raw Data'!C20)/('Raw Data'!C$136)*100)</f>
        <v>0</v>
      </c>
      <c r="H20" s="97">
        <f t="shared" si="4"/>
        <v>0</v>
      </c>
      <c r="I20" s="23">
        <f t="shared" si="5"/>
        <v>5.3189640880791922E-2</v>
      </c>
      <c r="J20" s="80">
        <f>'Raw Data'!F20/I20</f>
        <v>0</v>
      </c>
      <c r="K20" s="110">
        <f t="shared" si="6"/>
        <v>1.6835724464219399E-3</v>
      </c>
      <c r="L20" s="97">
        <f>A20*Table!$AC$9/$AC$16</f>
        <v>0.33593523946447978</v>
      </c>
      <c r="M20" s="97">
        <f>A20*Table!$AD$9/$AC$16</f>
        <v>0.11517779638782165</v>
      </c>
      <c r="N20" s="97">
        <f>ABS(A20*Table!$AE$9/$AC$16)</f>
        <v>0.14546422570132411</v>
      </c>
      <c r="O20" s="97">
        <f>($L20*(Table!$AC$10/Table!$AC$9)/(Table!$AC$12-Table!$AC$14))</f>
        <v>0.72058180923311843</v>
      </c>
      <c r="P20" s="97">
        <f>$N20*(Table!$AE$10/Table!$AE$9)/(Table!$AC$12-Table!$AC$13)</f>
        <v>1.194287567334352</v>
      </c>
      <c r="Q20" s="97">
        <f>'Raw Data'!C20</f>
        <v>0</v>
      </c>
      <c r="R20" s="97">
        <f>'Raw Data'!C20/'Raw Data'!I$30*100</f>
        <v>0</v>
      </c>
      <c r="S20" s="38">
        <f t="shared" si="7"/>
        <v>0</v>
      </c>
      <c r="T20" s="38">
        <f t="shared" si="8"/>
        <v>1</v>
      </c>
      <c r="U20" s="10">
        <f t="shared" si="9"/>
        <v>0</v>
      </c>
      <c r="V20" s="10">
        <f t="shared" si="10"/>
        <v>0</v>
      </c>
      <c r="W20" s="10">
        <f t="shared" si="11"/>
        <v>0</v>
      </c>
      <c r="X20" s="148">
        <f t="shared" si="12"/>
        <v>0</v>
      </c>
      <c r="AN20" s="112">
        <f>E64</f>
        <v>1.1872438757903845</v>
      </c>
      <c r="AO20" s="82">
        <f>$B64</f>
        <v>2.6610328337086181E-2</v>
      </c>
      <c r="AP20" s="82">
        <f t="shared" si="0"/>
        <v>2.3535099097120996E-2</v>
      </c>
      <c r="AR20" s="36">
        <v>1.0742552826940897</v>
      </c>
      <c r="AS20" s="13"/>
      <c r="AT20" s="13"/>
      <c r="AU20" s="96"/>
      <c r="AV20" s="161"/>
    </row>
    <row r="21" spans="1:48" ht="12.4" customHeight="1" x14ac:dyDescent="0.2">
      <c r="A21" s="97">
        <f>'Raw Data'!A21</f>
        <v>1.9855785369873047</v>
      </c>
      <c r="B21" s="107">
        <f>'Raw Data'!E21</f>
        <v>0</v>
      </c>
      <c r="C21" s="107">
        <f t="shared" si="1"/>
        <v>1</v>
      </c>
      <c r="D21" s="87">
        <f t="shared" si="2"/>
        <v>0</v>
      </c>
      <c r="E21" s="80">
        <f>(2*Table!$AC$16*0.147)/A21</f>
        <v>55.011813992544901</v>
      </c>
      <c r="F21" s="80">
        <f t="shared" si="3"/>
        <v>110.0236279850898</v>
      </c>
      <c r="G21" s="97">
        <f>IF((('Raw Data'!C21)/('Raw Data'!C$136)*100)&lt;0,0,('Raw Data'!C21)/('Raw Data'!C$136)*100)</f>
        <v>0</v>
      </c>
      <c r="H21" s="97">
        <f t="shared" si="4"/>
        <v>0</v>
      </c>
      <c r="I21" s="23">
        <f t="shared" si="5"/>
        <v>4.6733841015146327E-2</v>
      </c>
      <c r="J21" s="80">
        <f>'Raw Data'!F21/I21</f>
        <v>0</v>
      </c>
      <c r="K21" s="110">
        <f t="shared" si="6"/>
        <v>1.874846215334833E-3</v>
      </c>
      <c r="L21" s="97">
        <f>A21*Table!$AC$9/$AC$16</f>
        <v>0.37410146123865251</v>
      </c>
      <c r="M21" s="97">
        <f>A21*Table!$AD$9/$AC$16</f>
        <v>0.12826335813896655</v>
      </c>
      <c r="N21" s="97">
        <f>ABS(A21*Table!$AE$9/$AC$16)</f>
        <v>0.16199068451277629</v>
      </c>
      <c r="O21" s="97">
        <f>($L21*(Table!$AC$10/Table!$AC$9)/(Table!$AC$12-Table!$AC$14))</f>
        <v>0.80244843680534661</v>
      </c>
      <c r="P21" s="97">
        <f>$N21*(Table!$AE$10/Table!$AE$9)/(Table!$AC$12-Table!$AC$13)</f>
        <v>1.3299727792510365</v>
      </c>
      <c r="Q21" s="97">
        <f>'Raw Data'!C21</f>
        <v>0</v>
      </c>
      <c r="R21" s="97">
        <f>'Raw Data'!C21/'Raw Data'!I$30*100</f>
        <v>0</v>
      </c>
      <c r="S21" s="38">
        <f t="shared" si="7"/>
        <v>0</v>
      </c>
      <c r="T21" s="38">
        <f t="shared" si="8"/>
        <v>1</v>
      </c>
      <c r="U21" s="10">
        <f t="shared" si="9"/>
        <v>0</v>
      </c>
      <c r="V21" s="10">
        <f t="shared" si="10"/>
        <v>0</v>
      </c>
      <c r="W21" s="10">
        <f t="shared" si="11"/>
        <v>0</v>
      </c>
      <c r="X21" s="148">
        <f t="shared" si="12"/>
        <v>0</v>
      </c>
      <c r="AN21" s="112">
        <f>$E55</f>
        <v>2.6944420286622903</v>
      </c>
      <c r="AO21" s="82">
        <f>$B55</f>
        <v>3.0752292399651836E-3</v>
      </c>
      <c r="AP21" s="82">
        <f t="shared" si="0"/>
        <v>3.0752292399651836E-3</v>
      </c>
      <c r="AR21" s="36">
        <v>2.3818202604521379</v>
      </c>
      <c r="AS21" s="13"/>
      <c r="AT21" s="13"/>
      <c r="AU21" s="96"/>
      <c r="AV21" s="161"/>
    </row>
    <row r="22" spans="1:48" ht="12.4" customHeight="1" x14ac:dyDescent="0.2">
      <c r="A22" s="97">
        <f>'Raw Data'!A22</f>
        <v>2.1427428722381592</v>
      </c>
      <c r="B22" s="107">
        <f>'Raw Data'!E22</f>
        <v>0</v>
      </c>
      <c r="C22" s="107">
        <f t="shared" si="1"/>
        <v>1</v>
      </c>
      <c r="D22" s="87">
        <f t="shared" si="2"/>
        <v>0</v>
      </c>
      <c r="E22" s="80">
        <f>(2*Table!$AC$16*0.147)/A22</f>
        <v>50.976847740130736</v>
      </c>
      <c r="F22" s="80">
        <f t="shared" si="3"/>
        <v>101.95369548026147</v>
      </c>
      <c r="G22" s="97">
        <f>IF((('Raw Data'!C22)/('Raw Data'!C$136)*100)&lt;0,0,('Raw Data'!C22)/('Raw Data'!C$136)*100)</f>
        <v>0</v>
      </c>
      <c r="H22" s="97">
        <f t="shared" si="4"/>
        <v>0</v>
      </c>
      <c r="I22" s="23">
        <f t="shared" si="5"/>
        <v>3.3082989415541331E-2</v>
      </c>
      <c r="J22" s="80">
        <f>'Raw Data'!F22/I22</f>
        <v>0</v>
      </c>
      <c r="K22" s="110">
        <f t="shared" si="6"/>
        <v>2.0232457642027218E-3</v>
      </c>
      <c r="L22" s="97">
        <f>A22*Table!$AC$9/$AC$16</f>
        <v>0.403712683548275</v>
      </c>
      <c r="M22" s="97">
        <f>A22*Table!$AD$9/$AC$16</f>
        <v>0.13841577721655143</v>
      </c>
      <c r="N22" s="97">
        <f>ABS(A22*Table!$AE$9/$AC$16)</f>
        <v>0.1748127198913971</v>
      </c>
      <c r="O22" s="97">
        <f>($L22*(Table!$AC$10/Table!$AC$9)/(Table!$AC$12-Table!$AC$14))</f>
        <v>0.86596457217562217</v>
      </c>
      <c r="P22" s="97">
        <f>$N22*(Table!$AE$10/Table!$AE$9)/(Table!$AC$12-Table!$AC$13)</f>
        <v>1.4352440056764948</v>
      </c>
      <c r="Q22" s="97">
        <f>'Raw Data'!C22</f>
        <v>0</v>
      </c>
      <c r="R22" s="97">
        <f>'Raw Data'!C22/'Raw Data'!I$30*100</f>
        <v>0</v>
      </c>
      <c r="S22" s="38">
        <f t="shared" si="7"/>
        <v>0</v>
      </c>
      <c r="T22" s="38">
        <f t="shared" si="8"/>
        <v>1</v>
      </c>
      <c r="U22" s="10">
        <f t="shared" si="9"/>
        <v>0</v>
      </c>
      <c r="V22" s="10">
        <f t="shared" si="10"/>
        <v>0</v>
      </c>
      <c r="W22" s="10">
        <f t="shared" si="11"/>
        <v>0</v>
      </c>
      <c r="X22" s="148">
        <f t="shared" si="12"/>
        <v>0</v>
      </c>
      <c r="AN22" s="112">
        <f>$E47</f>
        <v>5.3929021868053608</v>
      </c>
      <c r="AO22" s="82">
        <f>$B47</f>
        <v>0</v>
      </c>
      <c r="AP22" s="82">
        <f t="shared" si="0"/>
        <v>0</v>
      </c>
      <c r="AR22" s="36">
        <v>4.9092259390712378</v>
      </c>
      <c r="AS22" s="13"/>
      <c r="AT22" s="13"/>
      <c r="AU22" s="96"/>
      <c r="AV22" s="161"/>
    </row>
    <row r="23" spans="1:48" ht="12.4" customHeight="1" x14ac:dyDescent="0.2">
      <c r="A23" s="97">
        <f>'Raw Data'!A23</f>
        <v>2.3324432373046875</v>
      </c>
      <c r="B23" s="107">
        <f>'Raw Data'!E23</f>
        <v>0</v>
      </c>
      <c r="C23" s="107">
        <f t="shared" si="1"/>
        <v>1</v>
      </c>
      <c r="D23" s="87">
        <f t="shared" si="2"/>
        <v>0</v>
      </c>
      <c r="E23" s="80">
        <f>(2*Table!$AC$16*0.147)/A23</f>
        <v>46.830840466908342</v>
      </c>
      <c r="F23" s="80">
        <f t="shared" si="3"/>
        <v>93.661680933816683</v>
      </c>
      <c r="G23" s="97">
        <f>IF((('Raw Data'!C23)/('Raw Data'!C$136)*100)&lt;0,0,('Raw Data'!C23)/('Raw Data'!C$136)*100)</f>
        <v>0</v>
      </c>
      <c r="H23" s="97">
        <f t="shared" si="4"/>
        <v>0</v>
      </c>
      <c r="I23" s="23">
        <f t="shared" si="5"/>
        <v>3.6841024379303811E-2</v>
      </c>
      <c r="J23" s="80">
        <f>'Raw Data'!F23/I23</f>
        <v>0</v>
      </c>
      <c r="K23" s="110">
        <f t="shared" si="6"/>
        <v>2.2023668641075658E-3</v>
      </c>
      <c r="L23" s="97">
        <f>A23*Table!$AC$9/$AC$16</f>
        <v>0.43945399644369526</v>
      </c>
      <c r="M23" s="97">
        <f>A23*Table!$AD$9/$AC$16</f>
        <v>0.15066994163783839</v>
      </c>
      <c r="N23" s="97">
        <f>ABS(A23*Table!$AE$9/$AC$16)</f>
        <v>0.19028916235741825</v>
      </c>
      <c r="O23" s="97">
        <f>($L23*(Table!$AC$10/Table!$AC$9)/(Table!$AC$12-Table!$AC$14))</f>
        <v>0.94262976500149154</v>
      </c>
      <c r="P23" s="97">
        <f>$N23*(Table!$AE$10/Table!$AE$9)/(Table!$AC$12-Table!$AC$13)</f>
        <v>1.5623083937390656</v>
      </c>
      <c r="Q23" s="97">
        <f>'Raw Data'!C23</f>
        <v>0</v>
      </c>
      <c r="R23" s="97">
        <f>'Raw Data'!C23/'Raw Data'!I$30*100</f>
        <v>0</v>
      </c>
      <c r="S23" s="38">
        <f t="shared" si="7"/>
        <v>0</v>
      </c>
      <c r="T23" s="38">
        <f t="shared" si="8"/>
        <v>1</v>
      </c>
      <c r="U23" s="10">
        <f t="shared" si="9"/>
        <v>0</v>
      </c>
      <c r="V23" s="10">
        <f t="shared" si="10"/>
        <v>0</v>
      </c>
      <c r="W23" s="10">
        <f t="shared" si="11"/>
        <v>0</v>
      </c>
      <c r="X23" s="148">
        <f t="shared" si="12"/>
        <v>0</v>
      </c>
      <c r="AN23" s="112">
        <f>$E42</f>
        <v>8.4908087791418367</v>
      </c>
      <c r="AO23" s="82">
        <f>$B42</f>
        <v>0</v>
      </c>
      <c r="AP23" s="82">
        <f t="shared" si="0"/>
        <v>0</v>
      </c>
      <c r="AR23" s="36">
        <v>7.6545393934362336</v>
      </c>
      <c r="AS23" s="13"/>
      <c r="AT23" s="13"/>
      <c r="AU23" s="96"/>
      <c r="AV23" s="161"/>
    </row>
    <row r="24" spans="1:48" ht="12.4" customHeight="1" x14ac:dyDescent="0.2">
      <c r="A24" s="97">
        <f>'Raw Data'!A24</f>
        <v>2.562514066696167</v>
      </c>
      <c r="B24" s="107">
        <f>'Raw Data'!E24</f>
        <v>0</v>
      </c>
      <c r="C24" s="107">
        <f t="shared" si="1"/>
        <v>1</v>
      </c>
      <c r="D24" s="87">
        <f t="shared" si="2"/>
        <v>0</v>
      </c>
      <c r="E24" s="80">
        <f>(2*Table!$AC$16*0.147)/A24</f>
        <v>42.626215623145804</v>
      </c>
      <c r="F24" s="80">
        <f t="shared" si="3"/>
        <v>85.252431246291607</v>
      </c>
      <c r="G24" s="97">
        <f>IF((('Raw Data'!C24)/('Raw Data'!C$136)*100)&lt;0,0,('Raw Data'!C24)/('Raw Data'!C$136)*100)</f>
        <v>0</v>
      </c>
      <c r="H24" s="97">
        <f t="shared" si="4"/>
        <v>0</v>
      </c>
      <c r="I24" s="23">
        <f t="shared" si="5"/>
        <v>4.085517460159882E-2</v>
      </c>
      <c r="J24" s="80">
        <f>'Raw Data'!F24/I24</f>
        <v>0</v>
      </c>
      <c r="K24" s="110">
        <f t="shared" si="6"/>
        <v>2.4196070365351142E-3</v>
      </c>
      <c r="L24" s="97">
        <f>A24*Table!$AC$9/$AC$16</f>
        <v>0.48280148024271635</v>
      </c>
      <c r="M24" s="97">
        <f>A24*Table!$AD$9/$AC$16</f>
        <v>0.16553193608321704</v>
      </c>
      <c r="N24" s="97">
        <f>ABS(A24*Table!$AE$9/$AC$16)</f>
        <v>0.20905917343746158</v>
      </c>
      <c r="O24" s="97">
        <f>($L24*(Table!$AC$10/Table!$AC$9)/(Table!$AC$12-Table!$AC$14))</f>
        <v>1.0356102107308374</v>
      </c>
      <c r="P24" s="97">
        <f>$N24*(Table!$AE$10/Table!$AE$9)/(Table!$AC$12-Table!$AC$13)</f>
        <v>1.7164135750202099</v>
      </c>
      <c r="Q24" s="97">
        <f>'Raw Data'!C24</f>
        <v>0</v>
      </c>
      <c r="R24" s="97">
        <f>'Raw Data'!C24/'Raw Data'!I$30*100</f>
        <v>0</v>
      </c>
      <c r="S24" s="38">
        <f t="shared" si="7"/>
        <v>0</v>
      </c>
      <c r="T24" s="38">
        <f t="shared" si="8"/>
        <v>1</v>
      </c>
      <c r="U24" s="10">
        <f t="shared" si="9"/>
        <v>0</v>
      </c>
      <c r="V24" s="10">
        <f t="shared" si="10"/>
        <v>0</v>
      </c>
      <c r="W24" s="10">
        <f t="shared" si="11"/>
        <v>0</v>
      </c>
      <c r="X24" s="148">
        <f t="shared" si="12"/>
        <v>0</v>
      </c>
      <c r="AN24" s="12">
        <f>$E39</f>
        <v>11.066073122232257</v>
      </c>
      <c r="AO24" s="82">
        <f>$B39</f>
        <v>0</v>
      </c>
      <c r="AP24" s="82">
        <f t="shared" si="0"/>
        <v>0</v>
      </c>
      <c r="AR24" s="92">
        <v>10.01194107647434</v>
      </c>
      <c r="AS24" s="13"/>
      <c r="AT24" s="13"/>
      <c r="AU24" s="96"/>
      <c r="AV24" s="161"/>
    </row>
    <row r="25" spans="1:48" ht="12.4" customHeight="1" x14ac:dyDescent="0.2">
      <c r="A25" s="97">
        <f>'Raw Data'!A25</f>
        <v>2.7917051315307617</v>
      </c>
      <c r="B25" s="107">
        <f>'Raw Data'!E25</f>
        <v>0</v>
      </c>
      <c r="C25" s="107">
        <f t="shared" si="1"/>
        <v>1</v>
      </c>
      <c r="D25" s="87">
        <f t="shared" si="2"/>
        <v>0</v>
      </c>
      <c r="E25" s="80">
        <f>(2*Table!$AC$16*0.147)/A25</f>
        <v>39.126724348728537</v>
      </c>
      <c r="F25" s="80">
        <f t="shared" si="3"/>
        <v>78.253448697457074</v>
      </c>
      <c r="G25" s="97">
        <f>IF((('Raw Data'!C25)/('Raw Data'!C$136)*100)&lt;0,0,('Raw Data'!C25)/('Raw Data'!C$136)*100)</f>
        <v>0</v>
      </c>
      <c r="H25" s="97">
        <f t="shared" si="4"/>
        <v>0</v>
      </c>
      <c r="I25" s="23">
        <f t="shared" si="5"/>
        <v>3.7203286764800447E-2</v>
      </c>
      <c r="J25" s="80">
        <f>'Raw Data'!F25/I25</f>
        <v>0</v>
      </c>
      <c r="K25" s="110">
        <f t="shared" si="6"/>
        <v>2.6360165073715967E-3</v>
      </c>
      <c r="L25" s="97">
        <f>A25*Table!$AC$9/$AC$16</f>
        <v>0.5259832082178576</v>
      </c>
      <c r="M25" s="97">
        <f>A25*Table!$AD$9/$AC$16</f>
        <v>0.18033709996040831</v>
      </c>
      <c r="N25" s="97">
        <f>ABS(A25*Table!$AE$9/$AC$16)</f>
        <v>0.22775741014035231</v>
      </c>
      <c r="O25" s="97">
        <f>($L25*(Table!$AC$10/Table!$AC$9)/(Table!$AC$12-Table!$AC$14))</f>
        <v>1.1282351098624146</v>
      </c>
      <c r="P25" s="97">
        <f>$N25*(Table!$AE$10/Table!$AE$9)/(Table!$AC$12-Table!$AC$13)</f>
        <v>1.8699294757007574</v>
      </c>
      <c r="Q25" s="97">
        <f>'Raw Data'!C25</f>
        <v>0</v>
      </c>
      <c r="R25" s="97">
        <f>'Raw Data'!C25/'Raw Data'!I$30*100</f>
        <v>0</v>
      </c>
      <c r="S25" s="38">
        <f t="shared" si="7"/>
        <v>0</v>
      </c>
      <c r="T25" s="38">
        <f t="shared" si="8"/>
        <v>1</v>
      </c>
      <c r="U25" s="10">
        <f t="shared" si="9"/>
        <v>0</v>
      </c>
      <c r="V25" s="10">
        <f t="shared" si="10"/>
        <v>0</v>
      </c>
      <c r="W25" s="10">
        <f t="shared" si="11"/>
        <v>0</v>
      </c>
      <c r="X25" s="148">
        <f t="shared" si="12"/>
        <v>0</v>
      </c>
      <c r="AN25" s="12">
        <f>$E29</f>
        <v>27.164680083407898</v>
      </c>
      <c r="AO25" s="82">
        <f>$B29</f>
        <v>0</v>
      </c>
      <c r="AP25" s="82">
        <f t="shared" si="0"/>
        <v>0</v>
      </c>
      <c r="AR25" s="92">
        <v>23.954008145687514</v>
      </c>
      <c r="AS25" s="13"/>
      <c r="AT25" s="13"/>
      <c r="AU25" s="96"/>
      <c r="AV25" s="161"/>
    </row>
    <row r="26" spans="1:48" ht="12.4" customHeight="1" x14ac:dyDescent="0.2">
      <c r="A26" s="97">
        <f>'Raw Data'!A26</f>
        <v>3.0887665748596191</v>
      </c>
      <c r="B26" s="107">
        <f>'Raw Data'!E26</f>
        <v>0</v>
      </c>
      <c r="C26" s="107">
        <f t="shared" si="1"/>
        <v>1</v>
      </c>
      <c r="D26" s="87">
        <f t="shared" si="2"/>
        <v>0</v>
      </c>
      <c r="E26" s="80">
        <f>(2*Table!$AC$16*0.147)/A26</f>
        <v>35.363720273779329</v>
      </c>
      <c r="F26" s="80">
        <f t="shared" si="3"/>
        <v>70.727440547558658</v>
      </c>
      <c r="G26" s="97">
        <f>IF((('Raw Data'!C26)/('Raw Data'!C$136)*100)&lt;0,0,('Raw Data'!C26)/('Raw Data'!C$136)*100)</f>
        <v>0</v>
      </c>
      <c r="H26" s="97">
        <f t="shared" si="4"/>
        <v>0</v>
      </c>
      <c r="I26" s="23">
        <f t="shared" si="5"/>
        <v>4.3915544059635492E-2</v>
      </c>
      <c r="J26" s="80">
        <f>'Raw Data'!F26/I26</f>
        <v>0</v>
      </c>
      <c r="K26" s="110">
        <f t="shared" si="6"/>
        <v>2.9165113416842483E-3</v>
      </c>
      <c r="L26" s="97">
        <f>A26*Table!$AC$9/$AC$16</f>
        <v>0.58195234666130924</v>
      </c>
      <c r="M26" s="97">
        <f>A26*Table!$AD$9/$AC$16</f>
        <v>0.19952651885530603</v>
      </c>
      <c r="N26" s="97">
        <f>ABS(A26*Table!$AE$9/$AC$16)</f>
        <v>0.251992758000331</v>
      </c>
      <c r="O26" s="97">
        <f>($L26*(Table!$AC$10/Table!$AC$9)/(Table!$AC$12-Table!$AC$14))</f>
        <v>1.2482890318775404</v>
      </c>
      <c r="P26" s="97">
        <f>$N26*(Table!$AE$10/Table!$AE$9)/(Table!$AC$12-Table!$AC$13)</f>
        <v>2.0689060591160175</v>
      </c>
      <c r="Q26" s="97">
        <f>'Raw Data'!C26</f>
        <v>0</v>
      </c>
      <c r="R26" s="97">
        <f>'Raw Data'!C26/'Raw Data'!I$30*100</f>
        <v>0</v>
      </c>
      <c r="S26" s="38">
        <f t="shared" si="7"/>
        <v>0</v>
      </c>
      <c r="T26" s="38">
        <f t="shared" si="8"/>
        <v>1</v>
      </c>
      <c r="U26" s="10">
        <f t="shared" si="9"/>
        <v>0</v>
      </c>
      <c r="V26" s="10">
        <f t="shared" si="10"/>
        <v>0</v>
      </c>
      <c r="W26" s="10">
        <f t="shared" si="11"/>
        <v>0</v>
      </c>
      <c r="X26" s="148">
        <f t="shared" si="12"/>
        <v>0</v>
      </c>
      <c r="AN26" s="12">
        <f>$E21</f>
        <v>55.011813992544901</v>
      </c>
      <c r="AO26" s="82">
        <f>$B22</f>
        <v>0</v>
      </c>
      <c r="AP26" s="82">
        <f t="shared" si="0"/>
        <v>0</v>
      </c>
      <c r="AR26" s="92">
        <v>51.76790385987443</v>
      </c>
      <c r="AS26" s="13"/>
      <c r="AT26" s="13"/>
      <c r="AU26" s="96"/>
      <c r="AV26" s="161"/>
    </row>
    <row r="27" spans="1:48" ht="12.4" customHeight="1" x14ac:dyDescent="0.2">
      <c r="A27" s="97">
        <f>'Raw Data'!A27</f>
        <v>3.3725578784942627</v>
      </c>
      <c r="B27" s="107">
        <f>'Raw Data'!E27</f>
        <v>0</v>
      </c>
      <c r="C27" s="107">
        <f t="shared" si="1"/>
        <v>1</v>
      </c>
      <c r="D27" s="87">
        <f t="shared" si="2"/>
        <v>0</v>
      </c>
      <c r="E27" s="80">
        <f>(2*Table!$AC$16*0.147)/A27</f>
        <v>32.387962217301606</v>
      </c>
      <c r="F27" s="80">
        <f t="shared" si="3"/>
        <v>64.775924434603212</v>
      </c>
      <c r="G27" s="97">
        <f>IF((('Raw Data'!C27)/('Raw Data'!C$136)*100)&lt;0,0,('Raw Data'!C27)/('Raw Data'!C$136)*100)</f>
        <v>0</v>
      </c>
      <c r="H27" s="97">
        <f t="shared" si="4"/>
        <v>0</v>
      </c>
      <c r="I27" s="23">
        <f t="shared" si="5"/>
        <v>3.8174322680469164E-2</v>
      </c>
      <c r="J27" s="80">
        <f>'Raw Data'!F27/I27</f>
        <v>0</v>
      </c>
      <c r="K27" s="110">
        <f t="shared" si="6"/>
        <v>3.184476089314753E-3</v>
      </c>
      <c r="L27" s="97">
        <f>A27*Table!$AC$9/$AC$16</f>
        <v>0.63542126738082305</v>
      </c>
      <c r="M27" s="97">
        <f>A27*Table!$AD$9/$AC$16</f>
        <v>0.21785872024485359</v>
      </c>
      <c r="N27" s="97">
        <f>ABS(A27*Table!$AE$9/$AC$16)</f>
        <v>0.27514547982834853</v>
      </c>
      <c r="O27" s="97">
        <f>($L27*(Table!$AC$10/Table!$AC$9)/(Table!$AC$12-Table!$AC$14))</f>
        <v>1.3629799815118471</v>
      </c>
      <c r="P27" s="97">
        <f>$N27*(Table!$AE$10/Table!$AE$9)/(Table!$AC$12-Table!$AC$13)</f>
        <v>2.2589940872606604</v>
      </c>
      <c r="Q27" s="97">
        <f>'Raw Data'!C27</f>
        <v>0</v>
      </c>
      <c r="R27" s="97">
        <f>'Raw Data'!C27/'Raw Data'!I$30*100</f>
        <v>0</v>
      </c>
      <c r="S27" s="38">
        <f t="shared" si="7"/>
        <v>0</v>
      </c>
      <c r="T27" s="38">
        <f t="shared" si="8"/>
        <v>1</v>
      </c>
      <c r="U27" s="10">
        <f t="shared" si="9"/>
        <v>0</v>
      </c>
      <c r="V27" s="10">
        <f t="shared" si="10"/>
        <v>0</v>
      </c>
      <c r="W27" s="10">
        <f t="shared" si="11"/>
        <v>0</v>
      </c>
      <c r="X27" s="148">
        <f t="shared" si="12"/>
        <v>0</v>
      </c>
      <c r="AN27" s="12">
        <f>$E18</f>
        <v>73.42200080668016</v>
      </c>
      <c r="AO27" s="82">
        <f>$B18</f>
        <v>0</v>
      </c>
      <c r="AP27" s="82">
        <f t="shared" si="0"/>
        <v>0</v>
      </c>
      <c r="AR27" s="92">
        <v>72.33793188366559</v>
      </c>
      <c r="AS27" s="13"/>
      <c r="AT27" s="13"/>
      <c r="AU27" s="96"/>
      <c r="AV27" s="161"/>
    </row>
    <row r="28" spans="1:48" ht="12.4" customHeight="1" x14ac:dyDescent="0.2">
      <c r="A28" s="97">
        <f>'Raw Data'!A28</f>
        <v>3.6760144233703613</v>
      </c>
      <c r="B28" s="107">
        <f>'Raw Data'!E28</f>
        <v>0</v>
      </c>
      <c r="C28" s="107">
        <f t="shared" si="1"/>
        <v>1</v>
      </c>
      <c r="D28" s="87">
        <f t="shared" si="2"/>
        <v>0</v>
      </c>
      <c r="E28" s="80">
        <f>(2*Table!$AC$16*0.147)/A28</f>
        <v>29.714322242562652</v>
      </c>
      <c r="F28" s="80">
        <f t="shared" si="3"/>
        <v>59.428644485125304</v>
      </c>
      <c r="G28" s="97">
        <f>IF((('Raw Data'!C28)/('Raw Data'!C$136)*100)&lt;0,0,('Raw Data'!C28)/('Raw Data'!C$136)*100)</f>
        <v>0</v>
      </c>
      <c r="H28" s="97">
        <f t="shared" si="4"/>
        <v>0</v>
      </c>
      <c r="I28" s="23">
        <f t="shared" si="5"/>
        <v>3.7417795137450582E-2</v>
      </c>
      <c r="J28" s="80">
        <f>'Raw Data'!F28/I28</f>
        <v>0</v>
      </c>
      <c r="K28" s="110">
        <f t="shared" si="6"/>
        <v>3.47100938129059E-3</v>
      </c>
      <c r="L28" s="97">
        <f>A28*Table!$AC$9/$AC$16</f>
        <v>0.69259530242696588</v>
      </c>
      <c r="M28" s="97">
        <f>A28*Table!$AD$9/$AC$16</f>
        <v>0.23746124654638828</v>
      </c>
      <c r="N28" s="97">
        <f>ABS(A28*Table!$AE$9/$AC$16)</f>
        <v>0.29990256322175923</v>
      </c>
      <c r="O28" s="97">
        <f>($L28*(Table!$AC$10/Table!$AC$9)/(Table!$AC$12-Table!$AC$14))</f>
        <v>1.4856184093242513</v>
      </c>
      <c r="P28" s="97">
        <f>$N28*(Table!$AE$10/Table!$AE$9)/(Table!$AC$12-Table!$AC$13)</f>
        <v>2.4622542136433427</v>
      </c>
      <c r="Q28" s="97">
        <f>'Raw Data'!C28</f>
        <v>0</v>
      </c>
      <c r="R28" s="97">
        <f>'Raw Data'!C28/'Raw Data'!I$30*100</f>
        <v>0</v>
      </c>
      <c r="S28" s="38">
        <f t="shared" si="7"/>
        <v>0</v>
      </c>
      <c r="T28" s="38">
        <f t="shared" si="8"/>
        <v>1</v>
      </c>
      <c r="U28" s="10">
        <f t="shared" si="9"/>
        <v>0</v>
      </c>
      <c r="V28" s="10">
        <f t="shared" si="10"/>
        <v>0</v>
      </c>
      <c r="W28" s="10">
        <f t="shared" si="11"/>
        <v>0</v>
      </c>
      <c r="X28" s="148">
        <f t="shared" si="12"/>
        <v>0</v>
      </c>
      <c r="AN28" s="115"/>
      <c r="AO28" s="82"/>
      <c r="AP28" s="82"/>
      <c r="AS28" s="13"/>
      <c r="AT28" s="13"/>
      <c r="AU28" s="161"/>
      <c r="AV28" s="161"/>
    </row>
    <row r="29" spans="1:48" ht="12.4" customHeight="1" x14ac:dyDescent="0.2">
      <c r="A29" s="97">
        <f>'Raw Data'!A29</f>
        <v>4.0210404396057129</v>
      </c>
      <c r="B29" s="107">
        <f>'Raw Data'!E29</f>
        <v>0</v>
      </c>
      <c r="C29" s="107">
        <f t="shared" si="1"/>
        <v>1</v>
      </c>
      <c r="D29" s="87">
        <f t="shared" si="2"/>
        <v>0</v>
      </c>
      <c r="E29" s="80">
        <f>(2*Table!$AC$16*0.147)/A29</f>
        <v>27.164680083407898</v>
      </c>
      <c r="F29" s="80">
        <f t="shared" si="3"/>
        <v>54.329360166815796</v>
      </c>
      <c r="G29" s="97">
        <f>IF((('Raw Data'!C29)/('Raw Data'!C$136)*100)&lt;0,0,('Raw Data'!C29)/('Raw Data'!C$136)*100)</f>
        <v>0</v>
      </c>
      <c r="H29" s="97">
        <f t="shared" si="4"/>
        <v>0</v>
      </c>
      <c r="I29" s="23">
        <f t="shared" si="5"/>
        <v>3.8961234090527208E-2</v>
      </c>
      <c r="J29" s="80">
        <f>'Raw Data'!F29/I29</f>
        <v>0</v>
      </c>
      <c r="K29" s="110">
        <f t="shared" si="6"/>
        <v>3.7967938862502344E-3</v>
      </c>
      <c r="L29" s="97">
        <f>A29*Table!$AC$9/$AC$16</f>
        <v>0.75760141245212742</v>
      </c>
      <c r="M29" s="97">
        <f>A29*Table!$AD$9/$AC$16</f>
        <v>0.25974905569787227</v>
      </c>
      <c r="N29" s="97">
        <f>ABS(A29*Table!$AE$9/$AC$16)</f>
        <v>0.32805103456325735</v>
      </c>
      <c r="O29" s="97">
        <f>($L29*(Table!$AC$10/Table!$AC$9)/(Table!$AC$12-Table!$AC$14))</f>
        <v>1.6250566547664682</v>
      </c>
      <c r="P29" s="97">
        <f>$N29*(Table!$AE$10/Table!$AE$9)/(Table!$AC$12-Table!$AC$13)</f>
        <v>2.6933582476457905</v>
      </c>
      <c r="Q29" s="97">
        <f>'Raw Data'!C29</f>
        <v>0</v>
      </c>
      <c r="R29" s="97">
        <f>'Raw Data'!C29/'Raw Data'!I$30*100</f>
        <v>0</v>
      </c>
      <c r="S29" s="38">
        <f t="shared" si="7"/>
        <v>0</v>
      </c>
      <c r="T29" s="38">
        <f t="shared" si="8"/>
        <v>1</v>
      </c>
      <c r="U29" s="10">
        <f t="shared" si="9"/>
        <v>0</v>
      </c>
      <c r="V29" s="10">
        <f t="shared" si="10"/>
        <v>0</v>
      </c>
      <c r="W29" s="10">
        <f t="shared" si="11"/>
        <v>0</v>
      </c>
      <c r="X29" s="148">
        <f t="shared" si="12"/>
        <v>0</v>
      </c>
      <c r="AS29" s="13"/>
      <c r="AT29" s="13"/>
    </row>
    <row r="30" spans="1:48" ht="12.4" customHeight="1" x14ac:dyDescent="0.2">
      <c r="A30" s="97">
        <f>'Raw Data'!A30</f>
        <v>4.3908481597900391</v>
      </c>
      <c r="B30" s="107">
        <f>'Raw Data'!E30</f>
        <v>0</v>
      </c>
      <c r="C30" s="107">
        <f t="shared" si="1"/>
        <v>1</v>
      </c>
      <c r="D30" s="87">
        <f t="shared" si="2"/>
        <v>0</v>
      </c>
      <c r="E30" s="80">
        <f>(2*Table!$AC$16*0.147)/A30</f>
        <v>24.876805840072183</v>
      </c>
      <c r="F30" s="80">
        <f t="shared" si="3"/>
        <v>49.753611680144367</v>
      </c>
      <c r="G30" s="97">
        <f>IF((('Raw Data'!C30)/('Raw Data'!C$136)*100)&lt;0,0,('Raw Data'!C30)/('Raw Data'!C$136)*100)</f>
        <v>0</v>
      </c>
      <c r="H30" s="97">
        <f t="shared" si="4"/>
        <v>0</v>
      </c>
      <c r="I30" s="23">
        <f t="shared" si="5"/>
        <v>3.8209978173224135E-2</v>
      </c>
      <c r="J30" s="80">
        <f>'Raw Data'!F30/I30</f>
        <v>0</v>
      </c>
      <c r="K30" s="110">
        <f t="shared" si="6"/>
        <v>4.1459780618815709E-3</v>
      </c>
      <c r="L30" s="97">
        <f>A30*Table!$AC$9/$AC$16</f>
        <v>0.82727662595851503</v>
      </c>
      <c r="M30" s="97">
        <f>A30*Table!$AD$9/$AC$16</f>
        <v>0.28363770032863372</v>
      </c>
      <c r="N30" s="97">
        <f>ABS(A30*Table!$AE$9/$AC$16)</f>
        <v>0.35822128701857547</v>
      </c>
      <c r="O30" s="97">
        <f>($L30*(Table!$AC$10/Table!$AC$9)/(Table!$AC$12-Table!$AC$14))</f>
        <v>1.7745101371911522</v>
      </c>
      <c r="P30" s="97">
        <f>$N30*(Table!$AE$10/Table!$AE$9)/(Table!$AC$12-Table!$AC$13)</f>
        <v>2.9410614697748394</v>
      </c>
      <c r="Q30" s="97">
        <f>'Raw Data'!C30</f>
        <v>0</v>
      </c>
      <c r="R30" s="97">
        <f>'Raw Data'!C30/'Raw Data'!I$30*100</f>
        <v>0</v>
      </c>
      <c r="S30" s="38">
        <f t="shared" si="7"/>
        <v>0</v>
      </c>
      <c r="T30" s="38">
        <f t="shared" si="8"/>
        <v>1</v>
      </c>
      <c r="U30" s="10">
        <f t="shared" si="9"/>
        <v>0</v>
      </c>
      <c r="V30" s="10">
        <f t="shared" si="10"/>
        <v>0</v>
      </c>
      <c r="W30" s="10">
        <f t="shared" si="11"/>
        <v>0</v>
      </c>
      <c r="X30" s="148">
        <f t="shared" si="12"/>
        <v>0</v>
      </c>
      <c r="AS30" s="13"/>
      <c r="AT30" s="13"/>
    </row>
    <row r="31" spans="1:48" ht="12.4" customHeight="1" x14ac:dyDescent="0.2">
      <c r="A31" s="97">
        <f>'Raw Data'!A31</f>
        <v>4.8056631088256836</v>
      </c>
      <c r="B31" s="107">
        <f>'Raw Data'!E31</f>
        <v>0</v>
      </c>
      <c r="C31" s="107">
        <f t="shared" si="1"/>
        <v>1</v>
      </c>
      <c r="D31" s="87">
        <f t="shared" si="2"/>
        <v>0</v>
      </c>
      <c r="E31" s="80">
        <f>(2*Table!$AC$16*0.147)/A31</f>
        <v>22.729491158822963</v>
      </c>
      <c r="F31" s="80">
        <f t="shared" si="3"/>
        <v>45.458982317645926</v>
      </c>
      <c r="G31" s="97">
        <f>IF((('Raw Data'!C31)/('Raw Data'!C$136)*100)&lt;0,0,('Raw Data'!C31)/('Raw Data'!C$136)*100)</f>
        <v>0</v>
      </c>
      <c r="H31" s="97">
        <f t="shared" si="4"/>
        <v>0</v>
      </c>
      <c r="I31" s="23">
        <f t="shared" si="5"/>
        <v>3.9204903211478292E-2</v>
      </c>
      <c r="J31" s="80">
        <f>'Raw Data'!F31/I31</f>
        <v>0</v>
      </c>
      <c r="K31" s="110">
        <f t="shared" si="6"/>
        <v>4.5376594901285769E-3</v>
      </c>
      <c r="L31" s="97">
        <f>A31*Table!$AC$9/$AC$16</f>
        <v>0.90543161992482213</v>
      </c>
      <c r="M31" s="97">
        <f>A31*Table!$AD$9/$AC$16</f>
        <v>0.31043369825993905</v>
      </c>
      <c r="N31" s="97">
        <f>ABS(A31*Table!$AE$9/$AC$16)</f>
        <v>0.39206339212229624</v>
      </c>
      <c r="O31" s="97">
        <f>($L31*(Table!$AC$10/Table!$AC$9)/(Table!$AC$12-Table!$AC$14))</f>
        <v>1.9421527668915108</v>
      </c>
      <c r="P31" s="97">
        <f>$N31*(Table!$AE$10/Table!$AE$9)/(Table!$AC$12-Table!$AC$13)</f>
        <v>3.2189112653718897</v>
      </c>
      <c r="Q31" s="97">
        <f>'Raw Data'!C31</f>
        <v>0</v>
      </c>
      <c r="R31" s="97">
        <f>'Raw Data'!C31/'Raw Data'!I$30*100</f>
        <v>0</v>
      </c>
      <c r="S31" s="38">
        <f t="shared" si="7"/>
        <v>0</v>
      </c>
      <c r="T31" s="38">
        <f t="shared" si="8"/>
        <v>1</v>
      </c>
      <c r="U31" s="10">
        <f t="shared" si="9"/>
        <v>0</v>
      </c>
      <c r="V31" s="10">
        <f t="shared" si="10"/>
        <v>0</v>
      </c>
      <c r="W31" s="10">
        <f t="shared" si="11"/>
        <v>0</v>
      </c>
      <c r="X31" s="148">
        <f t="shared" si="12"/>
        <v>0</v>
      </c>
      <c r="AS31" s="13"/>
      <c r="AT31" s="13"/>
    </row>
    <row r="32" spans="1:48" ht="12.4" customHeight="1" x14ac:dyDescent="0.2">
      <c r="A32" s="97">
        <f>'Raw Data'!A32</f>
        <v>5.2518949508666992</v>
      </c>
      <c r="B32" s="107">
        <f>'Raw Data'!E32</f>
        <v>0</v>
      </c>
      <c r="C32" s="107">
        <f t="shared" si="1"/>
        <v>1</v>
      </c>
      <c r="D32" s="87">
        <f t="shared" si="2"/>
        <v>0</v>
      </c>
      <c r="E32" s="80">
        <f>(2*Table!$AC$16*0.147)/A32</f>
        <v>20.79826008825809</v>
      </c>
      <c r="F32" s="80">
        <f t="shared" si="3"/>
        <v>41.596520176516179</v>
      </c>
      <c r="G32" s="97">
        <f>IF((('Raw Data'!C32)/('Raw Data'!C$136)*100)&lt;0,0,('Raw Data'!C32)/('Raw Data'!C$136)*100)</f>
        <v>0</v>
      </c>
      <c r="H32" s="97">
        <f t="shared" si="4"/>
        <v>0</v>
      </c>
      <c r="I32" s="23">
        <f t="shared" si="5"/>
        <v>3.8562708476285845E-2</v>
      </c>
      <c r="J32" s="80">
        <f>'Raw Data'!F32/I32</f>
        <v>0</v>
      </c>
      <c r="K32" s="110">
        <f t="shared" si="6"/>
        <v>4.9590057449495411E-3</v>
      </c>
      <c r="L32" s="97">
        <f>A32*Table!$AC$9/$AC$16</f>
        <v>0.98950584869446301</v>
      </c>
      <c r="M32" s="97">
        <f>A32*Table!$AD$9/$AC$16</f>
        <v>0.33925914812381591</v>
      </c>
      <c r="N32" s="97">
        <f>ABS(A32*Table!$AE$9/$AC$16)</f>
        <v>0.42846860108134299</v>
      </c>
      <c r="O32" s="97">
        <f>($L32*(Table!$AC$10/Table!$AC$9)/(Table!$AC$12-Table!$AC$14))</f>
        <v>2.1224921679417914</v>
      </c>
      <c r="P32" s="97">
        <f>$N32*(Table!$AE$10/Table!$AE$9)/(Table!$AC$12-Table!$AC$13)</f>
        <v>3.5178046065791695</v>
      </c>
      <c r="Q32" s="97">
        <f>'Raw Data'!C32</f>
        <v>0</v>
      </c>
      <c r="R32" s="97">
        <f>'Raw Data'!C32/'Raw Data'!I$30*100</f>
        <v>0</v>
      </c>
      <c r="S32" s="38">
        <f t="shared" si="7"/>
        <v>0</v>
      </c>
      <c r="T32" s="38">
        <f t="shared" si="8"/>
        <v>1</v>
      </c>
      <c r="U32" s="10">
        <f t="shared" si="9"/>
        <v>0</v>
      </c>
      <c r="V32" s="10">
        <f t="shared" si="10"/>
        <v>0</v>
      </c>
      <c r="W32" s="10">
        <f t="shared" si="11"/>
        <v>0</v>
      </c>
      <c r="X32" s="148">
        <f t="shared" si="12"/>
        <v>0</v>
      </c>
      <c r="AS32" s="13"/>
      <c r="AT32" s="13"/>
    </row>
    <row r="33" spans="1:46" ht="12.4" customHeight="1" x14ac:dyDescent="0.2">
      <c r="A33" s="97">
        <f>'Raw Data'!A33</f>
        <v>5.7560033798217773</v>
      </c>
      <c r="B33" s="107">
        <f>'Raw Data'!E33</f>
        <v>0</v>
      </c>
      <c r="C33" s="107">
        <f t="shared" si="1"/>
        <v>1</v>
      </c>
      <c r="D33" s="87">
        <f t="shared" si="2"/>
        <v>0</v>
      </c>
      <c r="E33" s="80">
        <f>(2*Table!$AC$16*0.147)/A33</f>
        <v>18.976756950361125</v>
      </c>
      <c r="F33" s="80">
        <f t="shared" si="3"/>
        <v>37.95351390072225</v>
      </c>
      <c r="G33" s="97">
        <f>IF((('Raw Data'!C33)/('Raw Data'!C$136)*100)&lt;0,0,('Raw Data'!C33)/('Raw Data'!C$136)*100)</f>
        <v>0</v>
      </c>
      <c r="H33" s="97">
        <f t="shared" si="4"/>
        <v>0</v>
      </c>
      <c r="I33" s="23">
        <f t="shared" si="5"/>
        <v>3.9805009588875784E-2</v>
      </c>
      <c r="J33" s="80">
        <f>'Raw Data'!F33/I33</f>
        <v>0</v>
      </c>
      <c r="K33" s="110">
        <f t="shared" si="6"/>
        <v>5.4350009083435034E-3</v>
      </c>
      <c r="L33" s="97">
        <f>A33*Table!$AC$9/$AC$16</f>
        <v>1.0844845646615273</v>
      </c>
      <c r="M33" s="97">
        <f>A33*Table!$AD$9/$AC$16</f>
        <v>0.37182327931252362</v>
      </c>
      <c r="N33" s="97">
        <f>ABS(A33*Table!$AE$9/$AC$16)</f>
        <v>0.4695955915044952</v>
      </c>
      <c r="O33" s="97">
        <f>($L33*(Table!$AC$10/Table!$AC$9)/(Table!$AC$12-Table!$AC$14))</f>
        <v>2.3262217174206938</v>
      </c>
      <c r="P33" s="97">
        <f>$N33*(Table!$AE$10/Table!$AE$9)/(Table!$AC$12-Table!$AC$13)</f>
        <v>3.8554646264736876</v>
      </c>
      <c r="Q33" s="97">
        <f>'Raw Data'!C33</f>
        <v>0</v>
      </c>
      <c r="R33" s="97">
        <f>'Raw Data'!C33/'Raw Data'!I$30*100</f>
        <v>0</v>
      </c>
      <c r="S33" s="38">
        <f t="shared" si="7"/>
        <v>0</v>
      </c>
      <c r="T33" s="38">
        <f t="shared" si="8"/>
        <v>1</v>
      </c>
      <c r="U33" s="10">
        <f t="shared" si="9"/>
        <v>0</v>
      </c>
      <c r="V33" s="10">
        <f t="shared" si="10"/>
        <v>0</v>
      </c>
      <c r="W33" s="10">
        <f t="shared" si="11"/>
        <v>0</v>
      </c>
      <c r="X33" s="148">
        <f t="shared" si="12"/>
        <v>0</v>
      </c>
      <c r="AS33" s="13"/>
      <c r="AT33" s="13"/>
    </row>
    <row r="34" spans="1:46" ht="12.4" customHeight="1" x14ac:dyDescent="0.2">
      <c r="A34" s="97">
        <f>'Raw Data'!A34</f>
        <v>6.2936878204345703</v>
      </c>
      <c r="B34" s="107">
        <f>'Raw Data'!E34</f>
        <v>0</v>
      </c>
      <c r="C34" s="107">
        <f t="shared" si="1"/>
        <v>1</v>
      </c>
      <c r="D34" s="87">
        <f t="shared" si="2"/>
        <v>0</v>
      </c>
      <c r="E34" s="80">
        <f>(2*Table!$AC$16*0.147)/A34</f>
        <v>17.355528310394153</v>
      </c>
      <c r="F34" s="80">
        <f t="shared" si="3"/>
        <v>34.711056620788305</v>
      </c>
      <c r="G34" s="97">
        <f>IF((('Raw Data'!C34)/('Raw Data'!C$136)*100)&lt;0,0,('Raw Data'!C34)/('Raw Data'!C$136)*100)</f>
        <v>0</v>
      </c>
      <c r="H34" s="97">
        <f t="shared" si="4"/>
        <v>0</v>
      </c>
      <c r="I34" s="23">
        <f t="shared" si="5"/>
        <v>3.8784156957703209E-2</v>
      </c>
      <c r="J34" s="80">
        <f>'Raw Data'!F34/I34</f>
        <v>0</v>
      </c>
      <c r="K34" s="110">
        <f t="shared" si="6"/>
        <v>5.9426996066064604E-3</v>
      </c>
      <c r="L34" s="97">
        <f>A34*Table!$AC$9/$AC$16</f>
        <v>1.1857893134647319</v>
      </c>
      <c r="M34" s="97">
        <f>A34*Table!$AD$9/$AC$16</f>
        <v>0.40655633604505093</v>
      </c>
      <c r="N34" s="97">
        <f>ABS(A34*Table!$AE$9/$AC$16)</f>
        <v>0.51346183449828331</v>
      </c>
      <c r="O34" s="97">
        <f>($L34*(Table!$AC$10/Table!$AC$9)/(Table!$AC$12-Table!$AC$14))</f>
        <v>2.5435206209024712</v>
      </c>
      <c r="P34" s="97">
        <f>$N34*(Table!$AE$10/Table!$AE$9)/(Table!$AC$12-Table!$AC$13)</f>
        <v>4.215614404747809</v>
      </c>
      <c r="Q34" s="97">
        <f>'Raw Data'!C34</f>
        <v>0</v>
      </c>
      <c r="R34" s="97">
        <f>'Raw Data'!C34/'Raw Data'!I$30*100</f>
        <v>0</v>
      </c>
      <c r="S34" s="38">
        <f t="shared" si="7"/>
        <v>0</v>
      </c>
      <c r="T34" s="38">
        <f t="shared" si="8"/>
        <v>1</v>
      </c>
      <c r="U34" s="10">
        <f t="shared" si="9"/>
        <v>0</v>
      </c>
      <c r="V34" s="10">
        <f t="shared" si="10"/>
        <v>0</v>
      </c>
      <c r="W34" s="10">
        <f t="shared" si="11"/>
        <v>0</v>
      </c>
      <c r="X34" s="148">
        <f t="shared" si="12"/>
        <v>0</v>
      </c>
      <c r="AS34" s="13"/>
      <c r="AT34" s="13"/>
    </row>
    <row r="35" spans="1:46" ht="12.4" customHeight="1" x14ac:dyDescent="0.2">
      <c r="A35" s="97">
        <f>'Raw Data'!A35</f>
        <v>6.8869314193725586</v>
      </c>
      <c r="B35" s="107">
        <f>'Raw Data'!E35</f>
        <v>0</v>
      </c>
      <c r="C35" s="107">
        <f t="shared" si="1"/>
        <v>1</v>
      </c>
      <c r="D35" s="87">
        <f t="shared" si="2"/>
        <v>0</v>
      </c>
      <c r="E35" s="80">
        <f>(2*Table!$AC$16*0.147)/A35</f>
        <v>15.860514718801511</v>
      </c>
      <c r="F35" s="80">
        <f t="shared" si="3"/>
        <v>31.721029437603022</v>
      </c>
      <c r="G35" s="97">
        <f>IF((('Raw Data'!C35)/('Raw Data'!C$136)*100)&lt;0,0,('Raw Data'!C35)/('Raw Data'!C$136)*100)</f>
        <v>0</v>
      </c>
      <c r="H35" s="97">
        <f t="shared" si="4"/>
        <v>0</v>
      </c>
      <c r="I35" s="23">
        <f t="shared" si="5"/>
        <v>3.9120561034549528E-2</v>
      </c>
      <c r="J35" s="80">
        <f>'Raw Data'!F35/I35</f>
        <v>0</v>
      </c>
      <c r="K35" s="110">
        <f t="shared" si="6"/>
        <v>6.5028590238854628E-3</v>
      </c>
      <c r="L35" s="97">
        <f>A35*Table!$AC$9/$AC$16</f>
        <v>1.2975619243683103</v>
      </c>
      <c r="M35" s="97">
        <f>A35*Table!$AD$9/$AC$16</f>
        <v>0.44487837406913494</v>
      </c>
      <c r="N35" s="97">
        <f>ABS(A35*Table!$AE$9/$AC$16)</f>
        <v>0.56186079474318962</v>
      </c>
      <c r="O35" s="97">
        <f>($L35*(Table!$AC$10/Table!$AC$9)/(Table!$AC$12-Table!$AC$14))</f>
        <v>2.7832731110431372</v>
      </c>
      <c r="P35" s="97">
        <f>$N35*(Table!$AE$10/Table!$AE$9)/(Table!$AC$12-Table!$AC$13)</f>
        <v>4.6129786103710142</v>
      </c>
      <c r="Q35" s="97">
        <f>'Raw Data'!C35</f>
        <v>0</v>
      </c>
      <c r="R35" s="97">
        <f>'Raw Data'!C35/'Raw Data'!I$30*100</f>
        <v>0</v>
      </c>
      <c r="S35" s="38">
        <f t="shared" si="7"/>
        <v>0</v>
      </c>
      <c r="T35" s="38">
        <f t="shared" si="8"/>
        <v>1</v>
      </c>
      <c r="U35" s="10">
        <f t="shared" si="9"/>
        <v>0</v>
      </c>
      <c r="V35" s="10">
        <f t="shared" si="10"/>
        <v>0</v>
      </c>
      <c r="W35" s="10">
        <f t="shared" si="11"/>
        <v>0</v>
      </c>
      <c r="X35" s="148">
        <f t="shared" si="12"/>
        <v>0</v>
      </c>
      <c r="AS35" s="13"/>
      <c r="AT35" s="13"/>
    </row>
    <row r="36" spans="1:46" ht="12.4" customHeight="1" x14ac:dyDescent="0.2">
      <c r="A36" s="97">
        <f>'Raw Data'!A36</f>
        <v>7.5302977561950684</v>
      </c>
      <c r="B36" s="107">
        <f>'Raw Data'!E36</f>
        <v>0</v>
      </c>
      <c r="C36" s="107">
        <f t="shared" si="1"/>
        <v>1</v>
      </c>
      <c r="D36" s="87">
        <f t="shared" si="2"/>
        <v>0</v>
      </c>
      <c r="E36" s="80">
        <f>(2*Table!$AC$16*0.147)/A36</f>
        <v>14.505439317385937</v>
      </c>
      <c r="F36" s="80">
        <f t="shared" si="3"/>
        <v>29.010878634771874</v>
      </c>
      <c r="G36" s="97">
        <f>IF((('Raw Data'!C36)/('Raw Data'!C$136)*100)&lt;0,0,('Raw Data'!C36)/('Raw Data'!C$136)*100)</f>
        <v>0</v>
      </c>
      <c r="H36" s="97">
        <f t="shared" si="4"/>
        <v>0</v>
      </c>
      <c r="I36" s="23">
        <f t="shared" si="5"/>
        <v>3.8786390751395228E-2</v>
      </c>
      <c r="J36" s="80">
        <f>'Raw Data'!F36/I36</f>
        <v>0</v>
      </c>
      <c r="K36" s="110">
        <f t="shared" si="6"/>
        <v>7.1103459196169656E-3</v>
      </c>
      <c r="L36" s="97">
        <f>A36*Table!$AC$9/$AC$16</f>
        <v>1.4187781252052953</v>
      </c>
      <c r="M36" s="97">
        <f>A36*Table!$AD$9/$AC$16</f>
        <v>0.48643821435610124</v>
      </c>
      <c r="N36" s="97">
        <f>ABS(A36*Table!$AE$9/$AC$16)</f>
        <v>0.61434894938072238</v>
      </c>
      <c r="O36" s="97">
        <f>($L36*(Table!$AC$10/Table!$AC$9)/(Table!$AC$12-Table!$AC$14))</f>
        <v>3.043282121847481</v>
      </c>
      <c r="P36" s="97">
        <f>$N36*(Table!$AE$10/Table!$AE$9)/(Table!$AC$12-Table!$AC$13)</f>
        <v>5.0439158405642219</v>
      </c>
      <c r="Q36" s="97">
        <f>'Raw Data'!C36</f>
        <v>0</v>
      </c>
      <c r="R36" s="97">
        <f>'Raw Data'!C36/'Raw Data'!I$30*100</f>
        <v>0</v>
      </c>
      <c r="S36" s="38">
        <f t="shared" si="7"/>
        <v>0</v>
      </c>
      <c r="T36" s="38">
        <f t="shared" si="8"/>
        <v>1</v>
      </c>
      <c r="U36" s="10">
        <f t="shared" si="9"/>
        <v>0</v>
      </c>
      <c r="V36" s="10">
        <f t="shared" si="10"/>
        <v>0</v>
      </c>
      <c r="W36" s="10">
        <f t="shared" si="11"/>
        <v>0</v>
      </c>
      <c r="X36" s="148">
        <f t="shared" si="12"/>
        <v>0</v>
      </c>
      <c r="AS36" s="13"/>
      <c r="AT36" s="13"/>
    </row>
    <row r="37" spans="1:46" ht="12.4" customHeight="1" x14ac:dyDescent="0.2">
      <c r="A37" s="97">
        <f>'Raw Data'!A37</f>
        <v>8.242253303527832</v>
      </c>
      <c r="B37" s="107">
        <f>'Raw Data'!E37</f>
        <v>0</v>
      </c>
      <c r="C37" s="107">
        <f t="shared" si="1"/>
        <v>1</v>
      </c>
      <c r="D37" s="87">
        <f t="shared" si="2"/>
        <v>0</v>
      </c>
      <c r="E37" s="80">
        <f>(2*Table!$AC$16*0.147)/A37</f>
        <v>13.252477583718827</v>
      </c>
      <c r="F37" s="80">
        <f t="shared" si="3"/>
        <v>26.504955167437654</v>
      </c>
      <c r="G37" s="97">
        <f>IF((('Raw Data'!C37)/('Raw Data'!C$136)*100)&lt;0,0,('Raw Data'!C37)/('Raw Data'!C$136)*100)</f>
        <v>0</v>
      </c>
      <c r="H37" s="97">
        <f t="shared" si="4"/>
        <v>0</v>
      </c>
      <c r="I37" s="23">
        <f t="shared" si="5"/>
        <v>3.9233808250434432E-2</v>
      </c>
      <c r="J37" s="80">
        <f>'Raw Data'!F37/I37</f>
        <v>0</v>
      </c>
      <c r="K37" s="110">
        <f t="shared" si="6"/>
        <v>7.7825969228075822E-3</v>
      </c>
      <c r="L37" s="97">
        <f>A37*Table!$AC$9/$AC$16</f>
        <v>1.5529171711471756</v>
      </c>
      <c r="M37" s="97">
        <f>A37*Table!$AD$9/$AC$16</f>
        <v>0.53242874439331733</v>
      </c>
      <c r="N37" s="97">
        <f>ABS(A37*Table!$AE$9/$AC$16)</f>
        <v>0.67243286009326042</v>
      </c>
      <c r="O37" s="97">
        <f>($L37*(Table!$AC$10/Table!$AC$9)/(Table!$AC$12-Table!$AC$14))</f>
        <v>3.3310106631213556</v>
      </c>
      <c r="P37" s="97">
        <f>$N37*(Table!$AE$10/Table!$AE$9)/(Table!$AC$12-Table!$AC$13)</f>
        <v>5.5207952388609218</v>
      </c>
      <c r="Q37" s="97">
        <f>'Raw Data'!C37</f>
        <v>0</v>
      </c>
      <c r="R37" s="97">
        <f>'Raw Data'!C37/'Raw Data'!I$30*100</f>
        <v>0</v>
      </c>
      <c r="S37" s="38">
        <f t="shared" si="7"/>
        <v>0</v>
      </c>
      <c r="T37" s="38">
        <f t="shared" si="8"/>
        <v>1</v>
      </c>
      <c r="U37" s="10">
        <f t="shared" si="9"/>
        <v>0</v>
      </c>
      <c r="V37" s="10">
        <f t="shared" si="10"/>
        <v>0</v>
      </c>
      <c r="W37" s="10">
        <f t="shared" si="11"/>
        <v>0</v>
      </c>
      <c r="X37" s="148">
        <f t="shared" si="12"/>
        <v>0</v>
      </c>
      <c r="AS37" s="13"/>
      <c r="AT37" s="13"/>
    </row>
    <row r="38" spans="1:46" ht="12.4" customHeight="1" x14ac:dyDescent="0.2">
      <c r="A38" s="97">
        <f>'Raw Data'!A38</f>
        <v>9.024317741394043</v>
      </c>
      <c r="B38" s="107">
        <f>'Raw Data'!E38</f>
        <v>0</v>
      </c>
      <c r="C38" s="107">
        <f t="shared" si="1"/>
        <v>1</v>
      </c>
      <c r="D38" s="87">
        <f t="shared" si="2"/>
        <v>0</v>
      </c>
      <c r="E38" s="80">
        <f>(2*Table!$AC$16*0.147)/A38</f>
        <v>12.103992819678972</v>
      </c>
      <c r="F38" s="80">
        <f t="shared" si="3"/>
        <v>24.207985639357943</v>
      </c>
      <c r="G38" s="97">
        <f>IF((('Raw Data'!C38)/('Raw Data'!C$136)*100)&lt;0,0,('Raw Data'!C38)/('Raw Data'!C$136)*100)</f>
        <v>0</v>
      </c>
      <c r="H38" s="97">
        <f t="shared" si="4"/>
        <v>0</v>
      </c>
      <c r="I38" s="23">
        <f t="shared" si="5"/>
        <v>3.9368420915919522E-2</v>
      </c>
      <c r="J38" s="80">
        <f>'Raw Data'!F38/I38</f>
        <v>0</v>
      </c>
      <c r="K38" s="110">
        <f t="shared" si="6"/>
        <v>8.5210469635227434E-3</v>
      </c>
      <c r="L38" s="97">
        <f>A38*Table!$AC$9/$AC$16</f>
        <v>1.7002653840425719</v>
      </c>
      <c r="M38" s="97">
        <f>A38*Table!$AD$9/$AC$16</f>
        <v>0.58294813167173887</v>
      </c>
      <c r="N38" s="97">
        <f>ABS(A38*Table!$AE$9/$AC$16)</f>
        <v>0.73623650787808603</v>
      </c>
      <c r="O38" s="97">
        <f>($L38*(Table!$AC$10/Table!$AC$9)/(Table!$AC$12-Table!$AC$14))</f>
        <v>3.6470728958442131</v>
      </c>
      <c r="P38" s="97">
        <f>$N38*(Table!$AE$10/Table!$AE$9)/(Table!$AC$12-Table!$AC$13)</f>
        <v>6.0446347116427415</v>
      </c>
      <c r="Q38" s="97">
        <f>'Raw Data'!C38</f>
        <v>0</v>
      </c>
      <c r="R38" s="97">
        <f>'Raw Data'!C38/'Raw Data'!I$30*100</f>
        <v>0</v>
      </c>
      <c r="S38" s="38">
        <f t="shared" si="7"/>
        <v>0</v>
      </c>
      <c r="T38" s="38">
        <f t="shared" si="8"/>
        <v>1</v>
      </c>
      <c r="U38" s="10">
        <f t="shared" si="9"/>
        <v>0</v>
      </c>
      <c r="V38" s="10">
        <f t="shared" si="10"/>
        <v>0</v>
      </c>
      <c r="W38" s="10">
        <f t="shared" si="11"/>
        <v>0</v>
      </c>
      <c r="X38" s="148">
        <f t="shared" si="12"/>
        <v>0</v>
      </c>
      <c r="AS38" s="13"/>
      <c r="AT38" s="13"/>
    </row>
    <row r="39" spans="1:46" ht="12.4" customHeight="1" x14ac:dyDescent="0.2">
      <c r="A39" s="97">
        <f>'Raw Data'!A39</f>
        <v>9.8707351684570312</v>
      </c>
      <c r="B39" s="107">
        <f>'Raw Data'!E39</f>
        <v>0</v>
      </c>
      <c r="C39" s="107">
        <f t="shared" si="1"/>
        <v>1</v>
      </c>
      <c r="D39" s="87">
        <f t="shared" si="2"/>
        <v>0</v>
      </c>
      <c r="E39" s="80">
        <f>(2*Table!$AC$16*0.147)/A39</f>
        <v>11.066073122232257</v>
      </c>
      <c r="F39" s="80">
        <f t="shared" si="3"/>
        <v>22.132146244464515</v>
      </c>
      <c r="G39" s="97">
        <f>IF((('Raw Data'!C39)/('Raw Data'!C$136)*100)&lt;0,0,('Raw Data'!C39)/('Raw Data'!C$136)*100)</f>
        <v>0</v>
      </c>
      <c r="H39" s="97">
        <f t="shared" si="4"/>
        <v>0</v>
      </c>
      <c r="I39" s="23">
        <f t="shared" si="5"/>
        <v>3.8935121771189518E-2</v>
      </c>
      <c r="J39" s="80">
        <f>'Raw Data'!F39/I39</f>
        <v>0</v>
      </c>
      <c r="K39" s="110">
        <f t="shared" si="6"/>
        <v>9.3202611372064908E-3</v>
      </c>
      <c r="L39" s="97">
        <f>A39*Table!$AC$9/$AC$16</f>
        <v>1.8597382985527013</v>
      </c>
      <c r="M39" s="97">
        <f>A39*Table!$AD$9/$AC$16</f>
        <v>0.63762455950378327</v>
      </c>
      <c r="N39" s="97">
        <f>ABS(A39*Table!$AE$9/$AC$16)</f>
        <v>0.80529030546874414</v>
      </c>
      <c r="O39" s="97">
        <f>($L39*(Table!$AC$10/Table!$AC$9)/(Table!$AC$12-Table!$AC$14))</f>
        <v>3.9891426395381844</v>
      </c>
      <c r="P39" s="97">
        <f>$N39*(Table!$AE$10/Table!$AE$9)/(Table!$AC$12-Table!$AC$13)</f>
        <v>6.6115788626333662</v>
      </c>
      <c r="Q39" s="97">
        <f>'Raw Data'!C39</f>
        <v>0</v>
      </c>
      <c r="R39" s="97">
        <f>'Raw Data'!C39/'Raw Data'!I$30*100</f>
        <v>0</v>
      </c>
      <c r="S39" s="38">
        <f t="shared" si="7"/>
        <v>0</v>
      </c>
      <c r="T39" s="38">
        <f t="shared" si="8"/>
        <v>1</v>
      </c>
      <c r="U39" s="10">
        <f t="shared" si="9"/>
        <v>0</v>
      </c>
      <c r="V39" s="10">
        <f t="shared" si="10"/>
        <v>0</v>
      </c>
      <c r="W39" s="10">
        <f t="shared" si="11"/>
        <v>0</v>
      </c>
      <c r="X39" s="148">
        <f t="shared" si="12"/>
        <v>0</v>
      </c>
      <c r="AS39" s="13"/>
      <c r="AT39" s="13"/>
    </row>
    <row r="40" spans="1:46" ht="12.4" customHeight="1" x14ac:dyDescent="0.2">
      <c r="A40" s="97">
        <f>'Raw Data'!A40</f>
        <v>10.769113540649414</v>
      </c>
      <c r="B40" s="107">
        <f>'Raw Data'!E40</f>
        <v>0</v>
      </c>
      <c r="C40" s="107">
        <f t="shared" si="1"/>
        <v>1</v>
      </c>
      <c r="D40" s="87">
        <f t="shared" si="2"/>
        <v>0</v>
      </c>
      <c r="E40" s="80">
        <f>(2*Table!$AC$16*0.147)/A40</f>
        <v>10.142921860005581</v>
      </c>
      <c r="F40" s="80">
        <f t="shared" si="3"/>
        <v>20.285843720011162</v>
      </c>
      <c r="G40" s="97">
        <f>IF((('Raw Data'!C40)/('Raw Data'!C$136)*100)&lt;0,0,('Raw Data'!C40)/('Raw Data'!C$136)*100)</f>
        <v>0</v>
      </c>
      <c r="H40" s="97">
        <f t="shared" si="4"/>
        <v>0</v>
      </c>
      <c r="I40" s="23">
        <f t="shared" si="5"/>
        <v>3.7830455872504221E-2</v>
      </c>
      <c r="J40" s="80">
        <f>'Raw Data'!F40/I40</f>
        <v>0</v>
      </c>
      <c r="K40" s="110">
        <f t="shared" si="6"/>
        <v>1.0168538482911063E-2</v>
      </c>
      <c r="L40" s="97">
        <f>A40*Table!$AC$9/$AC$16</f>
        <v>2.0290011383355635</v>
      </c>
      <c r="M40" s="97">
        <f>A40*Table!$AD$9/$AC$16</f>
        <v>0.69565753314362189</v>
      </c>
      <c r="N40" s="97">
        <f>ABS(A40*Table!$AE$9/$AC$16)</f>
        <v>0.87858326505307127</v>
      </c>
      <c r="O40" s="97">
        <f>($L40*(Table!$AC$10/Table!$AC$9)/(Table!$AC$12-Table!$AC$14))</f>
        <v>4.3522117939415788</v>
      </c>
      <c r="P40" s="97">
        <f>$N40*(Table!$AE$10/Table!$AE$9)/(Table!$AC$12-Table!$AC$13)</f>
        <v>7.2133272992862985</v>
      </c>
      <c r="Q40" s="97">
        <f>'Raw Data'!C40</f>
        <v>0</v>
      </c>
      <c r="R40" s="97">
        <f>'Raw Data'!C40/'Raw Data'!I$30*100</f>
        <v>0</v>
      </c>
      <c r="S40" s="38">
        <f t="shared" si="7"/>
        <v>0</v>
      </c>
      <c r="T40" s="38">
        <f t="shared" si="8"/>
        <v>1</v>
      </c>
      <c r="U40" s="10">
        <f t="shared" si="9"/>
        <v>0</v>
      </c>
      <c r="V40" s="10">
        <f t="shared" si="10"/>
        <v>0</v>
      </c>
      <c r="W40" s="10">
        <f t="shared" si="11"/>
        <v>0</v>
      </c>
      <c r="X40" s="148">
        <f t="shared" si="12"/>
        <v>0</v>
      </c>
      <c r="AS40" s="13"/>
      <c r="AT40" s="13"/>
    </row>
    <row r="41" spans="1:46" ht="12.4" customHeight="1" x14ac:dyDescent="0.2">
      <c r="A41" s="97">
        <f>'Raw Data'!A41</f>
        <v>11.878936767578125</v>
      </c>
      <c r="B41" s="107">
        <f>'Raw Data'!E41</f>
        <v>0</v>
      </c>
      <c r="C41" s="107">
        <f t="shared" si="1"/>
        <v>1</v>
      </c>
      <c r="D41" s="87">
        <f t="shared" si="2"/>
        <v>0</v>
      </c>
      <c r="E41" s="80">
        <f>(2*Table!$AC$16*0.147)/A41</f>
        <v>9.1952907302666702</v>
      </c>
      <c r="F41" s="80">
        <f t="shared" si="3"/>
        <v>18.39058146053334</v>
      </c>
      <c r="G41" s="97">
        <f>IF((('Raw Data'!C41)/('Raw Data'!C$136)*100)&lt;0,0,('Raw Data'!C41)/('Raw Data'!C$136)*100)</f>
        <v>0</v>
      </c>
      <c r="H41" s="97">
        <f t="shared" si="4"/>
        <v>0</v>
      </c>
      <c r="I41" s="23">
        <f t="shared" si="5"/>
        <v>4.2597614729538713E-2</v>
      </c>
      <c r="J41" s="80">
        <f>'Raw Data'!F41/I41</f>
        <v>0</v>
      </c>
      <c r="K41" s="110">
        <f t="shared" si="6"/>
        <v>1.1216468765162742E-2</v>
      </c>
      <c r="L41" s="97">
        <f>A41*Table!$AC$9/$AC$16</f>
        <v>2.2381021550803282</v>
      </c>
      <c r="M41" s="97">
        <f>A41*Table!$AD$9/$AC$16</f>
        <v>0.76734931031325537</v>
      </c>
      <c r="N41" s="97">
        <f>ABS(A41*Table!$AE$9/$AC$16)</f>
        <v>0.96912666128213187</v>
      </c>
      <c r="O41" s="97">
        <f>($L41*(Table!$AC$10/Table!$AC$9)/(Table!$AC$12-Table!$AC$14))</f>
        <v>4.8007339233812276</v>
      </c>
      <c r="P41" s="97">
        <f>$N41*(Table!$AE$10/Table!$AE$9)/(Table!$AC$12-Table!$AC$13)</f>
        <v>7.9567049366349067</v>
      </c>
      <c r="Q41" s="97">
        <f>'Raw Data'!C41</f>
        <v>0</v>
      </c>
      <c r="R41" s="97">
        <f>'Raw Data'!C41/'Raw Data'!I$30*100</f>
        <v>0</v>
      </c>
      <c r="S41" s="38">
        <f t="shared" si="7"/>
        <v>0</v>
      </c>
      <c r="T41" s="38">
        <f t="shared" si="8"/>
        <v>1</v>
      </c>
      <c r="U41" s="10">
        <f t="shared" si="9"/>
        <v>0</v>
      </c>
      <c r="V41" s="10">
        <f t="shared" si="10"/>
        <v>0</v>
      </c>
      <c r="W41" s="10">
        <f t="shared" si="11"/>
        <v>0</v>
      </c>
      <c r="X41" s="148">
        <f t="shared" si="12"/>
        <v>0</v>
      </c>
      <c r="AS41" s="13"/>
      <c r="AT41" s="13"/>
    </row>
    <row r="42" spans="1:46" ht="12.4" customHeight="1" x14ac:dyDescent="0.2">
      <c r="A42" s="97">
        <f>'Raw Data'!A42</f>
        <v>12.864531517028809</v>
      </c>
      <c r="B42" s="107">
        <f>'Raw Data'!E42</f>
        <v>0</v>
      </c>
      <c r="C42" s="107">
        <f t="shared" si="1"/>
        <v>1</v>
      </c>
      <c r="D42" s="87">
        <f t="shared" si="2"/>
        <v>0</v>
      </c>
      <c r="E42" s="80">
        <f>(2*Table!$AC$16*0.147)/A42</f>
        <v>8.4908087791418367</v>
      </c>
      <c r="F42" s="80">
        <f t="shared" si="3"/>
        <v>16.981617558283673</v>
      </c>
      <c r="G42" s="97">
        <f>IF((('Raw Data'!C42)/('Raw Data'!C$136)*100)&lt;0,0,('Raw Data'!C42)/('Raw Data'!C$136)*100)</f>
        <v>0</v>
      </c>
      <c r="H42" s="97">
        <f t="shared" si="4"/>
        <v>0</v>
      </c>
      <c r="I42" s="23">
        <f t="shared" si="5"/>
        <v>3.461640473214922E-2</v>
      </c>
      <c r="J42" s="80">
        <f>'Raw Data'!F42/I42</f>
        <v>0</v>
      </c>
      <c r="K42" s="110">
        <f t="shared" si="6"/>
        <v>1.2147098579818778E-2</v>
      </c>
      <c r="L42" s="97">
        <f>A42*Table!$AC$9/$AC$16</f>
        <v>2.4237973714065921</v>
      </c>
      <c r="M42" s="97">
        <f>A42*Table!$AD$9/$AC$16</f>
        <v>0.83101624162511734</v>
      </c>
      <c r="N42" s="97">
        <f>ABS(A42*Table!$AE$9/$AC$16)</f>
        <v>1.0495350486320276</v>
      </c>
      <c r="O42" s="97">
        <f>($L42*(Table!$AC$10/Table!$AC$9)/(Table!$AC$12-Table!$AC$14))</f>
        <v>5.1990505607177013</v>
      </c>
      <c r="P42" s="97">
        <f>$N42*(Table!$AE$10/Table!$AE$9)/(Table!$AC$12-Table!$AC$13)</f>
        <v>8.6168723204599935</v>
      </c>
      <c r="Q42" s="97">
        <f>'Raw Data'!C42</f>
        <v>0</v>
      </c>
      <c r="R42" s="97">
        <f>'Raw Data'!C42/'Raw Data'!I$30*100</f>
        <v>0</v>
      </c>
      <c r="S42" s="38">
        <f t="shared" si="7"/>
        <v>0</v>
      </c>
      <c r="T42" s="38">
        <f t="shared" si="8"/>
        <v>1</v>
      </c>
      <c r="U42" s="10">
        <f t="shared" si="9"/>
        <v>0</v>
      </c>
      <c r="V42" s="10">
        <f t="shared" si="10"/>
        <v>0</v>
      </c>
      <c r="W42" s="10">
        <f t="shared" si="11"/>
        <v>0</v>
      </c>
      <c r="X42" s="148">
        <f t="shared" si="12"/>
        <v>0</v>
      </c>
      <c r="AS42" s="13"/>
      <c r="AT42" s="13"/>
    </row>
    <row r="43" spans="1:46" ht="12.4" customHeight="1" x14ac:dyDescent="0.2">
      <c r="A43" s="97">
        <f>'Raw Data'!A43</f>
        <v>14.162136077880859</v>
      </c>
      <c r="B43" s="107">
        <f>'Raw Data'!E43</f>
        <v>0</v>
      </c>
      <c r="C43" s="107">
        <f t="shared" si="1"/>
        <v>1</v>
      </c>
      <c r="D43" s="87">
        <f t="shared" si="2"/>
        <v>0</v>
      </c>
      <c r="E43" s="80">
        <f>(2*Table!$AC$16*0.147)/A43</f>
        <v>7.7128391185942933</v>
      </c>
      <c r="F43" s="80">
        <f t="shared" si="3"/>
        <v>15.425678237188587</v>
      </c>
      <c r="G43" s="97">
        <f>IF((('Raw Data'!C43)/('Raw Data'!C$136)*100)&lt;0,0,('Raw Data'!C43)/('Raw Data'!C$136)*100)</f>
        <v>0</v>
      </c>
      <c r="H43" s="97">
        <f t="shared" si="4"/>
        <v>0</v>
      </c>
      <c r="I43" s="23">
        <f t="shared" si="5"/>
        <v>4.1734787729869938E-2</v>
      </c>
      <c r="J43" s="80">
        <f>'Raw Data'!F43/I43</f>
        <v>0</v>
      </c>
      <c r="K43" s="110">
        <f t="shared" si="6"/>
        <v>1.3372337951919345E-2</v>
      </c>
      <c r="L43" s="97">
        <f>A43*Table!$AC$9/$AC$16</f>
        <v>2.6682781377333868</v>
      </c>
      <c r="M43" s="97">
        <f>A43*Table!$AD$9/$AC$16</f>
        <v>0.91483821865144699</v>
      </c>
      <c r="N43" s="97">
        <f>ABS(A43*Table!$AE$9/$AC$16)</f>
        <v>1.1553983258198732</v>
      </c>
      <c r="O43" s="97">
        <f>($L43*(Table!$AC$10/Table!$AC$9)/(Table!$AC$12-Table!$AC$14))</f>
        <v>5.7234623289004443</v>
      </c>
      <c r="P43" s="97">
        <f>$N43*(Table!$AE$10/Table!$AE$9)/(Table!$AC$12-Table!$AC$13)</f>
        <v>9.4860289476180046</v>
      </c>
      <c r="Q43" s="97">
        <f>'Raw Data'!C43</f>
        <v>0</v>
      </c>
      <c r="R43" s="97">
        <f>'Raw Data'!C43/'Raw Data'!I$30*100</f>
        <v>0</v>
      </c>
      <c r="S43" s="38">
        <f t="shared" si="7"/>
        <v>0</v>
      </c>
      <c r="T43" s="38">
        <f t="shared" si="8"/>
        <v>1</v>
      </c>
      <c r="U43" s="10">
        <f t="shared" si="9"/>
        <v>0</v>
      </c>
      <c r="V43" s="10">
        <f t="shared" si="10"/>
        <v>0</v>
      </c>
      <c r="W43" s="10">
        <f t="shared" si="11"/>
        <v>0</v>
      </c>
      <c r="X43" s="148">
        <f t="shared" si="12"/>
        <v>0</v>
      </c>
      <c r="AS43" s="13"/>
      <c r="AT43" s="13"/>
    </row>
    <row r="44" spans="1:46" ht="12.4" customHeight="1" x14ac:dyDescent="0.2">
      <c r="A44" s="97">
        <f>'Raw Data'!A44</f>
        <v>15.457582473754883</v>
      </c>
      <c r="B44" s="107">
        <f>'Raw Data'!E44</f>
        <v>0</v>
      </c>
      <c r="C44" s="107">
        <f t="shared" si="1"/>
        <v>1</v>
      </c>
      <c r="D44" s="87">
        <f t="shared" si="2"/>
        <v>0</v>
      </c>
      <c r="E44" s="80">
        <f>(2*Table!$AC$16*0.147)/A44</f>
        <v>7.0664528123847914</v>
      </c>
      <c r="F44" s="80">
        <f t="shared" si="3"/>
        <v>14.132905624769583</v>
      </c>
      <c r="G44" s="97">
        <f>IF((('Raw Data'!C44)/('Raw Data'!C$136)*100)&lt;0,0,('Raw Data'!C44)/('Raw Data'!C$136)*100)</f>
        <v>0</v>
      </c>
      <c r="H44" s="97">
        <f t="shared" si="4"/>
        <v>0</v>
      </c>
      <c r="I44" s="23">
        <f t="shared" si="5"/>
        <v>3.801280933053286E-2</v>
      </c>
      <c r="J44" s="80">
        <f>'Raw Data'!F44/I44</f>
        <v>0</v>
      </c>
      <c r="K44" s="110">
        <f t="shared" si="6"/>
        <v>1.45955395162144E-2</v>
      </c>
      <c r="L44" s="97">
        <f>A44*Table!$AC$9/$AC$16</f>
        <v>2.9123522857084851</v>
      </c>
      <c r="M44" s="97">
        <f>A44*Table!$AD$9/$AC$16</f>
        <v>0.99852078367148056</v>
      </c>
      <c r="N44" s="97">
        <f>ABS(A44*Table!$AE$9/$AC$16)</f>
        <v>1.2610855320966119</v>
      </c>
      <c r="O44" s="97">
        <f>($L44*(Table!$AC$10/Table!$AC$9)/(Table!$AC$12-Table!$AC$14))</f>
        <v>6.2470018998466017</v>
      </c>
      <c r="P44" s="97">
        <f>$N44*(Table!$AE$10/Table!$AE$9)/(Table!$AC$12-Table!$AC$13)</f>
        <v>10.353740000793199</v>
      </c>
      <c r="Q44" s="97">
        <f>'Raw Data'!C44</f>
        <v>0</v>
      </c>
      <c r="R44" s="97">
        <f>'Raw Data'!C44/'Raw Data'!I$30*100</f>
        <v>0</v>
      </c>
      <c r="S44" s="38">
        <f t="shared" si="7"/>
        <v>0</v>
      </c>
      <c r="T44" s="38">
        <f t="shared" si="8"/>
        <v>1</v>
      </c>
      <c r="U44" s="10">
        <f t="shared" si="9"/>
        <v>0</v>
      </c>
      <c r="V44" s="10">
        <f t="shared" si="10"/>
        <v>0</v>
      </c>
      <c r="W44" s="10">
        <f t="shared" si="11"/>
        <v>0</v>
      </c>
      <c r="X44" s="148">
        <f t="shared" si="12"/>
        <v>0</v>
      </c>
      <c r="AS44" s="13"/>
      <c r="AT44" s="13"/>
    </row>
    <row r="45" spans="1:46" ht="12.4" customHeight="1" x14ac:dyDescent="0.2">
      <c r="A45" s="97">
        <f>'Raw Data'!A45</f>
        <v>16.859670639038086</v>
      </c>
      <c r="B45" s="107">
        <f>'Raw Data'!E45</f>
        <v>0</v>
      </c>
      <c r="C45" s="107">
        <f t="shared" si="1"/>
        <v>1</v>
      </c>
      <c r="D45" s="87">
        <f t="shared" si="2"/>
        <v>0</v>
      </c>
      <c r="E45" s="80">
        <f>(2*Table!$AC$16*0.147)/A45</f>
        <v>6.4787906883195845</v>
      </c>
      <c r="F45" s="80">
        <f t="shared" si="3"/>
        <v>12.957581376639169</v>
      </c>
      <c r="G45" s="97">
        <f>IF((('Raw Data'!C45)/('Raw Data'!C$136)*100)&lt;0,0,('Raw Data'!C45)/('Raw Data'!C$136)*100)</f>
        <v>0</v>
      </c>
      <c r="H45" s="97">
        <f t="shared" si="4"/>
        <v>0</v>
      </c>
      <c r="I45" s="23">
        <f t="shared" si="5"/>
        <v>3.7707513890602784E-2</v>
      </c>
      <c r="J45" s="80">
        <f>'Raw Data'!F45/I45</f>
        <v>0</v>
      </c>
      <c r="K45" s="110">
        <f t="shared" si="6"/>
        <v>1.5919435620689558E-2</v>
      </c>
      <c r="L45" s="97">
        <f>A45*Table!$AC$9/$AC$16</f>
        <v>3.1765187347544748</v>
      </c>
      <c r="M45" s="97">
        <f>A45*Table!$AD$9/$AC$16</f>
        <v>1.0890921376301055</v>
      </c>
      <c r="N45" s="97">
        <f>ABS(A45*Table!$AE$9/$AC$16)</f>
        <v>1.375472959947289</v>
      </c>
      <c r="O45" s="97">
        <f>($L45*(Table!$AC$10/Table!$AC$9)/(Table!$AC$12-Table!$AC$14))</f>
        <v>6.8136394996878495</v>
      </c>
      <c r="P45" s="97">
        <f>$N45*(Table!$AE$10/Table!$AE$9)/(Table!$AC$12-Table!$AC$13)</f>
        <v>11.29288144455902</v>
      </c>
      <c r="Q45" s="97">
        <f>'Raw Data'!C45</f>
        <v>0</v>
      </c>
      <c r="R45" s="97">
        <f>'Raw Data'!C45/'Raw Data'!I$30*100</f>
        <v>0</v>
      </c>
      <c r="S45" s="38">
        <f t="shared" si="7"/>
        <v>0</v>
      </c>
      <c r="T45" s="38">
        <f t="shared" si="8"/>
        <v>1</v>
      </c>
      <c r="U45" s="10">
        <f t="shared" si="9"/>
        <v>0</v>
      </c>
      <c r="V45" s="10">
        <f t="shared" si="10"/>
        <v>0</v>
      </c>
      <c r="W45" s="10">
        <f t="shared" si="11"/>
        <v>0</v>
      </c>
      <c r="X45" s="148">
        <f t="shared" si="12"/>
        <v>0</v>
      </c>
      <c r="AS45" s="13"/>
      <c r="AT45" s="13"/>
    </row>
    <row r="46" spans="1:46" ht="12.4" customHeight="1" x14ac:dyDescent="0.2">
      <c r="A46" s="97">
        <f>'Raw Data'!A46</f>
        <v>18.490869522094727</v>
      </c>
      <c r="B46" s="107">
        <f>'Raw Data'!E46</f>
        <v>0</v>
      </c>
      <c r="C46" s="107">
        <f t="shared" si="1"/>
        <v>1</v>
      </c>
      <c r="D46" s="87">
        <f t="shared" si="2"/>
        <v>0</v>
      </c>
      <c r="E46" s="80">
        <f>(2*Table!$AC$16*0.147)/A46</f>
        <v>5.9072547677552896</v>
      </c>
      <c r="F46" s="80">
        <f t="shared" si="3"/>
        <v>11.814509535510579</v>
      </c>
      <c r="G46" s="97">
        <f>IF((('Raw Data'!C46)/('Raw Data'!C$136)*100)&lt;0,0,('Raw Data'!C46)/('Raw Data'!C$136)*100)</f>
        <v>0</v>
      </c>
      <c r="H46" s="97">
        <f t="shared" si="4"/>
        <v>0</v>
      </c>
      <c r="I46" s="23">
        <f t="shared" si="5"/>
        <v>4.0108247837023825E-2</v>
      </c>
      <c r="J46" s="80">
        <f>'Raw Data'!F46/I46</f>
        <v>0</v>
      </c>
      <c r="K46" s="110">
        <f t="shared" si="6"/>
        <v>1.7459665329758324E-2</v>
      </c>
      <c r="L46" s="97">
        <f>A46*Table!$AC$9/$AC$16</f>
        <v>3.4838517736420966</v>
      </c>
      <c r="M46" s="97">
        <f>A46*Table!$AD$9/$AC$16</f>
        <v>1.1944634652487189</v>
      </c>
      <c r="N46" s="97">
        <f>ABS(A46*Table!$AE$9/$AC$16)</f>
        <v>1.5085520694967647</v>
      </c>
      <c r="O46" s="97">
        <f>($L46*(Table!$AC$10/Table!$AC$9)/(Table!$AC$12-Table!$AC$14))</f>
        <v>7.4728695273318255</v>
      </c>
      <c r="P46" s="97">
        <f>$N46*(Table!$AE$10/Table!$AE$9)/(Table!$AC$12-Table!$AC$13)</f>
        <v>12.385484971237803</v>
      </c>
      <c r="Q46" s="97">
        <f>'Raw Data'!C46</f>
        <v>0</v>
      </c>
      <c r="R46" s="97">
        <f>'Raw Data'!C46/'Raw Data'!I$30*100</f>
        <v>0</v>
      </c>
      <c r="S46" s="38">
        <f t="shared" si="7"/>
        <v>0</v>
      </c>
      <c r="T46" s="38">
        <f t="shared" si="8"/>
        <v>1</v>
      </c>
      <c r="U46" s="10">
        <f t="shared" si="9"/>
        <v>0</v>
      </c>
      <c r="V46" s="10">
        <f t="shared" si="10"/>
        <v>0</v>
      </c>
      <c r="W46" s="10">
        <f t="shared" si="11"/>
        <v>0</v>
      </c>
      <c r="X46" s="148">
        <f t="shared" si="12"/>
        <v>0</v>
      </c>
      <c r="AS46" s="13"/>
      <c r="AT46" s="13"/>
    </row>
    <row r="47" spans="1:46" ht="12.4" customHeight="1" x14ac:dyDescent="0.2">
      <c r="A47" s="97">
        <f>'Raw Data'!A47</f>
        <v>20.254451751708984</v>
      </c>
      <c r="B47" s="107">
        <f>'Raw Data'!E47</f>
        <v>0</v>
      </c>
      <c r="C47" s="107">
        <f t="shared" si="1"/>
        <v>1</v>
      </c>
      <c r="D47" s="87">
        <f t="shared" si="2"/>
        <v>0</v>
      </c>
      <c r="E47" s="80">
        <f>(2*Table!$AC$16*0.147)/A47</f>
        <v>5.3929021868053608</v>
      </c>
      <c r="F47" s="80">
        <f t="shared" si="3"/>
        <v>10.785804373610722</v>
      </c>
      <c r="G47" s="97">
        <f>IF((('Raw Data'!C47)/('Raw Data'!C$136)*100)&lt;0,0,('Raw Data'!C47)/('Raw Data'!C$136)*100)</f>
        <v>0</v>
      </c>
      <c r="H47" s="97">
        <f t="shared" si="4"/>
        <v>0</v>
      </c>
      <c r="I47" s="23">
        <f t="shared" si="5"/>
        <v>3.956315810073352E-2</v>
      </c>
      <c r="J47" s="80">
        <f>'Raw Data'!F47/I47</f>
        <v>0</v>
      </c>
      <c r="K47" s="110">
        <f t="shared" si="6"/>
        <v>1.9124895592390438E-2</v>
      </c>
      <c r="L47" s="97">
        <f>A47*Table!$AC$9/$AC$16</f>
        <v>3.8161270661189479</v>
      </c>
      <c r="M47" s="97">
        <f>A47*Table!$AD$9/$AC$16</f>
        <v>1.3083864226693536</v>
      </c>
      <c r="N47" s="97">
        <f>ABS(A47*Table!$AE$9/$AC$16)</f>
        <v>1.6524314916641938</v>
      </c>
      <c r="O47" s="97">
        <f>($L47*(Table!$AC$10/Table!$AC$9)/(Table!$AC$12-Table!$AC$14))</f>
        <v>8.185600742425887</v>
      </c>
      <c r="P47" s="97">
        <f>$N47*(Table!$AE$10/Table!$AE$9)/(Table!$AC$12-Table!$AC$13)</f>
        <v>13.566761015305365</v>
      </c>
      <c r="Q47" s="97">
        <f>'Raw Data'!C47</f>
        <v>0</v>
      </c>
      <c r="R47" s="97">
        <f>'Raw Data'!C47/'Raw Data'!I$30*100</f>
        <v>0</v>
      </c>
      <c r="S47" s="38">
        <f t="shared" si="7"/>
        <v>0</v>
      </c>
      <c r="T47" s="38">
        <f t="shared" si="8"/>
        <v>1</v>
      </c>
      <c r="U47" s="10">
        <f t="shared" si="9"/>
        <v>0</v>
      </c>
      <c r="V47" s="10">
        <f t="shared" si="10"/>
        <v>0</v>
      </c>
      <c r="W47" s="10">
        <f t="shared" si="11"/>
        <v>0</v>
      </c>
      <c r="X47" s="148">
        <f t="shared" si="12"/>
        <v>0</v>
      </c>
      <c r="AS47" s="13"/>
      <c r="AT47" s="13"/>
    </row>
    <row r="48" spans="1:46" ht="12.4" customHeight="1" x14ac:dyDescent="0.2">
      <c r="A48" s="97">
        <f>'Raw Data'!A48</f>
        <v>22.186550140380859</v>
      </c>
      <c r="B48" s="107">
        <f>'Raw Data'!E48</f>
        <v>0</v>
      </c>
      <c r="C48" s="107">
        <f t="shared" si="1"/>
        <v>1</v>
      </c>
      <c r="D48" s="87">
        <f t="shared" si="2"/>
        <v>0</v>
      </c>
      <c r="E48" s="80">
        <f>(2*Table!$AC$16*0.147)/A48</f>
        <v>4.9232655123578386</v>
      </c>
      <c r="F48" s="80">
        <f t="shared" si="3"/>
        <v>9.8465310247156772</v>
      </c>
      <c r="G48" s="97">
        <f>IF((('Raw Data'!C48)/('Raw Data'!C$136)*100)&lt;0,0,('Raw Data'!C48)/('Raw Data'!C$136)*100)</f>
        <v>0</v>
      </c>
      <c r="H48" s="97">
        <f t="shared" si="4"/>
        <v>0</v>
      </c>
      <c r="I48" s="23">
        <f t="shared" si="5"/>
        <v>3.956928542625382E-2</v>
      </c>
      <c r="J48" s="80">
        <f>'Raw Data'!F48/I48</f>
        <v>0</v>
      </c>
      <c r="K48" s="110">
        <f t="shared" si="6"/>
        <v>2.0949244155883777E-2</v>
      </c>
      <c r="L48" s="97">
        <f>A48*Table!$AC$9/$AC$16</f>
        <v>4.1801523700768017</v>
      </c>
      <c r="M48" s="97">
        <f>A48*Table!$AD$9/$AC$16</f>
        <v>1.4331950983120463</v>
      </c>
      <c r="N48" s="97">
        <f>ABS(A48*Table!$AE$9/$AC$16)</f>
        <v>1.8100590720881202</v>
      </c>
      <c r="O48" s="97">
        <f>($L48*(Table!$AC$10/Table!$AC$9)/(Table!$AC$12-Table!$AC$14))</f>
        <v>8.966435800250542</v>
      </c>
      <c r="P48" s="97">
        <f>$N48*(Table!$AE$10/Table!$AE$9)/(Table!$AC$12-Table!$AC$13)</f>
        <v>14.860911921905746</v>
      </c>
      <c r="Q48" s="97">
        <f>'Raw Data'!C48</f>
        <v>0</v>
      </c>
      <c r="R48" s="97">
        <f>'Raw Data'!C48/'Raw Data'!I$30*100</f>
        <v>0</v>
      </c>
      <c r="S48" s="38">
        <f t="shared" si="7"/>
        <v>0</v>
      </c>
      <c r="T48" s="38">
        <f t="shared" si="8"/>
        <v>1</v>
      </c>
      <c r="U48" s="10">
        <f t="shared" si="9"/>
        <v>0</v>
      </c>
      <c r="V48" s="10">
        <f t="shared" si="10"/>
        <v>0</v>
      </c>
      <c r="W48" s="10">
        <f t="shared" si="11"/>
        <v>0</v>
      </c>
      <c r="X48" s="148">
        <f t="shared" si="12"/>
        <v>0</v>
      </c>
      <c r="AS48" s="13"/>
      <c r="AT48" s="13"/>
    </row>
    <row r="49" spans="1:46" ht="12.4" customHeight="1" x14ac:dyDescent="0.2">
      <c r="A49" s="97">
        <f>'Raw Data'!A49</f>
        <v>24.263900756835938</v>
      </c>
      <c r="B49" s="107">
        <f>'Raw Data'!E49</f>
        <v>0</v>
      </c>
      <c r="C49" s="107">
        <f t="shared" si="1"/>
        <v>1</v>
      </c>
      <c r="D49" s="87">
        <f t="shared" si="2"/>
        <v>0</v>
      </c>
      <c r="E49" s="80">
        <f>(2*Table!$AC$16*0.147)/A49</f>
        <v>4.5017607943175131</v>
      </c>
      <c r="F49" s="80">
        <f t="shared" si="3"/>
        <v>9.0035215886350262</v>
      </c>
      <c r="G49" s="97">
        <f>IF((('Raw Data'!C49)/('Raw Data'!C$136)*100)&lt;0,0,('Raw Data'!C49)/('Raw Data'!C$136)*100)</f>
        <v>0</v>
      </c>
      <c r="H49" s="97">
        <f t="shared" si="4"/>
        <v>0</v>
      </c>
      <c r="I49" s="23">
        <f t="shared" si="5"/>
        <v>3.8870843368654651E-2</v>
      </c>
      <c r="J49" s="80">
        <f>'Raw Data'!F49/I49</f>
        <v>0</v>
      </c>
      <c r="K49" s="110">
        <f t="shared" si="6"/>
        <v>2.2910744478653027E-2</v>
      </c>
      <c r="L49" s="97">
        <f>A49*Table!$AC$9/$AC$16</f>
        <v>4.5715445445208331</v>
      </c>
      <c r="M49" s="97">
        <f>A49*Table!$AD$9/$AC$16</f>
        <v>1.5673867009785714</v>
      </c>
      <c r="N49" s="97">
        <f>ABS(A49*Table!$AE$9/$AC$16)</f>
        <v>1.9795368550436012</v>
      </c>
      <c r="O49" s="97">
        <f>($L49*(Table!$AC$10/Table!$AC$9)/(Table!$AC$12-Table!$AC$14))</f>
        <v>9.8059728539700419</v>
      </c>
      <c r="P49" s="97">
        <f>$N49*(Table!$AE$10/Table!$AE$9)/(Table!$AC$12-Table!$AC$13)</f>
        <v>16.252355131720861</v>
      </c>
      <c r="Q49" s="97">
        <f>'Raw Data'!C49</f>
        <v>0</v>
      </c>
      <c r="R49" s="97">
        <f>'Raw Data'!C49/'Raw Data'!I$30*100</f>
        <v>0</v>
      </c>
      <c r="S49" s="38">
        <f t="shared" si="7"/>
        <v>0</v>
      </c>
      <c r="T49" s="38">
        <f t="shared" si="8"/>
        <v>1</v>
      </c>
      <c r="U49" s="10">
        <f t="shared" si="9"/>
        <v>0</v>
      </c>
      <c r="V49" s="10">
        <f t="shared" si="10"/>
        <v>0</v>
      </c>
      <c r="W49" s="10">
        <f t="shared" si="11"/>
        <v>0</v>
      </c>
      <c r="X49" s="148">
        <f t="shared" si="12"/>
        <v>0</v>
      </c>
      <c r="AS49" s="13"/>
      <c r="AT49" s="13"/>
    </row>
    <row r="50" spans="1:46" ht="12.4" customHeight="1" x14ac:dyDescent="0.2">
      <c r="A50" s="97">
        <f>'Raw Data'!A50</f>
        <v>26.587152481079102</v>
      </c>
      <c r="B50" s="107">
        <f>'Raw Data'!E50</f>
        <v>0</v>
      </c>
      <c r="C50" s="107">
        <f t="shared" si="1"/>
        <v>1</v>
      </c>
      <c r="D50" s="87">
        <f t="shared" si="2"/>
        <v>0</v>
      </c>
      <c r="E50" s="80">
        <f>(2*Table!$AC$16*0.147)/A50</f>
        <v>4.1083857032854265</v>
      </c>
      <c r="F50" s="80">
        <f t="shared" si="3"/>
        <v>8.216771406570853</v>
      </c>
      <c r="G50" s="97">
        <f>IF((('Raw Data'!C50)/('Raw Data'!C$136)*100)&lt;0,0,('Raw Data'!C50)/('Raw Data'!C$136)*100)</f>
        <v>0</v>
      </c>
      <c r="H50" s="97">
        <f t="shared" si="4"/>
        <v>0</v>
      </c>
      <c r="I50" s="23">
        <f t="shared" si="5"/>
        <v>3.9711205339668987E-2</v>
      </c>
      <c r="J50" s="80">
        <f>'Raw Data'!F50/I50</f>
        <v>0</v>
      </c>
      <c r="K50" s="110">
        <f t="shared" si="6"/>
        <v>2.5104432424674205E-2</v>
      </c>
      <c r="L50" s="97">
        <f>A50*Table!$AC$9/$AC$16</f>
        <v>5.009266774427342</v>
      </c>
      <c r="M50" s="97">
        <f>A50*Table!$AD$9/$AC$16</f>
        <v>1.7174628940893744</v>
      </c>
      <c r="N50" s="97">
        <f>ABS(A50*Table!$AE$9/$AC$16)</f>
        <v>2.169076140493706</v>
      </c>
      <c r="O50" s="97">
        <f>($L50*(Table!$AC$10/Table!$AC$9)/(Table!$AC$12-Table!$AC$14))</f>
        <v>10.744887976034626</v>
      </c>
      <c r="P50" s="97">
        <f>$N50*(Table!$AE$10/Table!$AE$9)/(Table!$AC$12-Table!$AC$13)</f>
        <v>17.808506900605135</v>
      </c>
      <c r="Q50" s="97">
        <f>'Raw Data'!C50</f>
        <v>0</v>
      </c>
      <c r="R50" s="97">
        <f>'Raw Data'!C50/'Raw Data'!I$30*100</f>
        <v>0</v>
      </c>
      <c r="S50" s="38">
        <f t="shared" si="7"/>
        <v>0</v>
      </c>
      <c r="T50" s="38">
        <f t="shared" si="8"/>
        <v>1</v>
      </c>
      <c r="U50" s="10">
        <f t="shared" si="9"/>
        <v>0</v>
      </c>
      <c r="V50" s="10">
        <f t="shared" si="10"/>
        <v>0</v>
      </c>
      <c r="W50" s="10">
        <f t="shared" si="11"/>
        <v>0</v>
      </c>
      <c r="X50" s="148">
        <f t="shared" si="12"/>
        <v>0</v>
      </c>
      <c r="AS50" s="13"/>
      <c r="AT50" s="13"/>
    </row>
    <row r="51" spans="1:46" ht="12.4" customHeight="1" x14ac:dyDescent="0.2">
      <c r="A51" s="97">
        <f>'Raw Data'!A51</f>
        <v>28.972755432128906</v>
      </c>
      <c r="B51" s="107">
        <f>'Raw Data'!E51</f>
        <v>2.9279076142609591E-4</v>
      </c>
      <c r="C51" s="107">
        <f t="shared" si="1"/>
        <v>0.99970720923857392</v>
      </c>
      <c r="D51" s="87">
        <f t="shared" si="2"/>
        <v>2.9279076142609591E-4</v>
      </c>
      <c r="E51" s="80">
        <f>(2*Table!$AC$16*0.147)/A51</f>
        <v>3.7701031715887732</v>
      </c>
      <c r="F51" s="80">
        <f t="shared" si="3"/>
        <v>7.5402063431775463</v>
      </c>
      <c r="G51" s="97">
        <f>IF((('Raw Data'!C51)/('Raw Data'!C$136)*100)&lt;0,0,('Raw Data'!C51)/('Raw Data'!C$136)*100)</f>
        <v>3.1817286654926454E-2</v>
      </c>
      <c r="H51" s="97">
        <f t="shared" si="4"/>
        <v>3.1817286654926454E-2</v>
      </c>
      <c r="I51" s="23">
        <f t="shared" si="5"/>
        <v>3.7317974104937091E-2</v>
      </c>
      <c r="J51" s="80">
        <f>'Raw Data'!F51/I51</f>
        <v>7.8458375206214726E-3</v>
      </c>
      <c r="K51" s="110">
        <f t="shared" si="6"/>
        <v>2.7356994376141315E-2</v>
      </c>
      <c r="L51" s="97">
        <f>A51*Table!$AC$9/$AC$16</f>
        <v>5.4587365552989109</v>
      </c>
      <c r="M51" s="97">
        <f>A51*Table!$AD$9/$AC$16</f>
        <v>1.8715668189596266</v>
      </c>
      <c r="N51" s="97">
        <f>ABS(A51*Table!$AE$9/$AC$16)</f>
        <v>2.3637022647278076</v>
      </c>
      <c r="O51" s="97">
        <f>($L51*(Table!$AC$10/Table!$AC$9)/(Table!$AC$12-Table!$AC$14))</f>
        <v>11.709001620117785</v>
      </c>
      <c r="P51" s="97">
        <f>$N51*(Table!$AE$10/Table!$AE$9)/(Table!$AC$12-Table!$AC$13)</f>
        <v>19.406422534711059</v>
      </c>
      <c r="Q51" s="97">
        <f>'Raw Data'!C51</f>
        <v>4.1623549233190532E-4</v>
      </c>
      <c r="R51" s="97">
        <f>'Raw Data'!C51/'Raw Data'!I$30*100</f>
        <v>5.1437034995021743E-3</v>
      </c>
      <c r="S51" s="38">
        <f t="shared" si="7"/>
        <v>1.2298394890770633E-2</v>
      </c>
      <c r="T51" s="38">
        <f t="shared" si="8"/>
        <v>0.98085793364947282</v>
      </c>
      <c r="U51" s="10">
        <f t="shared" si="9"/>
        <v>1.7753587543827953E-4</v>
      </c>
      <c r="V51" s="10">
        <f t="shared" si="10"/>
        <v>1.8134923787094015E-4</v>
      </c>
      <c r="W51" s="10">
        <f t="shared" si="11"/>
        <v>2.1850677995599012E-2</v>
      </c>
      <c r="X51" s="148">
        <f t="shared" si="12"/>
        <v>2.1850677995599012E-2</v>
      </c>
      <c r="AS51" s="13"/>
      <c r="AT51" s="13"/>
    </row>
    <row r="52" spans="1:46" ht="12.4" customHeight="1" x14ac:dyDescent="0.2">
      <c r="A52" s="97">
        <f>'Raw Data'!A52</f>
        <v>30.809900283813477</v>
      </c>
      <c r="B52" s="107">
        <f>'Raw Data'!E52</f>
        <v>8.6804052287209256E-4</v>
      </c>
      <c r="C52" s="107">
        <f t="shared" si="1"/>
        <v>0.99913195947712796</v>
      </c>
      <c r="D52" s="87">
        <f t="shared" si="2"/>
        <v>5.7524976144599665E-4</v>
      </c>
      <c r="E52" s="80">
        <f>(2*Table!$AC$16*0.147)/A52</f>
        <v>3.5452979768883282</v>
      </c>
      <c r="F52" s="80">
        <f t="shared" si="3"/>
        <v>7.0905959537766563</v>
      </c>
      <c r="G52" s="97">
        <f>IF((('Raw Data'!C52)/('Raw Data'!C$136)*100)&lt;0,0,('Raw Data'!C52)/('Raw Data'!C$136)*100)</f>
        <v>9.4329117523350936E-2</v>
      </c>
      <c r="H52" s="97">
        <f t="shared" si="4"/>
        <v>6.2511830868424489E-2</v>
      </c>
      <c r="I52" s="23">
        <f t="shared" si="5"/>
        <v>2.6700492307689228E-2</v>
      </c>
      <c r="J52" s="80">
        <f>'Raw Data'!F52/I52</f>
        <v>2.1544537636871055E-2</v>
      </c>
      <c r="K52" s="110">
        <f t="shared" si="6"/>
        <v>2.909168479912946E-2</v>
      </c>
      <c r="L52" s="97">
        <f>A52*Table!$AC$9/$AC$16</f>
        <v>5.8048717298687693</v>
      </c>
      <c r="M52" s="97">
        <f>A52*Table!$AD$9/$AC$16</f>
        <v>1.9902417359550066</v>
      </c>
      <c r="N52" s="97">
        <f>ABS(A52*Table!$AE$9/$AC$16)</f>
        <v>2.513583191888237</v>
      </c>
      <c r="O52" s="97">
        <f>($L52*(Table!$AC$10/Table!$AC$9)/(Table!$AC$12-Table!$AC$14))</f>
        <v>12.451462312030824</v>
      </c>
      <c r="P52" s="97">
        <f>$N52*(Table!$AE$10/Table!$AE$9)/(Table!$AC$12-Table!$AC$13)</f>
        <v>20.636972018786832</v>
      </c>
      <c r="Q52" s="97">
        <f>'Raw Data'!C52</f>
        <v>1.234018698683937E-3</v>
      </c>
      <c r="R52" s="97">
        <f>'Raw Data'!C52/'Raw Data'!I$30*100</f>
        <v>1.5249603687833187E-2</v>
      </c>
      <c r="S52" s="38">
        <f t="shared" si="7"/>
        <v>2.4162814060887647E-2</v>
      </c>
      <c r="T52" s="38">
        <f t="shared" si="8"/>
        <v>0.94760063956500695</v>
      </c>
      <c r="U52" s="10">
        <f t="shared" si="9"/>
        <v>4.9495790467860858E-4</v>
      </c>
      <c r="V52" s="10">
        <f t="shared" si="10"/>
        <v>1.0268046599442799E-3</v>
      </c>
      <c r="W52" s="10">
        <f t="shared" si="11"/>
        <v>3.7963217279548919E-2</v>
      </c>
      <c r="X52" s="148">
        <f t="shared" si="12"/>
        <v>5.9813895275147931E-2</v>
      </c>
      <c r="AS52" s="13"/>
      <c r="AT52" s="13"/>
    </row>
    <row r="53" spans="1:46" ht="12.4" customHeight="1" x14ac:dyDescent="0.2">
      <c r="A53" s="97">
        <f>'Raw Data'!A53</f>
        <v>33.470127105712891</v>
      </c>
      <c r="B53" s="107">
        <f>'Raw Data'!E53</f>
        <v>1.3924028564756047E-3</v>
      </c>
      <c r="C53" s="107">
        <f t="shared" si="1"/>
        <v>0.99860759714352443</v>
      </c>
      <c r="D53" s="87">
        <f t="shared" si="2"/>
        <v>5.2436233360351212E-4</v>
      </c>
      <c r="E53" s="80">
        <f>(2*Table!$AC$16*0.147)/A53</f>
        <v>3.263515456614174</v>
      </c>
      <c r="F53" s="80">
        <f t="shared" si="3"/>
        <v>6.5270309132283479</v>
      </c>
      <c r="G53" s="97">
        <f>IF((('Raw Data'!C53)/('Raw Data'!C$136)*100)&lt;0,0,('Raw Data'!C53)/('Raw Data'!C$136)*100)</f>
        <v>0.15131106120916737</v>
      </c>
      <c r="H53" s="97">
        <f t="shared" si="4"/>
        <v>5.6981943685816439E-2</v>
      </c>
      <c r="I53" s="23">
        <f t="shared" si="5"/>
        <v>3.5967068905990218E-2</v>
      </c>
      <c r="J53" s="80">
        <f>'Raw Data'!F53/I53</f>
        <v>1.4578956516419968E-2</v>
      </c>
      <c r="K53" s="110">
        <f t="shared" si="6"/>
        <v>3.1603555317501315E-2</v>
      </c>
      <c r="L53" s="97">
        <f>A53*Table!$AC$9/$AC$16</f>
        <v>6.30608320187069</v>
      </c>
      <c r="M53" s="97">
        <f>A53*Table!$AD$9/$AC$16</f>
        <v>2.1620856692128081</v>
      </c>
      <c r="N53" s="97">
        <f>ABS(A53*Table!$AE$9/$AC$16)</f>
        <v>2.7306141255991654</v>
      </c>
      <c r="O53" s="97">
        <f>($L53*(Table!$AC$10/Table!$AC$9)/(Table!$AC$12-Table!$AC$14))</f>
        <v>13.526561994574628</v>
      </c>
      <c r="P53" s="97">
        <f>$N53*(Table!$AE$10/Table!$AE$9)/(Table!$AC$12-Table!$AC$13)</f>
        <v>22.418835185543227</v>
      </c>
      <c r="Q53" s="97">
        <f>'Raw Data'!C53</f>
        <v>1.9794596170540878E-3</v>
      </c>
      <c r="R53" s="97">
        <f>'Raw Data'!C53/'Raw Data'!I$30*100</f>
        <v>2.4461521294886199E-2</v>
      </c>
      <c r="S53" s="38">
        <f t="shared" si="7"/>
        <v>2.2025336500003472E-2</v>
      </c>
      <c r="T53" s="38">
        <f t="shared" si="8"/>
        <v>0.92191278620969108</v>
      </c>
      <c r="U53" s="10">
        <f t="shared" si="9"/>
        <v>7.3084638183853665E-4</v>
      </c>
      <c r="V53" s="10">
        <f t="shared" si="10"/>
        <v>1.9847363918409776E-3</v>
      </c>
      <c r="W53" s="10">
        <f t="shared" si="11"/>
        <v>2.9322697026892216E-2</v>
      </c>
      <c r="X53" s="148">
        <f t="shared" si="12"/>
        <v>8.9136592302040143E-2</v>
      </c>
      <c r="Z53" s="107"/>
      <c r="AS53" s="13"/>
      <c r="AT53" s="13"/>
    </row>
    <row r="54" spans="1:46" ht="12.4" customHeight="1" x14ac:dyDescent="0.2">
      <c r="A54" s="97">
        <f>'Raw Data'!A54</f>
        <v>36.739761352539063</v>
      </c>
      <c r="B54" s="107">
        <f>'Raw Data'!E54</f>
        <v>2.0522049214381009E-3</v>
      </c>
      <c r="C54" s="107">
        <f t="shared" si="1"/>
        <v>0.99794779507856191</v>
      </c>
      <c r="D54" s="87">
        <f t="shared" si="2"/>
        <v>6.5980206496249623E-4</v>
      </c>
      <c r="E54" s="80">
        <f>(2*Table!$AC$16*0.147)/A54</f>
        <v>2.9730807474824879</v>
      </c>
      <c r="F54" s="80">
        <f t="shared" si="3"/>
        <v>5.9461614949649757</v>
      </c>
      <c r="G54" s="97">
        <f>IF((('Raw Data'!C54)/('Raw Data'!C$136)*100)&lt;0,0,('Raw Data'!C54)/('Raw Data'!C$136)*100)</f>
        <v>0.22301110848584033</v>
      </c>
      <c r="H54" s="97">
        <f t="shared" si="4"/>
        <v>7.1700047276672951E-2</v>
      </c>
      <c r="I54" s="23">
        <f t="shared" si="5"/>
        <v>4.0478969335928705E-2</v>
      </c>
      <c r="J54" s="80">
        <f>'Raw Data'!F54/I54</f>
        <v>1.6299873138737823E-2</v>
      </c>
      <c r="K54" s="110">
        <f t="shared" si="6"/>
        <v>3.4690847650189538E-2</v>
      </c>
      <c r="L54" s="97">
        <f>A54*Table!$AC$9/$AC$16</f>
        <v>6.9221126999078324</v>
      </c>
      <c r="M54" s="97">
        <f>A54*Table!$AD$9/$AC$16</f>
        <v>2.3732957828255423</v>
      </c>
      <c r="N54" s="97">
        <f>ABS(A54*Table!$AE$9/$AC$16)</f>
        <v>2.9973627229895357</v>
      </c>
      <c r="O54" s="97">
        <f>($L54*(Table!$AC$10/Table!$AC$9)/(Table!$AC$12-Table!$AC$14))</f>
        <v>14.847946589248892</v>
      </c>
      <c r="P54" s="97">
        <f>$N54*(Table!$AE$10/Table!$AE$9)/(Table!$AC$12-Table!$AC$13)</f>
        <v>24.608889351309813</v>
      </c>
      <c r="Q54" s="97">
        <f>'Raw Data'!C54</f>
        <v>2.9174435753375298E-3</v>
      </c>
      <c r="R54" s="97">
        <f>'Raw Data'!C54/'Raw Data'!I$30*100</f>
        <v>3.6052823472578023E-2</v>
      </c>
      <c r="S54" s="38">
        <f t="shared" si="7"/>
        <v>2.7714352410340246E-2</v>
      </c>
      <c r="T54" s="38">
        <f t="shared" si="8"/>
        <v>0.89508702480909819</v>
      </c>
      <c r="U54" s="10">
        <f t="shared" si="9"/>
        <v>9.813026036459662E-4</v>
      </c>
      <c r="V54" s="10">
        <f t="shared" si="10"/>
        <v>3.2667183047718354E-3</v>
      </c>
      <c r="W54" s="10">
        <f t="shared" si="11"/>
        <v>3.0621619610830698E-2</v>
      </c>
      <c r="X54" s="148">
        <f t="shared" si="12"/>
        <v>0.11975821191287084</v>
      </c>
      <c r="Z54" s="107"/>
      <c r="AS54" s="13"/>
      <c r="AT54" s="13"/>
    </row>
    <row r="55" spans="1:46" ht="12.4" customHeight="1" x14ac:dyDescent="0.2">
      <c r="A55" s="97">
        <f>'Raw Data'!A55</f>
        <v>40.539108276367188</v>
      </c>
      <c r="B55" s="107">
        <f>'Raw Data'!E55</f>
        <v>3.0752292399651836E-3</v>
      </c>
      <c r="C55" s="107">
        <f t="shared" si="1"/>
        <v>0.99692477076003483</v>
      </c>
      <c r="D55" s="87">
        <f t="shared" si="2"/>
        <v>1.0230243185270827E-3</v>
      </c>
      <c r="E55" s="80">
        <f>(2*Table!$AC$16*0.147)/A55</f>
        <v>2.6944420286622903</v>
      </c>
      <c r="F55" s="80">
        <f t="shared" si="3"/>
        <v>5.3888840573245806</v>
      </c>
      <c r="G55" s="97">
        <f>IF((('Raw Data'!C55)/('Raw Data'!C$136)*100)&lt;0,0,('Raw Data'!C55)/('Raw Data'!C$136)*100)</f>
        <v>0.33418216401708861</v>
      </c>
      <c r="H55" s="97">
        <f t="shared" si="4"/>
        <v>0.11117105553124829</v>
      </c>
      <c r="I55" s="23">
        <f t="shared" si="5"/>
        <v>4.2737860480615841E-2</v>
      </c>
      <c r="J55" s="80">
        <f>'Raw Data'!F55/I55</f>
        <v>2.3937190748963322E-2</v>
      </c>
      <c r="K55" s="110">
        <f t="shared" si="6"/>
        <v>3.8278311489162706E-2</v>
      </c>
      <c r="L55" s="97">
        <f>A55*Table!$AC$9/$AC$16</f>
        <v>7.6379449923505502</v>
      </c>
      <c r="M55" s="97">
        <f>A55*Table!$AD$9/$AC$16</f>
        <v>2.6187239973773315</v>
      </c>
      <c r="N55" s="97">
        <f>ABS(A55*Table!$AE$9/$AC$16)</f>
        <v>3.3073271980418584</v>
      </c>
      <c r="O55" s="97">
        <f>($L55*(Table!$AC$10/Table!$AC$9)/(Table!$AC$12-Table!$AC$14))</f>
        <v>16.383408392000327</v>
      </c>
      <c r="P55" s="97">
        <f>$N55*(Table!$AE$10/Table!$AE$9)/(Table!$AC$12-Table!$AC$13)</f>
        <v>27.153753678504579</v>
      </c>
      <c r="Q55" s="97">
        <f>'Raw Data'!C55</f>
        <v>4.3717894324800007E-3</v>
      </c>
      <c r="R55" s="97">
        <f>'Raw Data'!C55/'Raw Data'!I$30*100</f>
        <v>5.4025158875694257E-2</v>
      </c>
      <c r="S55" s="38">
        <f t="shared" si="7"/>
        <v>4.297115452286334E-2</v>
      </c>
      <c r="T55" s="38">
        <f t="shared" si="8"/>
        <v>0.86092460512743019</v>
      </c>
      <c r="U55" s="10">
        <f t="shared" si="9"/>
        <v>1.332667667660291E-3</v>
      </c>
      <c r="V55" s="10">
        <f t="shared" si="10"/>
        <v>5.4812241570090878E-3</v>
      </c>
      <c r="W55" s="10">
        <f t="shared" si="11"/>
        <v>3.899641858644403E-2</v>
      </c>
      <c r="X55" s="148">
        <f t="shared" si="12"/>
        <v>0.15875463049931487</v>
      </c>
      <c r="Z55" s="107"/>
      <c r="AS55" s="13"/>
      <c r="AT55" s="13"/>
    </row>
    <row r="56" spans="1:46" ht="12.4" customHeight="1" x14ac:dyDescent="0.2">
      <c r="A56" s="97">
        <f>'Raw Data'!A56</f>
        <v>44.377071380615234</v>
      </c>
      <c r="B56" s="107">
        <f>'Raw Data'!E56</f>
        <v>4.2892930628318938E-3</v>
      </c>
      <c r="C56" s="107">
        <f t="shared" si="1"/>
        <v>0.99571070693716812</v>
      </c>
      <c r="D56" s="87">
        <f t="shared" si="2"/>
        <v>1.2140638228667101E-3</v>
      </c>
      <c r="E56" s="80">
        <f>(2*Table!$AC$16*0.147)/A56</f>
        <v>2.4614124759942801</v>
      </c>
      <c r="F56" s="80">
        <f t="shared" si="3"/>
        <v>4.9228249519885603</v>
      </c>
      <c r="G56" s="97">
        <f>IF((('Raw Data'!C56)/('Raw Data'!C$136)*100)&lt;0,0,('Raw Data'!C56)/('Raw Data'!C$136)*100)</f>
        <v>0.46611329627474429</v>
      </c>
      <c r="H56" s="97">
        <f t="shared" si="4"/>
        <v>0.13193113225765568</v>
      </c>
      <c r="I56" s="23">
        <f t="shared" si="5"/>
        <v>3.9284446573596865E-2</v>
      </c>
      <c r="J56" s="80">
        <f>'Raw Data'!F56/I56</f>
        <v>3.0904440020358699E-2</v>
      </c>
      <c r="K56" s="110">
        <f t="shared" si="6"/>
        <v>4.1902237950168855E-2</v>
      </c>
      <c r="L56" s="97">
        <f>A56*Table!$AC$9/$AC$16</f>
        <v>8.3610529322952143</v>
      </c>
      <c r="M56" s="97">
        <f>A56*Table!$AD$9/$AC$16</f>
        <v>2.8666467196440735</v>
      </c>
      <c r="N56" s="97">
        <f>ABS(A56*Table!$AE$9/$AC$16)</f>
        <v>3.6204421208770134</v>
      </c>
      <c r="O56" s="97">
        <f>($L56*(Table!$AC$10/Table!$AC$9)/(Table!$AC$12-Table!$AC$14))</f>
        <v>17.93447647424971</v>
      </c>
      <c r="P56" s="97">
        <f>$N56*(Table!$AE$10/Table!$AE$9)/(Table!$AC$12-Table!$AC$13)</f>
        <v>29.724483751042797</v>
      </c>
      <c r="Q56" s="97">
        <f>'Raw Data'!C56</f>
        <v>6.0977197540923976E-3</v>
      </c>
      <c r="R56" s="97">
        <f>'Raw Data'!C56/'Raw Data'!I$30*100</f>
        <v>7.5353647192340639E-2</v>
      </c>
      <c r="S56" s="38">
        <f t="shared" si="7"/>
        <v>5.0995585528343906E-2</v>
      </c>
      <c r="T56" s="38">
        <f t="shared" si="8"/>
        <v>0.82709201160574275</v>
      </c>
      <c r="U56" s="10">
        <f t="shared" si="9"/>
        <v>1.6980310968708172E-3</v>
      </c>
      <c r="V56" s="10">
        <f t="shared" si="10"/>
        <v>8.2567849218969751E-3</v>
      </c>
      <c r="W56" s="10">
        <f t="shared" si="11"/>
        <v>3.8619921865333036E-2</v>
      </c>
      <c r="X56" s="148">
        <f t="shared" si="12"/>
        <v>0.1973745523646479</v>
      </c>
      <c r="Z56" s="107"/>
      <c r="AS56" s="13"/>
      <c r="AT56" s="13"/>
    </row>
    <row r="57" spans="1:46" ht="12.4" customHeight="1" x14ac:dyDescent="0.2">
      <c r="A57" s="97">
        <f>'Raw Data'!A57</f>
        <v>48.677082061767578</v>
      </c>
      <c r="B57" s="107">
        <f>'Raw Data'!E57</f>
        <v>5.6227436704273147E-3</v>
      </c>
      <c r="C57" s="107">
        <f t="shared" si="1"/>
        <v>0.99437725632957263</v>
      </c>
      <c r="D57" s="87">
        <f t="shared" si="2"/>
        <v>1.3334506075954209E-3</v>
      </c>
      <c r="E57" s="80">
        <f>(2*Table!$AC$16*0.147)/A57</f>
        <v>2.2439775047676438</v>
      </c>
      <c r="F57" s="80">
        <f t="shared" si="3"/>
        <v>4.4879550095352876</v>
      </c>
      <c r="G57" s="97">
        <f>IF((('Raw Data'!C57)/('Raw Data'!C$136)*100)&lt;0,0,('Raw Data'!C57)/('Raw Data'!C$136)*100)</f>
        <v>0.61101807406008568</v>
      </c>
      <c r="H57" s="97">
        <f t="shared" si="4"/>
        <v>0.14490477778534139</v>
      </c>
      <c r="I57" s="23">
        <f t="shared" si="5"/>
        <v>4.0165898617857299E-2</v>
      </c>
      <c r="J57" s="80">
        <f>'Raw Data'!F57/I57</f>
        <v>3.3198575246181201E-2</v>
      </c>
      <c r="K57" s="110">
        <f t="shared" si="6"/>
        <v>4.5962444384355032E-2</v>
      </c>
      <c r="L57" s="97">
        <f>A57*Table!$AC$9/$AC$16</f>
        <v>9.1712149325360492</v>
      </c>
      <c r="M57" s="97">
        <f>A57*Table!$AD$9/$AC$16</f>
        <v>3.1444165482980737</v>
      </c>
      <c r="N57" s="97">
        <f>ABS(A57*Table!$AE$9/$AC$16)</f>
        <v>3.9712525575717024</v>
      </c>
      <c r="O57" s="97">
        <f>($L57*(Table!$AC$10/Table!$AC$9)/(Table!$AC$12-Table!$AC$14))</f>
        <v>19.672275702565528</v>
      </c>
      <c r="P57" s="97">
        <f>$N57*(Table!$AE$10/Table!$AE$9)/(Table!$AC$12-Table!$AC$13)</f>
        <v>32.604700801081293</v>
      </c>
      <c r="Q57" s="97">
        <f>'Raw Data'!C57</f>
        <v>7.9933720193803327E-3</v>
      </c>
      <c r="R57" s="97">
        <f>'Raw Data'!C57/'Raw Data'!I$30*100</f>
        <v>9.8779504358373973E-2</v>
      </c>
      <c r="S57" s="38">
        <f t="shared" si="7"/>
        <v>5.6010312824320146E-2</v>
      </c>
      <c r="T57" s="38">
        <f t="shared" si="8"/>
        <v>0.79620763004352291</v>
      </c>
      <c r="U57" s="10">
        <f t="shared" si="9"/>
        <v>2.0292815463554322E-3</v>
      </c>
      <c r="V57" s="10">
        <f t="shared" si="10"/>
        <v>1.1160630634353966E-2</v>
      </c>
      <c r="W57" s="10">
        <f t="shared" si="11"/>
        <v>3.5254536487942877E-2</v>
      </c>
      <c r="X57" s="148">
        <f t="shared" si="12"/>
        <v>0.23262908885259079</v>
      </c>
      <c r="Z57" s="107"/>
      <c r="AS57" s="13"/>
      <c r="AT57" s="13"/>
    </row>
    <row r="58" spans="1:46" ht="12.4" customHeight="1" x14ac:dyDescent="0.2">
      <c r="A58" s="97">
        <f>'Raw Data'!A58</f>
        <v>53.340179443359375</v>
      </c>
      <c r="B58" s="107">
        <f>'Raw Data'!E58</f>
        <v>7.0617301603437934E-3</v>
      </c>
      <c r="C58" s="107">
        <f t="shared" si="1"/>
        <v>0.99293826983965616</v>
      </c>
      <c r="D58" s="87">
        <f t="shared" si="2"/>
        <v>1.4389864899164787E-3</v>
      </c>
      <c r="E58" s="80">
        <f>(2*Table!$AC$16*0.147)/A58</f>
        <v>2.0478048308840804</v>
      </c>
      <c r="F58" s="80">
        <f t="shared" si="3"/>
        <v>4.0956096617681608</v>
      </c>
      <c r="G58" s="97">
        <f>IF((('Raw Data'!C58)/('Raw Data'!C$136)*100)&lt;0,0,('Raw Data'!C58)/('Raw Data'!C$136)*100)</f>
        <v>0.76739133330923615</v>
      </c>
      <c r="H58" s="97">
        <f t="shared" si="4"/>
        <v>0.15637325924915046</v>
      </c>
      <c r="I58" s="23">
        <f t="shared" si="5"/>
        <v>3.9729935740011768E-2</v>
      </c>
      <c r="J58" s="80">
        <f>'Raw Data'!F58/I58</f>
        <v>3.6219200034277539E-2</v>
      </c>
      <c r="K58" s="110">
        <f t="shared" si="6"/>
        <v>5.0365488794212612E-2</v>
      </c>
      <c r="L58" s="97">
        <f>A58*Table!$AC$9/$AC$16</f>
        <v>10.049785843661272</v>
      </c>
      <c r="M58" s="97">
        <f>A58*Table!$AD$9/$AC$16</f>
        <v>3.4456408606838651</v>
      </c>
      <c r="N58" s="97">
        <f>ABS(A58*Table!$AE$9/$AC$16)</f>
        <v>4.3516849216019455</v>
      </c>
      <c r="O58" s="97">
        <f>($L58*(Table!$AC$10/Table!$AC$9)/(Table!$AC$12-Table!$AC$14))</f>
        <v>21.556812191465625</v>
      </c>
      <c r="P58" s="97">
        <f>$N58*(Table!$AE$10/Table!$AE$9)/(Table!$AC$12-Table!$AC$13)</f>
        <v>35.728119224974918</v>
      </c>
      <c r="Q58" s="97">
        <f>'Raw Data'!C58</f>
        <v>1.0039055589353665E-2</v>
      </c>
      <c r="R58" s="97">
        <f>'Raw Data'!C58/'Raw Data'!I$30*100</f>
        <v>0.12405939983003499</v>
      </c>
      <c r="S58" s="38">
        <f t="shared" si="7"/>
        <v>6.0443246259816813E-2</v>
      </c>
      <c r="T58" s="38">
        <f t="shared" si="8"/>
        <v>0.76845150593175249</v>
      </c>
      <c r="U58" s="10">
        <f t="shared" si="9"/>
        <v>2.3258151945621144E-3</v>
      </c>
      <c r="V58" s="10">
        <f t="shared" si="10"/>
        <v>1.4055670404347869E-2</v>
      </c>
      <c r="W58" s="10">
        <f t="shared" si="11"/>
        <v>3.1683629095532524E-2</v>
      </c>
      <c r="X58" s="148">
        <f t="shared" si="12"/>
        <v>0.26431271794812333</v>
      </c>
      <c r="Z58" s="107"/>
      <c r="AS58" s="13"/>
      <c r="AT58" s="13"/>
    </row>
    <row r="59" spans="1:46" ht="12.4" customHeight="1" x14ac:dyDescent="0.2">
      <c r="A59" s="97">
        <f>'Raw Data'!A59</f>
        <v>58.657379150390625</v>
      </c>
      <c r="B59" s="107">
        <f>'Raw Data'!E59</f>
        <v>8.47719179737964E-3</v>
      </c>
      <c r="C59" s="107">
        <f t="shared" si="1"/>
        <v>0.9915228082026204</v>
      </c>
      <c r="D59" s="87">
        <f t="shared" si="2"/>
        <v>1.4154616370358466E-3</v>
      </c>
      <c r="E59" s="80">
        <f>(2*Table!$AC$16*0.147)/A59</f>
        <v>1.8621745247819794</v>
      </c>
      <c r="F59" s="80">
        <f t="shared" si="3"/>
        <v>3.7243490495639588</v>
      </c>
      <c r="G59" s="97">
        <f>IF((('Raw Data'!C59)/('Raw Data'!C$136)*100)&lt;0,0,('Raw Data'!C59)/('Raw Data'!C$136)*100)</f>
        <v>0.92120816972601161</v>
      </c>
      <c r="H59" s="97">
        <f t="shared" si="4"/>
        <v>0.15381683641677546</v>
      </c>
      <c r="I59" s="23">
        <f t="shared" si="5"/>
        <v>4.1268182139987342E-2</v>
      </c>
      <c r="J59" s="80">
        <f>'Raw Data'!F59/I59</f>
        <v>3.4299103174314935E-2</v>
      </c>
      <c r="K59" s="110">
        <f t="shared" si="6"/>
        <v>5.5386157360681289E-2</v>
      </c>
      <c r="L59" s="97">
        <f>A59*Table!$AC$9/$AC$16</f>
        <v>11.051595715718147</v>
      </c>
      <c r="M59" s="97">
        <f>A59*Table!$AD$9/$AC$16</f>
        <v>3.7891185311033642</v>
      </c>
      <c r="N59" s="97">
        <f>ABS(A59*Table!$AE$9/$AC$16)</f>
        <v>4.7854813210835898</v>
      </c>
      <c r="O59" s="97">
        <f>($L59*(Table!$AC$10/Table!$AC$9)/(Table!$AC$12-Table!$AC$14))</f>
        <v>23.705696515911946</v>
      </c>
      <c r="P59" s="97">
        <f>$N59*(Table!$AE$10/Table!$AE$9)/(Table!$AC$12-Table!$AC$13)</f>
        <v>39.289666018748676</v>
      </c>
      <c r="Q59" s="97">
        <f>'Raw Data'!C59</f>
        <v>1.205129589536227E-2</v>
      </c>
      <c r="R59" s="97">
        <f>'Raw Data'!C59/'Raw Data'!I$30*100</f>
        <v>0.14892601426954183</v>
      </c>
      <c r="S59" s="38">
        <f t="shared" si="7"/>
        <v>5.9455107395516189E-2</v>
      </c>
      <c r="T59" s="38">
        <f t="shared" si="8"/>
        <v>0.74587463016395439</v>
      </c>
      <c r="U59" s="10">
        <f t="shared" si="9"/>
        <v>2.5389135421088802E-3</v>
      </c>
      <c r="V59" s="10">
        <f t="shared" si="10"/>
        <v>1.6301685676400612E-2</v>
      </c>
      <c r="W59" s="10">
        <f t="shared" si="11"/>
        <v>2.5771514606374408E-2</v>
      </c>
      <c r="X59" s="148">
        <f t="shared" si="12"/>
        <v>0.29008423255449772</v>
      </c>
      <c r="Z59" s="107"/>
      <c r="AS59" s="13"/>
      <c r="AT59" s="13"/>
    </row>
    <row r="60" spans="1:46" ht="12.4" customHeight="1" x14ac:dyDescent="0.2">
      <c r="A60" s="97">
        <f>'Raw Data'!A60</f>
        <v>63.812255859375</v>
      </c>
      <c r="B60" s="107">
        <f>'Raw Data'!E60</f>
        <v>1.0140680604310094E-2</v>
      </c>
      <c r="C60" s="107">
        <f t="shared" si="1"/>
        <v>0.98985931939568994</v>
      </c>
      <c r="D60" s="87">
        <f t="shared" si="2"/>
        <v>1.6634888069304542E-3</v>
      </c>
      <c r="E60" s="80">
        <f>(2*Table!$AC$16*0.147)/A60</f>
        <v>1.7117444865928124</v>
      </c>
      <c r="F60" s="80">
        <f t="shared" si="3"/>
        <v>3.4234889731856248</v>
      </c>
      <c r="G60" s="97">
        <f>IF((('Raw Data'!C60)/('Raw Data'!C$136)*100)&lt;0,0,('Raw Data'!C60)/('Raw Data'!C$136)*100)</f>
        <v>1.1019778769379911</v>
      </c>
      <c r="H60" s="97">
        <f t="shared" si="4"/>
        <v>0.18076970721197949</v>
      </c>
      <c r="I60" s="23">
        <f t="shared" si="5"/>
        <v>3.6581443338055575E-2</v>
      </c>
      <c r="J60" s="80">
        <f>'Raw Data'!F60/I60</f>
        <v>4.5473569524249233E-2</v>
      </c>
      <c r="K60" s="110">
        <f t="shared" si="6"/>
        <v>6.0253555405294028E-2</v>
      </c>
      <c r="L60" s="97">
        <f>A60*Table!$AC$9/$AC$16</f>
        <v>12.022822425421687</v>
      </c>
      <c r="M60" s="97">
        <f>A60*Table!$AD$9/$AC$16</f>
        <v>4.1221105458588641</v>
      </c>
      <c r="N60" s="97">
        <f>ABS(A60*Table!$AE$9/$AC$16)</f>
        <v>5.2060348228022111</v>
      </c>
      <c r="O60" s="97">
        <f>($L60*(Table!$AC$10/Table!$AC$9)/(Table!$AC$12-Table!$AC$14))</f>
        <v>25.788979891509417</v>
      </c>
      <c r="P60" s="97">
        <f>$N60*(Table!$AE$10/Table!$AE$9)/(Table!$AC$12-Table!$AC$13)</f>
        <v>42.7424862299032</v>
      </c>
      <c r="Q60" s="97">
        <f>'Raw Data'!C60</f>
        <v>1.4416135138133539E-2</v>
      </c>
      <c r="R60" s="97">
        <f>'Raw Data'!C60/'Raw Data'!I$30*100</f>
        <v>0.17814993225081543</v>
      </c>
      <c r="S60" s="38">
        <f t="shared" si="7"/>
        <v>6.9873250591520289E-2</v>
      </c>
      <c r="T60" s="38">
        <f t="shared" si="8"/>
        <v>0.72345529465690839</v>
      </c>
      <c r="U60" s="10">
        <f t="shared" si="9"/>
        <v>2.7917823911978576E-3</v>
      </c>
      <c r="V60" s="10">
        <f t="shared" si="10"/>
        <v>1.9140735408968601E-2</v>
      </c>
      <c r="W60" s="10">
        <f t="shared" si="11"/>
        <v>2.5591682322544652E-2</v>
      </c>
      <c r="X60" s="148">
        <f t="shared" si="12"/>
        <v>0.31567591487704239</v>
      </c>
      <c r="Z60" s="107"/>
      <c r="AS60" s="13"/>
      <c r="AT60" s="13"/>
    </row>
    <row r="61" spans="1:46" ht="12.4" customHeight="1" x14ac:dyDescent="0.2">
      <c r="A61" s="97">
        <f>'Raw Data'!A61</f>
        <v>70.363182067871094</v>
      </c>
      <c r="B61" s="107">
        <f>'Raw Data'!E61</f>
        <v>1.2617863836677361E-2</v>
      </c>
      <c r="C61" s="107">
        <f t="shared" si="1"/>
        <v>0.9873821361633226</v>
      </c>
      <c r="D61" s="87">
        <f t="shared" si="2"/>
        <v>2.4771832323672669E-3</v>
      </c>
      <c r="E61" s="80">
        <f>(2*Table!$AC$16*0.147)/A61</f>
        <v>1.5523783026039588</v>
      </c>
      <c r="F61" s="80">
        <f t="shared" si="3"/>
        <v>3.1047566052079176</v>
      </c>
      <c r="G61" s="97">
        <f>IF((('Raw Data'!C61)/('Raw Data'!C$136)*100)&lt;0,0,('Raw Data'!C61)/('Raw Data'!C$136)*100)</f>
        <v>1.3711709642373016</v>
      </c>
      <c r="H61" s="97">
        <f t="shared" si="4"/>
        <v>0.26919308729931046</v>
      </c>
      <c r="I61" s="23">
        <f t="shared" si="5"/>
        <v>4.2441373678870964E-2</v>
      </c>
      <c r="J61" s="80">
        <f>'Raw Data'!F61/I61</f>
        <v>5.8367178478026242E-2</v>
      </c>
      <c r="K61" s="110">
        <f t="shared" si="6"/>
        <v>6.6439147654680439E-2</v>
      </c>
      <c r="L61" s="97">
        <f>A61*Table!$AC$9/$AC$16</f>
        <v>13.257077843383351</v>
      </c>
      <c r="M61" s="97">
        <f>A61*Table!$AD$9/$AC$16</f>
        <v>4.5452838320171489</v>
      </c>
      <c r="N61" s="97">
        <f>ABS(A61*Table!$AE$9/$AC$16)</f>
        <v>5.7404830961589015</v>
      </c>
      <c r="O61" s="97">
        <f>($L61*(Table!$AC$10/Table!$AC$9)/(Table!$AC$12-Table!$AC$14))</f>
        <v>28.436460410517704</v>
      </c>
      <c r="P61" s="97">
        <f>$N61*(Table!$AE$10/Table!$AE$9)/(Table!$AC$12-Table!$AC$13)</f>
        <v>47.130403088332514</v>
      </c>
      <c r="Q61" s="97">
        <f>'Raw Data'!C61</f>
        <v>1.7937733897939321E-2</v>
      </c>
      <c r="R61" s="97">
        <f>'Raw Data'!C61/'Raw Data'!I$30*100</f>
        <v>0.22166870995805479</v>
      </c>
      <c r="S61" s="38">
        <f t="shared" si="7"/>
        <v>0.10405170388594424</v>
      </c>
      <c r="T61" s="38">
        <f t="shared" si="8"/>
        <v>0.69599670432946348</v>
      </c>
      <c r="U61" s="10">
        <f t="shared" si="9"/>
        <v>3.1503508432042917E-3</v>
      </c>
      <c r="V61" s="10">
        <f t="shared" si="10"/>
        <v>2.3479985981413716E-2</v>
      </c>
      <c r="W61" s="10">
        <f t="shared" si="11"/>
        <v>3.134399413684754E-2</v>
      </c>
      <c r="X61" s="148">
        <f t="shared" si="12"/>
        <v>0.3470199090138899</v>
      </c>
      <c r="Z61" s="107"/>
      <c r="AS61" s="13"/>
      <c r="AT61" s="13"/>
    </row>
    <row r="62" spans="1:46" ht="12.4" customHeight="1" x14ac:dyDescent="0.2">
      <c r="A62" s="97">
        <f>'Raw Data'!A62</f>
        <v>76.74688720703125</v>
      </c>
      <c r="B62" s="107">
        <f>'Raw Data'!E62</f>
        <v>1.5297732481744476E-2</v>
      </c>
      <c r="C62" s="107">
        <f t="shared" si="1"/>
        <v>0.98470226751825551</v>
      </c>
      <c r="D62" s="87">
        <f t="shared" si="2"/>
        <v>2.6798686450671145E-3</v>
      </c>
      <c r="E62" s="80">
        <f>(2*Table!$AC$16*0.147)/A62</f>
        <v>1.4232535171058742</v>
      </c>
      <c r="F62" s="80">
        <f t="shared" si="3"/>
        <v>2.8465070342117484</v>
      </c>
      <c r="G62" s="97">
        <f>IF((('Raw Data'!C62)/('Raw Data'!C$136)*100)&lt;0,0,('Raw Data'!C62)/('Raw Data'!C$136)*100)</f>
        <v>1.6623896777730154</v>
      </c>
      <c r="H62" s="97">
        <f t="shared" si="4"/>
        <v>0.29121871353571382</v>
      </c>
      <c r="I62" s="23">
        <f t="shared" si="5"/>
        <v>3.7715298329342117E-2</v>
      </c>
      <c r="J62" s="80">
        <f>'Raw Data'!F62/I62</f>
        <v>7.1055215357588838E-2</v>
      </c>
      <c r="K62" s="110">
        <f t="shared" si="6"/>
        <v>7.2466844467986832E-2</v>
      </c>
      <c r="L62" s="97">
        <f>A62*Table!$AC$9/$AC$16</f>
        <v>14.459827256811252</v>
      </c>
      <c r="M62" s="97">
        <f>A62*Table!$AD$9/$AC$16</f>
        <v>4.9576550594781432</v>
      </c>
      <c r="N62" s="97">
        <f>ABS(A62*Table!$AE$9/$AC$16)</f>
        <v>6.2612888693665987</v>
      </c>
      <c r="O62" s="97">
        <f>($L62*(Table!$AC$10/Table!$AC$9)/(Table!$AC$12-Table!$AC$14))</f>
        <v>31.016360482220623</v>
      </c>
      <c r="P62" s="97">
        <f>$N62*(Table!$AE$10/Table!$AE$9)/(Table!$AC$12-Table!$AC$13)</f>
        <v>51.406312556376008</v>
      </c>
      <c r="Q62" s="97">
        <f>'Raw Data'!C62</f>
        <v>2.1747473110444841E-2</v>
      </c>
      <c r="R62" s="97">
        <f>'Raw Data'!C62/'Raw Data'!I$30*100</f>
        <v>0.26874823412301801</v>
      </c>
      <c r="S62" s="38">
        <f t="shared" si="7"/>
        <v>0.11256531009346364</v>
      </c>
      <c r="T62" s="38">
        <f t="shared" si="8"/>
        <v>0.67102759697025793</v>
      </c>
      <c r="U62" s="10">
        <f t="shared" si="9"/>
        <v>3.5017476786784437E-3</v>
      </c>
      <c r="V62" s="10">
        <f t="shared" si="10"/>
        <v>2.8077509060875607E-2</v>
      </c>
      <c r="W62" s="10">
        <f t="shared" si="11"/>
        <v>2.8502248124770219E-2</v>
      </c>
      <c r="X62" s="148">
        <f t="shared" si="12"/>
        <v>0.37552215713866011</v>
      </c>
      <c r="Z62" s="107"/>
      <c r="AS62" s="13"/>
      <c r="AT62" s="13"/>
    </row>
    <row r="63" spans="1:46" x14ac:dyDescent="0.2">
      <c r="A63" s="97">
        <f>'Raw Data'!A63</f>
        <v>84.146690368652344</v>
      </c>
      <c r="B63" s="107">
        <f>'Raw Data'!E63</f>
        <v>1.9511235695665756E-2</v>
      </c>
      <c r="C63" s="107">
        <f t="shared" si="1"/>
        <v>0.98048876430433429</v>
      </c>
      <c r="D63" s="87">
        <f t="shared" si="2"/>
        <v>4.2135032139212804E-3</v>
      </c>
      <c r="E63" s="80">
        <f>(2*Table!$AC$16*0.147)/A63</f>
        <v>1.2980935633450326</v>
      </c>
      <c r="F63" s="80">
        <f t="shared" si="3"/>
        <v>2.5961871266900651</v>
      </c>
      <c r="G63" s="97">
        <f>IF((('Raw Data'!C63)/('Raw Data'!C$136)*100)&lt;0,0,('Raw Data'!C63)/('Raw Data'!C$136)*100)</f>
        <v>2.1202669650405856</v>
      </c>
      <c r="H63" s="97">
        <f t="shared" si="4"/>
        <v>0.45787728726757027</v>
      </c>
      <c r="I63" s="23">
        <f t="shared" si="5"/>
        <v>3.9976269246651916E-2</v>
      </c>
      <c r="J63" s="80">
        <f>'Raw Data'!F63/I63</f>
        <v>0.10540011094892675</v>
      </c>
      <c r="K63" s="110">
        <f t="shared" si="6"/>
        <v>7.9453973253553828E-2</v>
      </c>
      <c r="L63" s="97">
        <f>A63*Table!$AC$9/$AC$16</f>
        <v>15.854018986865469</v>
      </c>
      <c r="M63" s="97">
        <f>A63*Table!$AD$9/$AC$16</f>
        <v>5.4356636526395894</v>
      </c>
      <c r="N63" s="97">
        <f>ABS(A63*Table!$AE$9/$AC$16)</f>
        <v>6.8649915973531623</v>
      </c>
      <c r="O63" s="97">
        <f>($L63*(Table!$AC$10/Table!$AC$9)/(Table!$AC$12-Table!$AC$14))</f>
        <v>34.006904733731169</v>
      </c>
      <c r="P63" s="97">
        <f>$N63*(Table!$AE$10/Table!$AE$9)/(Table!$AC$12-Table!$AC$13)</f>
        <v>56.362820996331372</v>
      </c>
      <c r="Q63" s="97">
        <f>'Raw Data'!C63</f>
        <v>2.7737448942149055E-2</v>
      </c>
      <c r="R63" s="97">
        <f>'Raw Data'!C63/'Raw Data'!I$30*100</f>
        <v>0.34277041679383663</v>
      </c>
      <c r="S63" s="38">
        <f t="shared" si="7"/>
        <v>0.17698415805860379</v>
      </c>
      <c r="T63" s="38">
        <f t="shared" si="8"/>
        <v>0.63837029512971633</v>
      </c>
      <c r="U63" s="10">
        <f t="shared" si="9"/>
        <v>4.073486613580834E-3</v>
      </c>
      <c r="V63" s="10">
        <f t="shared" si="10"/>
        <v>3.6259841212664429E-2</v>
      </c>
      <c r="W63" s="10">
        <f t="shared" si="11"/>
        <v>3.7278325842973047E-2</v>
      </c>
      <c r="X63" s="148">
        <f t="shared" si="12"/>
        <v>0.41280048298163313</v>
      </c>
      <c r="AS63" s="13"/>
      <c r="AT63" s="13"/>
    </row>
    <row r="64" spans="1:46" x14ac:dyDescent="0.2">
      <c r="A64" s="97">
        <f>'Raw Data'!A64</f>
        <v>92.00323486328125</v>
      </c>
      <c r="B64" s="107">
        <f>'Raw Data'!E64</f>
        <v>2.6610328337086181E-2</v>
      </c>
      <c r="C64" s="107">
        <f t="shared" si="1"/>
        <v>0.97338967166291379</v>
      </c>
      <c r="D64" s="87">
        <f t="shared" si="2"/>
        <v>7.099092641420425E-3</v>
      </c>
      <c r="E64" s="80">
        <f>(2*Table!$AC$16*0.147)/A64</f>
        <v>1.1872438757903845</v>
      </c>
      <c r="F64" s="80">
        <f t="shared" si="3"/>
        <v>2.374487751580769</v>
      </c>
      <c r="G64" s="97">
        <f>IF((('Raw Data'!C64)/('Raw Data'!C$136)*100)&lt;0,0,('Raw Data'!C64)/('Raw Data'!C$136)*100)</f>
        <v>2.8917184427504319</v>
      </c>
      <c r="H64" s="97">
        <f t="shared" si="4"/>
        <v>0.77145147770984623</v>
      </c>
      <c r="I64" s="23">
        <f t="shared" si="5"/>
        <v>3.8766058434631892E-2</v>
      </c>
      <c r="J64" s="80">
        <f>'Raw Data'!F64/I64</f>
        <v>0.183126501070287</v>
      </c>
      <c r="K64" s="110">
        <f t="shared" si="6"/>
        <v>8.6872371688558131E-2</v>
      </c>
      <c r="L64" s="97">
        <f>A64*Table!$AC$9/$AC$16</f>
        <v>17.334265031520392</v>
      </c>
      <c r="M64" s="97">
        <f>A64*Table!$AD$9/$AC$16</f>
        <v>5.9431765822355622</v>
      </c>
      <c r="N64" s="97">
        <f>ABS(A64*Table!$AE$9/$AC$16)</f>
        <v>7.505956936614461</v>
      </c>
      <c r="O64" s="97">
        <f>($L64*(Table!$AC$10/Table!$AC$9)/(Table!$AC$12-Table!$AC$14))</f>
        <v>37.182035674646919</v>
      </c>
      <c r="P64" s="97">
        <f>$N64*(Table!$AE$10/Table!$AE$9)/(Table!$AC$12-Table!$AC$13)</f>
        <v>61.625262205373225</v>
      </c>
      <c r="Q64" s="97">
        <f>'Raw Data'!C64</f>
        <v>3.7829619563650344E-2</v>
      </c>
      <c r="R64" s="97">
        <f>'Raw Data'!C64/'Raw Data'!I$30*100</f>
        <v>0.46748619500045668</v>
      </c>
      <c r="S64" s="38">
        <f t="shared" si="7"/>
        <v>0.29819057215160749</v>
      </c>
      <c r="T64" s="38">
        <f t="shared" si="8"/>
        <v>0.59234382199312763</v>
      </c>
      <c r="U64" s="10">
        <f t="shared" si="9"/>
        <v>5.08119302212744E-3</v>
      </c>
      <c r="V64" s="10">
        <f t="shared" si="10"/>
        <v>5.2693965476541774E-2</v>
      </c>
      <c r="W64" s="10">
        <f t="shared" si="11"/>
        <v>5.2539241342301098E-2</v>
      </c>
      <c r="X64" s="148">
        <f t="shared" si="12"/>
        <v>0.46533972432393422</v>
      </c>
      <c r="AS64" s="13"/>
      <c r="AT64" s="13"/>
    </row>
    <row r="65" spans="1:46" x14ac:dyDescent="0.2">
      <c r="A65" s="97">
        <f>'Raw Data'!A65</f>
        <v>101.10221099853516</v>
      </c>
      <c r="B65" s="107">
        <f>'Raw Data'!E65</f>
        <v>3.6442295025631663E-2</v>
      </c>
      <c r="C65" s="107">
        <f t="shared" si="1"/>
        <v>0.96355770497436832</v>
      </c>
      <c r="D65" s="87">
        <f t="shared" si="2"/>
        <v>9.8319666885454821E-3</v>
      </c>
      <c r="E65" s="80">
        <f>(2*Table!$AC$16*0.147)/A65</f>
        <v>1.0803945439523341</v>
      </c>
      <c r="F65" s="80">
        <f t="shared" si="3"/>
        <v>2.1607890879046683</v>
      </c>
      <c r="G65" s="97">
        <f>IF((('Raw Data'!C65)/('Raw Data'!C$136)*100)&lt;0,0,('Raw Data'!C65)/('Raw Data'!C$136)*100)</f>
        <v>3.9601486793721592</v>
      </c>
      <c r="H65" s="97">
        <f t="shared" si="4"/>
        <v>1.0684302366217273</v>
      </c>
      <c r="I65" s="23">
        <f t="shared" si="5"/>
        <v>4.0957555708868609E-2</v>
      </c>
      <c r="J65" s="80">
        <f>'Raw Data'!F65/I65</f>
        <v>0.24005257438779604</v>
      </c>
      <c r="K65" s="110">
        <f t="shared" si="6"/>
        <v>9.5463913474906431E-2</v>
      </c>
      <c r="L65" s="97">
        <f>A65*Table!$AC$9/$AC$16</f>
        <v>19.048596751251242</v>
      </c>
      <c r="M65" s="97">
        <f>A65*Table!$AD$9/$AC$16</f>
        <v>6.5309474575718545</v>
      </c>
      <c r="N65" s="97">
        <f>ABS(A65*Table!$AE$9/$AC$16)</f>
        <v>8.2482843465146516</v>
      </c>
      <c r="O65" s="97">
        <f>($L65*(Table!$AC$10/Table!$AC$9)/(Table!$AC$12-Table!$AC$14))</f>
        <v>40.859280890714814</v>
      </c>
      <c r="P65" s="97">
        <f>$N65*(Table!$AE$10/Table!$AE$9)/(Table!$AC$12-Table!$AC$13)</f>
        <v>67.719904322780366</v>
      </c>
      <c r="Q65" s="97">
        <f>'Raw Data'!C65</f>
        <v>5.1806882627774026E-2</v>
      </c>
      <c r="R65" s="97">
        <f>'Raw Data'!C65/'Raw Data'!I$30*100</f>
        <v>0.64021268820172983</v>
      </c>
      <c r="S65" s="38">
        <f t="shared" si="7"/>
        <v>0.41298232327988221</v>
      </c>
      <c r="T65" s="38">
        <f t="shared" si="8"/>
        <v>0.53955643788720975</v>
      </c>
      <c r="U65" s="10">
        <f t="shared" si="9"/>
        <v>6.3323312307285318E-3</v>
      </c>
      <c r="V65" s="10">
        <f t="shared" si="10"/>
        <v>7.6456952511342269E-2</v>
      </c>
      <c r="W65" s="10">
        <f t="shared" si="11"/>
        <v>6.0256824483144067E-2</v>
      </c>
      <c r="X65" s="148">
        <f t="shared" si="12"/>
        <v>0.52559654880707829</v>
      </c>
      <c r="AS65" s="13"/>
      <c r="AT65" s="13"/>
    </row>
    <row r="66" spans="1:46" x14ac:dyDescent="0.2">
      <c r="A66" s="97">
        <f>'Raw Data'!A66</f>
        <v>110.89384460449219</v>
      </c>
      <c r="B66" s="107">
        <f>'Raw Data'!E66</f>
        <v>5.088523317282511E-2</v>
      </c>
      <c r="C66" s="107">
        <f t="shared" si="1"/>
        <v>0.94911476682717488</v>
      </c>
      <c r="D66" s="87">
        <f t="shared" si="2"/>
        <v>1.4442938147193447E-2</v>
      </c>
      <c r="E66" s="80">
        <f>(2*Table!$AC$16*0.147)/A66</f>
        <v>0.98499855906258527</v>
      </c>
      <c r="F66" s="80">
        <f t="shared" si="3"/>
        <v>1.9699971181251705</v>
      </c>
      <c r="G66" s="97">
        <f>IF((('Raw Data'!C66)/('Raw Data'!C$136)*100)&lt;0,0,('Raw Data'!C66)/('Raw Data'!C$136)*100)</f>
        <v>5.5296486899953381</v>
      </c>
      <c r="H66" s="97">
        <f t="shared" si="4"/>
        <v>1.5695000106231789</v>
      </c>
      <c r="I66" s="23">
        <f t="shared" si="5"/>
        <v>4.0146787135456503E-2</v>
      </c>
      <c r="J66" s="80">
        <f>'Raw Data'!F66/I66</f>
        <v>0.35975327486263164</v>
      </c>
      <c r="K66" s="110">
        <f t="shared" si="6"/>
        <v>0.10470948440856891</v>
      </c>
      <c r="L66" s="97">
        <f>A66*Table!$AC$9/$AC$16</f>
        <v>20.893431579824654</v>
      </c>
      <c r="M66" s="97">
        <f>A66*Table!$AD$9/$AC$16</f>
        <v>7.1634622559398817</v>
      </c>
      <c r="N66" s="97">
        <f>ABS(A66*Table!$AE$9/$AC$16)</f>
        <v>9.047121260180095</v>
      </c>
      <c r="O66" s="97">
        <f>($L66*(Table!$AC$10/Table!$AC$9)/(Table!$AC$12-Table!$AC$14))</f>
        <v>44.816455555179445</v>
      </c>
      <c r="P66" s="97">
        <f>$N66*(Table!$AE$10/Table!$AE$9)/(Table!$AC$12-Table!$AC$13)</f>
        <v>74.278499673071366</v>
      </c>
      <c r="Q66" s="97">
        <f>'Raw Data'!C66</f>
        <v>7.2339168008416888E-2</v>
      </c>
      <c r="R66" s="97">
        <f>'Raw Data'!C66/'Raw Data'!I$30*100</f>
        <v>0.89394402565570952</v>
      </c>
      <c r="S66" s="38">
        <f t="shared" si="7"/>
        <v>0.60666175343785544</v>
      </c>
      <c r="T66" s="38">
        <f t="shared" si="8"/>
        <v>0.47510216409303352</v>
      </c>
      <c r="U66" s="10">
        <f t="shared" si="9"/>
        <v>8.0612592055402214E-3</v>
      </c>
      <c r="V66" s="10">
        <f t="shared" si="10"/>
        <v>0.11500061840099546</v>
      </c>
      <c r="W66" s="10">
        <f t="shared" si="11"/>
        <v>7.3574584704014276E-2</v>
      </c>
      <c r="X66" s="148">
        <f t="shared" si="12"/>
        <v>0.59917113351109252</v>
      </c>
      <c r="AS66" s="13"/>
      <c r="AT66" s="13"/>
    </row>
    <row r="67" spans="1:46" x14ac:dyDescent="0.2">
      <c r="A67" s="97">
        <f>'Raw Data'!A67</f>
        <v>120.61772155761719</v>
      </c>
      <c r="B67" s="107">
        <f>'Raw Data'!E67</f>
        <v>6.9336440472601887E-2</v>
      </c>
      <c r="C67" s="107">
        <f t="shared" si="1"/>
        <v>0.9306635595273981</v>
      </c>
      <c r="D67" s="87">
        <f t="shared" si="2"/>
        <v>1.8451207299776777E-2</v>
      </c>
      <c r="E67" s="80">
        <f>(2*Table!$AC$16*0.147)/A67</f>
        <v>0.9055906191376486</v>
      </c>
      <c r="F67" s="80">
        <f t="shared" si="3"/>
        <v>1.8111812382752972</v>
      </c>
      <c r="G67" s="97">
        <f>IF((('Raw Data'!C67)/('Raw Data'!C$136)*100)&lt;0,0,('Raw Data'!C67)/('Raw Data'!C$136)*100)</f>
        <v>7.5347234024864029</v>
      </c>
      <c r="H67" s="97">
        <f t="shared" si="4"/>
        <v>2.0050747124910648</v>
      </c>
      <c r="I67" s="23">
        <f t="shared" si="5"/>
        <v>3.6503680092851341E-2</v>
      </c>
      <c r="J67" s="80">
        <f>'Raw Data'!F67/I67</f>
        <v>0.50546156587072844</v>
      </c>
      <c r="K67" s="110">
        <f t="shared" si="6"/>
        <v>0.11389107736213162</v>
      </c>
      <c r="L67" s="97">
        <f>A67*Table!$AC$9/$AC$16</f>
        <v>22.725500424902112</v>
      </c>
      <c r="M67" s="97">
        <f>A67*Table!$AD$9/$AC$16</f>
        <v>7.7916001456807242</v>
      </c>
      <c r="N67" s="97">
        <f>ABS(A67*Table!$AE$9/$AC$16)</f>
        <v>9.8404303408396423</v>
      </c>
      <c r="O67" s="97">
        <f>($L67*(Table!$AC$10/Table!$AC$9)/(Table!$AC$12-Table!$AC$14))</f>
        <v>48.746247157662197</v>
      </c>
      <c r="P67" s="97">
        <f>$N67*(Table!$AE$10/Table!$AE$9)/(Table!$AC$12-Table!$AC$13)</f>
        <v>80.791710515924805</v>
      </c>
      <c r="Q67" s="97">
        <f>'Raw Data'!C67</f>
        <v>9.8569665573071688E-2</v>
      </c>
      <c r="R67" s="97">
        <f>'Raw Data'!C67/'Raw Data'!I$30*100</f>
        <v>1.2180920250517142</v>
      </c>
      <c r="S67" s="38">
        <f t="shared" si="7"/>
        <v>0.77502525174928394</v>
      </c>
      <c r="T67" s="38">
        <f t="shared" si="8"/>
        <v>0.40550146589943792</v>
      </c>
      <c r="U67" s="10">
        <f t="shared" si="9"/>
        <v>1.009878158301847E-2</v>
      </c>
      <c r="V67" s="10">
        <f t="shared" si="10"/>
        <v>0.16834171209082266</v>
      </c>
      <c r="W67" s="10">
        <f t="shared" si="11"/>
        <v>7.9449230644592764E-2</v>
      </c>
      <c r="X67" s="148">
        <f t="shared" si="12"/>
        <v>0.67862036415568527</v>
      </c>
      <c r="AS67" s="13"/>
      <c r="AT67" s="13"/>
    </row>
    <row r="68" spans="1:46" x14ac:dyDescent="0.2">
      <c r="A68" s="97">
        <f>'Raw Data'!A68</f>
        <v>132.68621826171875</v>
      </c>
      <c r="B68" s="107">
        <f>'Raw Data'!E68</f>
        <v>9.2486341121304272E-2</v>
      </c>
      <c r="C68" s="107">
        <f t="shared" si="1"/>
        <v>0.90751365887869573</v>
      </c>
      <c r="D68" s="87">
        <f t="shared" si="2"/>
        <v>2.3149900648702385E-2</v>
      </c>
      <c r="E68" s="80">
        <f>(2*Table!$AC$16*0.147)/A68</f>
        <v>0.82322247611942856</v>
      </c>
      <c r="F68" s="80">
        <f t="shared" si="3"/>
        <v>1.6464449522388571</v>
      </c>
      <c r="G68" s="97">
        <f>IF((('Raw Data'!C68)/('Raw Data'!C$136)*100)&lt;0,0,('Raw Data'!C68)/('Raw Data'!C$136)*100)</f>
        <v>10.050400541291038</v>
      </c>
      <c r="H68" s="97">
        <f t="shared" si="4"/>
        <v>2.5156771388046355</v>
      </c>
      <c r="I68" s="23">
        <f t="shared" si="5"/>
        <v>4.1414695795667061E-2</v>
      </c>
      <c r="J68" s="80">
        <f>'Raw Data'!F68/I68</f>
        <v>0.55897792326955598</v>
      </c>
      <c r="K68" s="110">
        <f t="shared" si="6"/>
        <v>0.12528653463011599</v>
      </c>
      <c r="L68" s="97">
        <f>A68*Table!$AC$9/$AC$16</f>
        <v>24.999317434834428</v>
      </c>
      <c r="M68" s="97">
        <f>A68*Table!$AD$9/$AC$16</f>
        <v>8.5711945490860888</v>
      </c>
      <c r="N68" s="97">
        <f>ABS(A68*Table!$AE$9/$AC$16)</f>
        <v>10.825021987918921</v>
      </c>
      <c r="O68" s="97">
        <f>($L68*(Table!$AC$10/Table!$AC$9)/(Table!$AC$12-Table!$AC$14))</f>
        <v>53.623589521309384</v>
      </c>
      <c r="P68" s="97">
        <f>$N68*(Table!$AE$10/Table!$AE$9)/(Table!$AC$12-Table!$AC$13)</f>
        <v>88.875385779301467</v>
      </c>
      <c r="Q68" s="97">
        <f>'Raw Data'!C68</f>
        <v>0.13147989213559774</v>
      </c>
      <c r="R68" s="97">
        <f>'Raw Data'!C68/'Raw Data'!I$30*100</f>
        <v>1.6247859535072213</v>
      </c>
      <c r="S68" s="38">
        <f t="shared" si="7"/>
        <v>0.97238935570620011</v>
      </c>
      <c r="T68" s="38">
        <f t="shared" si="8"/>
        <v>0.33333946812541193</v>
      </c>
      <c r="U68" s="10">
        <f t="shared" si="9"/>
        <v>1.2245325662250695E-2</v>
      </c>
      <c r="V68" s="10">
        <f t="shared" si="10"/>
        <v>0.23320117802478513</v>
      </c>
      <c r="W68" s="10">
        <f t="shared" si="11"/>
        <v>8.2372955354214017E-2</v>
      </c>
      <c r="X68" s="148">
        <f t="shared" si="12"/>
        <v>0.76099331950989924</v>
      </c>
      <c r="AS68" s="13"/>
      <c r="AT68" s="13"/>
    </row>
    <row r="69" spans="1:46" x14ac:dyDescent="0.2">
      <c r="A69" s="97">
        <f>'Raw Data'!A69</f>
        <v>144.88621520996094</v>
      </c>
      <c r="B69" s="107">
        <f>'Raw Data'!E69</f>
        <v>0.11562027141847116</v>
      </c>
      <c r="C69" s="107">
        <f t="shared" si="1"/>
        <v>0.8843797285815288</v>
      </c>
      <c r="D69" s="87">
        <f t="shared" si="2"/>
        <v>2.3133930297166885E-2</v>
      </c>
      <c r="E69" s="80">
        <f>(2*Table!$AC$16*0.147)/A69</f>
        <v>0.75390386163407397</v>
      </c>
      <c r="F69" s="80">
        <f t="shared" si="3"/>
        <v>1.5078077232681479</v>
      </c>
      <c r="G69" s="97">
        <f>IF((('Raw Data'!C69)/('Raw Data'!C$136)*100)&lt;0,0,('Raw Data'!C69)/('Raw Data'!C$136)*100)</f>
        <v>12.564342197560945</v>
      </c>
      <c r="H69" s="97">
        <f t="shared" si="4"/>
        <v>2.5139416562699068</v>
      </c>
      <c r="I69" s="23">
        <f t="shared" si="5"/>
        <v>3.8201251433592556E-2</v>
      </c>
      <c r="J69" s="80">
        <f>'Raw Data'!F69/I69</f>
        <v>0.60558043071918555</v>
      </c>
      <c r="K69" s="110">
        <f t="shared" si="6"/>
        <v>0.13680615859835926</v>
      </c>
      <c r="L69" s="97">
        <f>A69*Table!$AC$9/$AC$16</f>
        <v>27.29791031364821</v>
      </c>
      <c r="M69" s="97">
        <f>A69*Table!$AD$9/$AC$16</f>
        <v>9.3592835361079576</v>
      </c>
      <c r="N69" s="97">
        <f>ABS(A69*Table!$AE$9/$AC$16)</f>
        <v>11.820341900924291</v>
      </c>
      <c r="O69" s="97">
        <f>($L69*(Table!$AC$10/Table!$AC$9)/(Table!$AC$12-Table!$AC$14))</f>
        <v>58.554076176851602</v>
      </c>
      <c r="P69" s="97">
        <f>$N69*(Table!$AE$10/Table!$AE$9)/(Table!$AC$12-Table!$AC$13)</f>
        <v>97.047142043713379</v>
      </c>
      <c r="Q69" s="97">
        <f>'Raw Data'!C69</f>
        <v>0.16436741502024232</v>
      </c>
      <c r="R69" s="97">
        <f>'Raw Data'!C69/'Raw Data'!I$30*100</f>
        <v>2.0311993172595209</v>
      </c>
      <c r="S69" s="38">
        <f t="shared" si="7"/>
        <v>0.97171853641951456</v>
      </c>
      <c r="T69" s="38">
        <f t="shared" si="8"/>
        <v>0.27286022656142561</v>
      </c>
      <c r="U69" s="10">
        <f t="shared" si="9"/>
        <v>1.4019272394658258E-2</v>
      </c>
      <c r="V69" s="10">
        <f t="shared" si="10"/>
        <v>0.29314714744779402</v>
      </c>
      <c r="W69" s="10">
        <f t="shared" si="11"/>
        <v>6.9037083491057916E-2</v>
      </c>
      <c r="X69" s="148">
        <f t="shared" si="12"/>
        <v>0.8300304030009571</v>
      </c>
      <c r="AS69" s="13"/>
      <c r="AT69" s="13"/>
    </row>
    <row r="70" spans="1:46" x14ac:dyDescent="0.2">
      <c r="A70" s="97">
        <f>'Raw Data'!A70</f>
        <v>159.00152587890625</v>
      </c>
      <c r="B70" s="107">
        <f>'Raw Data'!E70</f>
        <v>0.1382355163198864</v>
      </c>
      <c r="C70" s="107">
        <f t="shared" si="1"/>
        <v>0.8617644836801136</v>
      </c>
      <c r="D70" s="87">
        <f t="shared" si="2"/>
        <v>2.2615244901415241E-2</v>
      </c>
      <c r="E70" s="80">
        <f>(2*Table!$AC$16*0.147)/A70</f>
        <v>0.68697628240073361</v>
      </c>
      <c r="F70" s="80">
        <f t="shared" si="3"/>
        <v>1.3739525648014672</v>
      </c>
      <c r="G70" s="97">
        <f>IF((('Raw Data'!C70)/('Raw Data'!C$136)*100)&lt;0,0,('Raw Data'!C70)/('Raw Data'!C$136)*100)</f>
        <v>15.021918817447968</v>
      </c>
      <c r="H70" s="97">
        <f t="shared" si="4"/>
        <v>2.457576619887023</v>
      </c>
      <c r="I70" s="23">
        <f t="shared" si="5"/>
        <v>4.0374224390270677E-2</v>
      </c>
      <c r="J70" s="80">
        <f>'Raw Data'!F70/I70</f>
        <v>0.56014066506414495</v>
      </c>
      <c r="K70" s="110">
        <f t="shared" si="6"/>
        <v>0.15013428251437475</v>
      </c>
      <c r="L70" s="97">
        <f>A70*Table!$AC$9/$AC$16</f>
        <v>29.957366108885658</v>
      </c>
      <c r="M70" s="97">
        <f>A70*Table!$AD$9/$AC$16</f>
        <v>10.27109695161794</v>
      </c>
      <c r="N70" s="97">
        <f>ABS(A70*Table!$AE$9/$AC$16)</f>
        <v>12.971920040382981</v>
      </c>
      <c r="O70" s="97">
        <f>($L70*(Table!$AC$10/Table!$AC$9)/(Table!$AC$12-Table!$AC$14))</f>
        <v>64.258614562174316</v>
      </c>
      <c r="P70" s="97">
        <f>$N70*(Table!$AE$10/Table!$AE$9)/(Table!$AC$12-Table!$AC$13)</f>
        <v>106.50180657128881</v>
      </c>
      <c r="Q70" s="97">
        <f>'Raw Data'!C70</f>
        <v>0.19651756740175186</v>
      </c>
      <c r="R70" s="97">
        <f>'Raw Data'!C70/'Raw Data'!I$30*100</f>
        <v>2.428500494984251</v>
      </c>
      <c r="S70" s="38">
        <f t="shared" si="7"/>
        <v>0.94993165424482029</v>
      </c>
      <c r="T70" s="38">
        <f t="shared" si="8"/>
        <v>0.22376833571738264</v>
      </c>
      <c r="U70" s="10">
        <f t="shared" si="9"/>
        <v>1.5273441443786957E-2</v>
      </c>
      <c r="V70" s="10">
        <f t="shared" si="10"/>
        <v>0.33885211502053786</v>
      </c>
      <c r="W70" s="10">
        <f t="shared" si="11"/>
        <v>5.6038417137695154E-2</v>
      </c>
      <c r="X70" s="148">
        <f t="shared" si="12"/>
        <v>0.88606882013865229</v>
      </c>
      <c r="AS70" s="13"/>
      <c r="AT70" s="13"/>
    </row>
    <row r="71" spans="1:46" x14ac:dyDescent="0.2">
      <c r="A71" s="97">
        <f>'Raw Data'!A71</f>
        <v>173.70451354980469</v>
      </c>
      <c r="B71" s="107">
        <f>'Raw Data'!E71</f>
        <v>0.16204275003018315</v>
      </c>
      <c r="C71" s="107">
        <f t="shared" si="1"/>
        <v>0.83795724996981691</v>
      </c>
      <c r="D71" s="87">
        <f t="shared" si="2"/>
        <v>2.3807233710296749E-2</v>
      </c>
      <c r="E71" s="80">
        <f>(2*Table!$AC$16*0.147)/A71</f>
        <v>0.62882808806816903</v>
      </c>
      <c r="F71" s="80">
        <f t="shared" si="3"/>
        <v>1.2576561761363381</v>
      </c>
      <c r="G71" s="97">
        <f>IF((('Raw Data'!C71)/('Raw Data'!C$136)*100)&lt;0,0,('Raw Data'!C71)/('Raw Data'!C$136)*100)</f>
        <v>17.609027699339848</v>
      </c>
      <c r="H71" s="97">
        <f t="shared" si="4"/>
        <v>2.5871088818918793</v>
      </c>
      <c r="I71" s="23">
        <f t="shared" si="5"/>
        <v>3.8409811226686824E-2</v>
      </c>
      <c r="J71" s="80">
        <f>'Raw Data'!F71/I71</f>
        <v>0.61982167966906532</v>
      </c>
      <c r="K71" s="110">
        <f t="shared" si="6"/>
        <v>0.16401730969028488</v>
      </c>
      <c r="L71" s="97">
        <f>A71*Table!$AC$9/$AC$16</f>
        <v>32.727545716388214</v>
      </c>
      <c r="M71" s="97">
        <f>A71*Table!$AD$9/$AC$16</f>
        <v>11.220872817047388</v>
      </c>
      <c r="N71" s="97">
        <f>ABS(A71*Table!$AE$9/$AC$16)</f>
        <v>14.171442996954392</v>
      </c>
      <c r="O71" s="97">
        <f>($L71*(Table!$AC$10/Table!$AC$9)/(Table!$AC$12-Table!$AC$14))</f>
        <v>70.200655762308486</v>
      </c>
      <c r="P71" s="97">
        <f>$N71*(Table!$AE$10/Table!$AE$9)/(Table!$AC$12-Table!$AC$13)</f>
        <v>116.3501067073431</v>
      </c>
      <c r="Q71" s="97">
        <f>'Raw Data'!C71</f>
        <v>0.23036226795241235</v>
      </c>
      <c r="R71" s="97">
        <f>'Raw Data'!C71/'Raw Data'!I$30*100</f>
        <v>2.846742350542351</v>
      </c>
      <c r="S71" s="38">
        <f t="shared" si="7"/>
        <v>1</v>
      </c>
      <c r="T71" s="38">
        <f t="shared" si="8"/>
        <v>0.18046735051895557</v>
      </c>
      <c r="U71" s="10">
        <f t="shared" si="9"/>
        <v>1.6388419001709655E-2</v>
      </c>
      <c r="V71" s="10">
        <f t="shared" si="10"/>
        <v>0.38172891900629685</v>
      </c>
      <c r="W71" s="10">
        <f t="shared" si="11"/>
        <v>4.942809554293362E-2</v>
      </c>
      <c r="X71" s="148">
        <f t="shared" si="12"/>
        <v>0.93549691568158588</v>
      </c>
      <c r="AS71" s="13"/>
      <c r="AT71" s="13"/>
    </row>
    <row r="72" spans="1:46" x14ac:dyDescent="0.2">
      <c r="A72" s="97">
        <f>'Raw Data'!A72</f>
        <v>189.97633361816406</v>
      </c>
      <c r="B72" s="107">
        <f>'Raw Data'!E72</f>
        <v>0.1845097131379177</v>
      </c>
      <c r="C72" s="107">
        <f t="shared" si="1"/>
        <v>0.81549028686208236</v>
      </c>
      <c r="D72" s="87">
        <f t="shared" si="2"/>
        <v>2.246696310773455E-2</v>
      </c>
      <c r="E72" s="80">
        <f>(2*Table!$AC$16*0.147)/A72</f>
        <v>0.57496781343237424</v>
      </c>
      <c r="F72" s="80">
        <f t="shared" si="3"/>
        <v>1.1499356268647485</v>
      </c>
      <c r="G72" s="97">
        <f>IF((('Raw Data'!C72)/('Raw Data'!C$136)*100)&lt;0,0,('Raw Data'!C72)/('Raw Data'!C$136)*100)</f>
        <v>20.050490681240944</v>
      </c>
      <c r="H72" s="97">
        <f t="shared" si="4"/>
        <v>2.4414629819010969</v>
      </c>
      <c r="I72" s="23">
        <f t="shared" si="5"/>
        <v>3.8888398573481281E-2</v>
      </c>
      <c r="J72" s="80">
        <f>'Raw Data'!F72/I72</f>
        <v>0.57772919255809074</v>
      </c>
      <c r="K72" s="110">
        <f t="shared" si="6"/>
        <v>0.17938167816198539</v>
      </c>
      <c r="L72" s="97">
        <f>A72*Table!$AC$9/$AC$16</f>
        <v>35.793307936915582</v>
      </c>
      <c r="M72" s="97">
        <f>A72*Table!$AD$9/$AC$16</f>
        <v>12.27199129265677</v>
      </c>
      <c r="N72" s="97">
        <f>ABS(A72*Table!$AE$9/$AC$16)</f>
        <v>15.498956979424035</v>
      </c>
      <c r="O72" s="97">
        <f>($L72*(Table!$AC$10/Table!$AC$9)/(Table!$AC$12-Table!$AC$14))</f>
        <v>76.776722301406238</v>
      </c>
      <c r="P72" s="97">
        <f>$N72*(Table!$AE$10/Table!$AE$9)/(Table!$AC$12-Table!$AC$13)</f>
        <v>127.24923628426956</v>
      </c>
      <c r="Q72" s="97">
        <f>'Raw Data'!C72</f>
        <v>0.26230162083636971</v>
      </c>
      <c r="R72" s="97">
        <f>'Raw Data'!C72/'Raw Data'!I$30*100</f>
        <v>3.2414385363016489</v>
      </c>
      <c r="S72" s="38">
        <f t="shared" si="7"/>
        <v>0.94370321983345229</v>
      </c>
      <c r="T72" s="38">
        <f t="shared" si="8"/>
        <v>0.1463043177636415</v>
      </c>
      <c r="U72" s="10">
        <f t="shared" si="9"/>
        <v>1.7062328104597801E-2</v>
      </c>
      <c r="V72" s="10">
        <f t="shared" si="10"/>
        <v>0.40864824914723158</v>
      </c>
      <c r="W72" s="10">
        <f t="shared" si="11"/>
        <v>3.8997118410307355E-2</v>
      </c>
      <c r="X72" s="148">
        <f t="shared" si="12"/>
        <v>0.97449403409189328</v>
      </c>
      <c r="AS72" s="13"/>
      <c r="AT72" s="13"/>
    </row>
    <row r="73" spans="1:46" x14ac:dyDescent="0.2">
      <c r="A73" s="97">
        <f>'Raw Data'!A73</f>
        <v>207.88688659667969</v>
      </c>
      <c r="B73" s="107">
        <f>'Raw Data'!E73</f>
        <v>0.20527199608503838</v>
      </c>
      <c r="C73" s="107">
        <f t="shared" si="1"/>
        <v>0.79472800391496157</v>
      </c>
      <c r="D73" s="87">
        <f t="shared" si="2"/>
        <v>2.076228294712068E-2</v>
      </c>
      <c r="E73" s="80">
        <f>(2*Table!$AC$16*0.147)/A73</f>
        <v>0.525431300321757</v>
      </c>
      <c r="F73" s="80">
        <f t="shared" si="3"/>
        <v>1.050862600643514</v>
      </c>
      <c r="G73" s="97">
        <f>IF((('Raw Data'!C73)/('Raw Data'!C$136)*100)&lt;0,0,('Raw Data'!C73)/('Raw Data'!C$136)*100)</f>
        <v>22.306707731675345</v>
      </c>
      <c r="H73" s="97">
        <f t="shared" si="4"/>
        <v>2.256217050434401</v>
      </c>
      <c r="I73" s="23">
        <f t="shared" si="5"/>
        <v>3.9127593207236827E-2</v>
      </c>
      <c r="J73" s="80">
        <f>'Raw Data'!F73/I73</f>
        <v>0.53063020863957977</v>
      </c>
      <c r="K73" s="110">
        <f t="shared" si="6"/>
        <v>0.19629339021003855</v>
      </c>
      <c r="L73" s="97">
        <f>A73*Table!$AC$9/$AC$16</f>
        <v>39.167822677098748</v>
      </c>
      <c r="M73" s="97">
        <f>A73*Table!$AD$9/$AC$16</f>
        <v>13.428967775005285</v>
      </c>
      <c r="N73" s="97">
        <f>ABS(A73*Table!$AE$9/$AC$16)</f>
        <v>16.960164724645871</v>
      </c>
      <c r="O73" s="97">
        <f>($L73*(Table!$AC$10/Table!$AC$9)/(Table!$AC$12-Table!$AC$14))</f>
        <v>84.015063657440479</v>
      </c>
      <c r="P73" s="97">
        <f>$N73*(Table!$AE$10/Table!$AE$9)/(Table!$AC$12-Table!$AC$13)</f>
        <v>139.24601580169019</v>
      </c>
      <c r="Q73" s="97">
        <f>'Raw Data'!C73</f>
        <v>0.29181757626589389</v>
      </c>
      <c r="R73" s="97">
        <f>'Raw Data'!C73/'Raw Data'!I$30*100</f>
        <v>3.6061871606523361</v>
      </c>
      <c r="S73" s="38">
        <f t="shared" si="7"/>
        <v>0.87209976596906713</v>
      </c>
      <c r="T73" s="38">
        <f t="shared" si="8"/>
        <v>0.11993906349476269</v>
      </c>
      <c r="U73" s="10">
        <f t="shared" si="9"/>
        <v>1.7346871751697749E-2</v>
      </c>
      <c r="V73" s="10">
        <f t="shared" si="10"/>
        <v>0.42023855091738865</v>
      </c>
      <c r="W73" s="10">
        <f t="shared" si="11"/>
        <v>3.0095950497293033E-2</v>
      </c>
      <c r="X73" s="148">
        <f t="shared" si="12"/>
        <v>1.0045899845891864</v>
      </c>
      <c r="AS73" s="13"/>
      <c r="AT73" s="13"/>
    </row>
    <row r="74" spans="1:46" x14ac:dyDescent="0.2">
      <c r="A74" s="97">
        <f>'Raw Data'!A74</f>
        <v>227.68122863769531</v>
      </c>
      <c r="B74" s="107">
        <f>'Raw Data'!E74</f>
        <v>0.22553667898416799</v>
      </c>
      <c r="C74" s="107">
        <f t="shared" si="1"/>
        <v>0.77446332101583204</v>
      </c>
      <c r="D74" s="87">
        <f t="shared" si="2"/>
        <v>2.026468289912961E-2</v>
      </c>
      <c r="E74" s="80">
        <f>(2*Table!$AC$16*0.147)/A74</f>
        <v>0.47975091226405431</v>
      </c>
      <c r="F74" s="80">
        <f t="shared" si="3"/>
        <v>0.95950182452810862</v>
      </c>
      <c r="G74" s="97">
        <f>IF((('Raw Data'!C74)/('Raw Data'!C$136)*100)&lt;0,0,('Raw Data'!C74)/('Raw Data'!C$136)*100)</f>
        <v>24.508851069915686</v>
      </c>
      <c r="H74" s="97">
        <f t="shared" si="4"/>
        <v>2.2021433382403401</v>
      </c>
      <c r="I74" s="23">
        <f t="shared" si="5"/>
        <v>3.9500131221108015E-2</v>
      </c>
      <c r="J74" s="80">
        <f>'Raw Data'!F74/I74</f>
        <v>0.51302824250620727</v>
      </c>
      <c r="K74" s="110">
        <f t="shared" si="6"/>
        <v>0.21498383562397314</v>
      </c>
      <c r="L74" s="97">
        <f>A74*Table!$AC$9/$AC$16</f>
        <v>42.897260794936834</v>
      </c>
      <c r="M74" s="97">
        <f>A74*Table!$AD$9/$AC$16</f>
        <v>14.707632272549773</v>
      </c>
      <c r="N74" s="97">
        <f>ABS(A74*Table!$AE$9/$AC$16)</f>
        <v>18.575058800590774</v>
      </c>
      <c r="O74" s="97">
        <f>($L74*(Table!$AC$10/Table!$AC$9)/(Table!$AC$12-Table!$AC$14))</f>
        <v>92.014716419855944</v>
      </c>
      <c r="P74" s="97">
        <f>$N74*(Table!$AE$10/Table!$AE$9)/(Table!$AC$12-Table!$AC$13)</f>
        <v>152.50458785378302</v>
      </c>
      <c r="Q74" s="97">
        <f>'Raw Data'!C74</f>
        <v>0.32062613642122595</v>
      </c>
      <c r="R74" s="97">
        <f>'Raw Data'!C74/'Raw Data'!I$30*100</f>
        <v>3.96219402315324</v>
      </c>
      <c r="S74" s="38">
        <f t="shared" si="7"/>
        <v>0.85119855358772878</v>
      </c>
      <c r="T74" s="38">
        <f t="shared" si="8"/>
        <v>9.8485649744222581E-2</v>
      </c>
      <c r="U74" s="10">
        <f t="shared" si="9"/>
        <v>1.7402374569307169E-2</v>
      </c>
      <c r="V74" s="10">
        <f t="shared" si="10"/>
        <v>0.42251476461127702</v>
      </c>
      <c r="W74" s="10">
        <f t="shared" si="11"/>
        <v>2.448908217040506E-2</v>
      </c>
      <c r="X74" s="148">
        <f t="shared" si="12"/>
        <v>1.0290790667595915</v>
      </c>
      <c r="AS74" s="13"/>
      <c r="AT74" s="13"/>
    </row>
    <row r="75" spans="1:46" x14ac:dyDescent="0.2">
      <c r="A75" s="97">
        <f>'Raw Data'!A75</f>
        <v>249.86611938476562</v>
      </c>
      <c r="B75" s="107">
        <f>'Raw Data'!E75</f>
        <v>0.24524127274647611</v>
      </c>
      <c r="C75" s="107">
        <f t="shared" si="1"/>
        <v>0.75475872725352389</v>
      </c>
      <c r="D75" s="87">
        <f t="shared" si="2"/>
        <v>1.9704593762308126E-2</v>
      </c>
      <c r="E75" s="80">
        <f>(2*Table!$AC$16*0.147)/A75</f>
        <v>0.43715521501389609</v>
      </c>
      <c r="F75" s="80">
        <f t="shared" si="3"/>
        <v>0.87431043002779218</v>
      </c>
      <c r="G75" s="97">
        <f>IF((('Raw Data'!C75)/('Raw Data'!C$136)*100)&lt;0,0,('Raw Data'!C75)/('Raw Data'!C$136)*100)</f>
        <v>26.650130067588169</v>
      </c>
      <c r="H75" s="97">
        <f t="shared" si="4"/>
        <v>2.1412789976724831</v>
      </c>
      <c r="I75" s="23">
        <f t="shared" si="5"/>
        <v>4.0380145592983974E-2</v>
      </c>
      <c r="J75" s="80">
        <f>'Raw Data'!F75/I75</f>
        <v>0.48797728371073001</v>
      </c>
      <c r="K75" s="110">
        <f t="shared" si="6"/>
        <v>0.2359315129280754</v>
      </c>
      <c r="L75" s="97">
        <f>A75*Table!$AC$9/$AC$16</f>
        <v>47.077100519882421</v>
      </c>
      <c r="M75" s="97">
        <f>A75*Table!$AD$9/$AC$16</f>
        <v>16.140720178245399</v>
      </c>
      <c r="N75" s="97">
        <f>ABS(A75*Table!$AE$9/$AC$16)</f>
        <v>20.384982493365889</v>
      </c>
      <c r="O75" s="97">
        <f>($L75*(Table!$AC$10/Table!$AC$9)/(Table!$AC$12-Table!$AC$14))</f>
        <v>100.98048159562941</v>
      </c>
      <c r="P75" s="97">
        <f>$N75*(Table!$AE$10/Table!$AE$9)/(Table!$AC$12-Table!$AC$13)</f>
        <v>167.36438828707622</v>
      </c>
      <c r="Q75" s="97">
        <f>'Raw Data'!C75</f>
        <v>0.34863846592884512</v>
      </c>
      <c r="R75" s="97">
        <f>'Raw Data'!C75/'Raw Data'!I$30*100</f>
        <v>4.308361325009983</v>
      </c>
      <c r="S75" s="38">
        <f t="shared" si="7"/>
        <v>0.82767254701186843</v>
      </c>
      <c r="T75" s="38">
        <f t="shared" si="8"/>
        <v>8.1165015501691751E-2</v>
      </c>
      <c r="U75" s="10">
        <f t="shared" si="9"/>
        <v>1.7242679142007215E-2</v>
      </c>
      <c r="V75" s="10">
        <f t="shared" si="10"/>
        <v>0.41597911102673862</v>
      </c>
      <c r="W75" s="10">
        <f t="shared" si="11"/>
        <v>1.9771512363536612E-2</v>
      </c>
      <c r="X75" s="148">
        <f t="shared" si="12"/>
        <v>1.0488505791231282</v>
      </c>
      <c r="AS75" s="13"/>
      <c r="AT75" s="13"/>
    </row>
    <row r="76" spans="1:46" x14ac:dyDescent="0.2">
      <c r="A76" s="97">
        <f>'Raw Data'!A76</f>
        <v>272.73834228515625</v>
      </c>
      <c r="B76" s="107">
        <f>'Raw Data'!E76</f>
        <v>0.26376902800014035</v>
      </c>
      <c r="C76" s="107">
        <f t="shared" si="1"/>
        <v>0.73623097199985965</v>
      </c>
      <c r="D76" s="87">
        <f t="shared" si="2"/>
        <v>1.8527755253664235E-2</v>
      </c>
      <c r="E76" s="80">
        <f>(2*Table!$AC$16*0.147)/A76</f>
        <v>0.40049476076279539</v>
      </c>
      <c r="F76" s="80">
        <f t="shared" si="3"/>
        <v>0.80098952152559078</v>
      </c>
      <c r="G76" s="97">
        <f>IF((('Raw Data'!C76)/('Raw Data'!C$136)*100)&lt;0,0,('Raw Data'!C76)/('Raw Data'!C$136)*100)</f>
        <v>28.663523171615296</v>
      </c>
      <c r="H76" s="97">
        <f t="shared" si="4"/>
        <v>2.0133931040271271</v>
      </c>
      <c r="I76" s="23">
        <f t="shared" si="5"/>
        <v>3.8038824587048992E-2</v>
      </c>
      <c r="J76" s="80">
        <f>'Raw Data'!F76/I76</f>
        <v>0.48707486245440784</v>
      </c>
      <c r="K76" s="110">
        <f t="shared" si="6"/>
        <v>0.25752819104595848</v>
      </c>
      <c r="L76" s="97">
        <f>A76*Table!$AC$9/$AC$16</f>
        <v>51.386440014352893</v>
      </c>
      <c r="M76" s="97">
        <f>A76*Table!$AD$9/$AC$16</f>
        <v>17.618208004920994</v>
      </c>
      <c r="N76" s="97">
        <f>ABS(A76*Table!$AE$9/$AC$16)</f>
        <v>22.2509812312374</v>
      </c>
      <c r="O76" s="97">
        <f>($L76*(Table!$AC$10/Table!$AC$9)/(Table!$AC$12-Table!$AC$14))</f>
        <v>110.22402405481103</v>
      </c>
      <c r="P76" s="97">
        <f>$N76*(Table!$AE$10/Table!$AE$9)/(Table!$AC$12-Table!$AC$13)</f>
        <v>182.68457496910835</v>
      </c>
      <c r="Q76" s="97">
        <f>'Raw Data'!C76</f>
        <v>0.37497778514865787</v>
      </c>
      <c r="R76" s="97">
        <f>'Raw Data'!C76/'Raw Data'!I$30*100</f>
        <v>4.6338541072002704</v>
      </c>
      <c r="S76" s="38">
        <f t="shared" si="7"/>
        <v>0.77824057507575473</v>
      </c>
      <c r="T76" s="38">
        <f t="shared" si="8"/>
        <v>6.749586701755983E-2</v>
      </c>
      <c r="U76" s="10">
        <f t="shared" si="9"/>
        <v>1.6990108792094345E-2</v>
      </c>
      <c r="V76" s="10">
        <f t="shared" si="10"/>
        <v>0.40572764659378102</v>
      </c>
      <c r="W76" s="10">
        <f t="shared" si="11"/>
        <v>1.5603339604586272E-2</v>
      </c>
      <c r="X76" s="148">
        <f t="shared" si="12"/>
        <v>1.0644539187277144</v>
      </c>
      <c r="AS76" s="13"/>
      <c r="AT76" s="13"/>
    </row>
    <row r="77" spans="1:46" x14ac:dyDescent="0.2">
      <c r="A77" s="97">
        <f>'Raw Data'!A77</f>
        <v>298.59756469726562</v>
      </c>
      <c r="B77" s="107">
        <f>'Raw Data'!E77</f>
        <v>0.28290996923725326</v>
      </c>
      <c r="C77" s="107">
        <f t="shared" si="1"/>
        <v>0.7170900307627468</v>
      </c>
      <c r="D77" s="87">
        <f t="shared" si="2"/>
        <v>1.9140941237112907E-2</v>
      </c>
      <c r="E77" s="80">
        <f>(2*Table!$AC$16*0.147)/A77</f>
        <v>0.36581101140285127</v>
      </c>
      <c r="F77" s="80">
        <f t="shared" si="3"/>
        <v>0.73162202280570254</v>
      </c>
      <c r="G77" s="97">
        <f>IF((('Raw Data'!C77)/('Raw Data'!C$136)*100)&lt;0,0,('Raw Data'!C77)/('Raw Data'!C$136)*100)</f>
        <v>30.743550598778658</v>
      </c>
      <c r="H77" s="97">
        <f t="shared" si="4"/>
        <v>2.0800274271633619</v>
      </c>
      <c r="I77" s="23">
        <f t="shared" si="5"/>
        <v>3.9340064870769798E-2</v>
      </c>
      <c r="J77" s="80">
        <f>'Raw Data'!F77/I77</f>
        <v>0.48655083055887094</v>
      </c>
      <c r="K77" s="110">
        <f t="shared" si="6"/>
        <v>0.28194528881757636</v>
      </c>
      <c r="L77" s="97">
        <f>A77*Table!$AC$9/$AC$16</f>
        <v>56.258557994407028</v>
      </c>
      <c r="M77" s="97">
        <f>A77*Table!$AD$9/$AC$16</f>
        <v>19.288648455225267</v>
      </c>
      <c r="N77" s="97">
        <f>ABS(A77*Table!$AE$9/$AC$16)</f>
        <v>24.360670201718303</v>
      </c>
      <c r="O77" s="97">
        <f>($L77*(Table!$AC$10/Table!$AC$9)/(Table!$AC$12-Table!$AC$14))</f>
        <v>120.67472757273066</v>
      </c>
      <c r="P77" s="97">
        <f>$N77*(Table!$AE$10/Table!$AE$9)/(Table!$AC$12-Table!$AC$13)</f>
        <v>200.00550247716171</v>
      </c>
      <c r="Q77" s="97">
        <f>'Raw Data'!C77</f>
        <v>0.40218881824519487</v>
      </c>
      <c r="R77" s="97">
        <f>'Raw Data'!C77/'Raw Data'!I$30*100</f>
        <v>4.9701192473486708</v>
      </c>
      <c r="S77" s="38">
        <f t="shared" si="7"/>
        <v>0.80399686372778179</v>
      </c>
      <c r="T77" s="38">
        <f t="shared" si="8"/>
        <v>5.5714333687609807E-2</v>
      </c>
      <c r="U77" s="10">
        <f t="shared" si="9"/>
        <v>1.6644875360546381E-2</v>
      </c>
      <c r="V77" s="10">
        <f t="shared" si="10"/>
        <v>0.39188469401218512</v>
      </c>
      <c r="W77" s="10">
        <f t="shared" si="11"/>
        <v>1.344862599329918E-2</v>
      </c>
      <c r="X77" s="148">
        <f t="shared" si="12"/>
        <v>1.0779025447210135</v>
      </c>
      <c r="AS77" s="13"/>
      <c r="AT77" s="13"/>
    </row>
    <row r="78" spans="1:46" x14ac:dyDescent="0.2">
      <c r="A78" s="97">
        <f>'Raw Data'!A78</f>
        <v>326.63516235351563</v>
      </c>
      <c r="B78" s="107">
        <f>'Raw Data'!E78</f>
        <v>0.30150089793910456</v>
      </c>
      <c r="C78" s="107">
        <f t="shared" si="1"/>
        <v>0.69849910206089549</v>
      </c>
      <c r="D78" s="87">
        <f t="shared" si="2"/>
        <v>1.8590928701851306E-2</v>
      </c>
      <c r="E78" s="80">
        <f>(2*Table!$AC$16*0.147)/A78</f>
        <v>0.33441065057813851</v>
      </c>
      <c r="F78" s="80">
        <f t="shared" si="3"/>
        <v>0.66882130115627703</v>
      </c>
      <c r="G78" s="97">
        <f>IF((('Raw Data'!C78)/('Raw Data'!C$136)*100)&lt;0,0,('Raw Data'!C78)/('Raw Data'!C$136)*100)</f>
        <v>32.7638086998438</v>
      </c>
      <c r="H78" s="97">
        <f t="shared" si="4"/>
        <v>2.0202581010651421</v>
      </c>
      <c r="I78" s="23">
        <f t="shared" si="5"/>
        <v>3.8976673438852583E-2</v>
      </c>
      <c r="J78" s="80">
        <f>'Raw Data'!F78/I78</f>
        <v>0.47697576682671861</v>
      </c>
      <c r="K78" s="110">
        <f t="shared" si="6"/>
        <v>0.3084192775688141</v>
      </c>
      <c r="L78" s="97">
        <f>A78*Table!$AC$9/$AC$16</f>
        <v>61.541102128238791</v>
      </c>
      <c r="M78" s="97">
        <f>A78*Table!$AD$9/$AC$16</f>
        <v>21.099806443967587</v>
      </c>
      <c r="N78" s="97">
        <f>ABS(A78*Table!$AE$9/$AC$16)</f>
        <v>26.648078909973691</v>
      </c>
      <c r="O78" s="97">
        <f>($L78*(Table!$AC$10/Table!$AC$9)/(Table!$AC$12-Table!$AC$14))</f>
        <v>132.00579607086829</v>
      </c>
      <c r="P78" s="97">
        <f>$N78*(Table!$AE$10/Table!$AE$9)/(Table!$AC$12-Table!$AC$13)</f>
        <v>218.78554113278886</v>
      </c>
      <c r="Q78" s="97">
        <f>'Raw Data'!C78</f>
        <v>0.42861794573348017</v>
      </c>
      <c r="R78" s="97">
        <f>'Raw Data'!C78/'Raw Data'!I$30*100</f>
        <v>5.2967218510542695</v>
      </c>
      <c r="S78" s="38">
        <f t="shared" si="7"/>
        <v>0.78089411512815265</v>
      </c>
      <c r="T78" s="38">
        <f t="shared" si="8"/>
        <v>4.6151507445344242E-2</v>
      </c>
      <c r="U78" s="10">
        <f t="shared" si="9"/>
        <v>1.6216018547695894E-2</v>
      </c>
      <c r="V78" s="10">
        <f t="shared" si="10"/>
        <v>0.37496315324627583</v>
      </c>
      <c r="W78" s="10">
        <f t="shared" si="11"/>
        <v>1.0915970779813614E-2</v>
      </c>
      <c r="X78" s="148">
        <f t="shared" si="12"/>
        <v>1.0888185155008272</v>
      </c>
      <c r="AS78" s="13"/>
      <c r="AT78" s="13"/>
    </row>
    <row r="79" spans="1:46" x14ac:dyDescent="0.2">
      <c r="A79" s="97">
        <f>'Raw Data'!A79</f>
        <v>357.53591918945312</v>
      </c>
      <c r="B79" s="107">
        <f>'Raw Data'!E79</f>
        <v>0.31923243647934674</v>
      </c>
      <c r="C79" s="107">
        <f t="shared" si="1"/>
        <v>0.68076756352065326</v>
      </c>
      <c r="D79" s="87">
        <f t="shared" si="2"/>
        <v>1.7731538540242175E-2</v>
      </c>
      <c r="E79" s="80">
        <f>(2*Table!$AC$16*0.147)/A79</f>
        <v>0.30550854132911748</v>
      </c>
      <c r="F79" s="80">
        <f t="shared" si="3"/>
        <v>0.61101708265823496</v>
      </c>
      <c r="G79" s="97">
        <f>IF((('Raw Data'!C79)/('Raw Data'!C$136)*100)&lt;0,0,('Raw Data'!C79)/('Raw Data'!C$136)*100)</f>
        <v>34.690677709712354</v>
      </c>
      <c r="H79" s="97">
        <f t="shared" si="4"/>
        <v>1.9268690098685539</v>
      </c>
      <c r="I79" s="23">
        <f t="shared" si="5"/>
        <v>3.9256744104031793E-2</v>
      </c>
      <c r="J79" s="80">
        <f>'Raw Data'!F79/I79</f>
        <v>0.45168133386846743</v>
      </c>
      <c r="K79" s="110">
        <f t="shared" si="6"/>
        <v>0.3375967520054296</v>
      </c>
      <c r="L79" s="97">
        <f>A79*Table!$AC$9/$AC$16</f>
        <v>67.363092077447448</v>
      </c>
      <c r="M79" s="97">
        <f>A79*Table!$AD$9/$AC$16</f>
        <v>23.095917283696267</v>
      </c>
      <c r="N79" s="97">
        <f>ABS(A79*Table!$AE$9/$AC$16)</f>
        <v>29.169074508269873</v>
      </c>
      <c r="O79" s="97">
        <f>($L79*(Table!$AC$10/Table!$AC$9)/(Table!$AC$12-Table!$AC$14))</f>
        <v>144.49397700010181</v>
      </c>
      <c r="P79" s="97">
        <f>$N79*(Table!$AE$10/Table!$AE$9)/(Table!$AC$12-Table!$AC$13)</f>
        <v>239.48337034704323</v>
      </c>
      <c r="Q79" s="97">
        <f>'Raw Data'!C79</f>
        <v>0.45382535199914126</v>
      </c>
      <c r="R79" s="97">
        <f>'Raw Data'!C79/'Raw Data'!I$30*100</f>
        <v>5.6082268193011</v>
      </c>
      <c r="S79" s="38">
        <f t="shared" si="7"/>
        <v>0.74479625629806778</v>
      </c>
      <c r="T79" s="38">
        <f t="shared" si="8"/>
        <v>3.8539168602581442E-2</v>
      </c>
      <c r="U79" s="10">
        <f t="shared" si="9"/>
        <v>1.5685771745717614E-2</v>
      </c>
      <c r="V79" s="10">
        <f t="shared" si="10"/>
        <v>0.35446499847785146</v>
      </c>
      <c r="W79" s="10">
        <f t="shared" si="11"/>
        <v>8.6894884700898234E-3</v>
      </c>
      <c r="X79" s="148">
        <f t="shared" si="12"/>
        <v>1.0975080039709171</v>
      </c>
      <c r="AS79" s="13"/>
      <c r="AT79" s="13"/>
    </row>
    <row r="80" spans="1:46" x14ac:dyDescent="0.2">
      <c r="A80" s="97">
        <f>'Raw Data'!A80</f>
        <v>391.8616943359375</v>
      </c>
      <c r="B80" s="107">
        <f>'Raw Data'!E80</f>
        <v>0.33709405049452612</v>
      </c>
      <c r="C80" s="107">
        <f t="shared" si="1"/>
        <v>0.66290594950547388</v>
      </c>
      <c r="D80" s="87">
        <f t="shared" si="2"/>
        <v>1.7861614015179383E-2</v>
      </c>
      <c r="E80" s="80">
        <f>(2*Table!$AC$16*0.147)/A80</f>
        <v>0.27874701386528861</v>
      </c>
      <c r="F80" s="80">
        <f t="shared" si="3"/>
        <v>0.55749402773057721</v>
      </c>
      <c r="G80" s="97">
        <f>IF((('Raw Data'!C80)/('Raw Data'!C$136)*100)&lt;0,0,('Raw Data'!C80)/('Raw Data'!C$136)*100)</f>
        <v>36.631681894655067</v>
      </c>
      <c r="H80" s="97">
        <f t="shared" si="4"/>
        <v>1.9410041849427131</v>
      </c>
      <c r="I80" s="23">
        <f t="shared" si="5"/>
        <v>3.9813133029397041E-2</v>
      </c>
      <c r="J80" s="80">
        <f>'Raw Data'!F80/I80</f>
        <v>0.44863623272227299</v>
      </c>
      <c r="K80" s="110">
        <f t="shared" si="6"/>
        <v>0.37000823733477173</v>
      </c>
      <c r="L80" s="97">
        <f>A80*Table!$AC$9/$AC$16</f>
        <v>73.83038732729095</v>
      </c>
      <c r="M80" s="97">
        <f>A80*Table!$AD$9/$AC$16</f>
        <v>25.313275655071184</v>
      </c>
      <c r="N80" s="97">
        <f>ABS(A80*Table!$AE$9/$AC$16)</f>
        <v>31.969495498339327</v>
      </c>
      <c r="O80" s="97">
        <f>($L80*(Table!$AC$10/Table!$AC$9)/(Table!$AC$12-Table!$AC$14))</f>
        <v>158.3663391833783</v>
      </c>
      <c r="P80" s="97">
        <f>$N80*(Table!$AE$10/Table!$AE$9)/(Table!$AC$12-Table!$AC$13)</f>
        <v>262.47533249868081</v>
      </c>
      <c r="Q80" s="97">
        <f>'Raw Data'!C80</f>
        <v>0.47921767540182914</v>
      </c>
      <c r="R80" s="97">
        <f>'Raw Data'!C80/'Raw Data'!I$30*100</f>
        <v>5.9220169336788233</v>
      </c>
      <c r="S80" s="38">
        <f t="shared" si="7"/>
        <v>0.75025995176643079</v>
      </c>
      <c r="T80" s="38">
        <f t="shared" si="8"/>
        <v>3.215556185328583E-2</v>
      </c>
      <c r="U80" s="10">
        <f t="shared" si="9"/>
        <v>1.5112518062564089E-2</v>
      </c>
      <c r="V80" s="10">
        <f t="shared" si="10"/>
        <v>0.33283690903934188</v>
      </c>
      <c r="W80" s="10">
        <f t="shared" si="11"/>
        <v>7.2868901912225307E-3</v>
      </c>
      <c r="X80" s="148">
        <f t="shared" si="12"/>
        <v>1.1047948941621397</v>
      </c>
      <c r="AS80" s="13"/>
      <c r="AT80" s="13"/>
    </row>
    <row r="81" spans="1:46" x14ac:dyDescent="0.2">
      <c r="A81" s="97">
        <f>'Raw Data'!A81</f>
        <v>428.64804077148437</v>
      </c>
      <c r="B81" s="107">
        <f>'Raw Data'!E81</f>
        <v>0.35514428810752369</v>
      </c>
      <c r="C81" s="107">
        <f t="shared" si="1"/>
        <v>0.64485571189247626</v>
      </c>
      <c r="D81" s="87">
        <f t="shared" si="2"/>
        <v>1.8050237612997566E-2</v>
      </c>
      <c r="E81" s="80">
        <f>(2*Table!$AC$16*0.147)/A81</f>
        <v>0.25482509367765094</v>
      </c>
      <c r="F81" s="80">
        <f t="shared" si="3"/>
        <v>0.50965018735530188</v>
      </c>
      <c r="G81" s="97">
        <f>IF((('Raw Data'!C81)/('Raw Data'!C$136)*100)&lt;0,0,('Raw Data'!C81)/('Raw Data'!C$136)*100)</f>
        <v>38.59318362211733</v>
      </c>
      <c r="H81" s="97">
        <f t="shared" si="4"/>
        <v>1.961501727462263</v>
      </c>
      <c r="I81" s="23">
        <f t="shared" si="5"/>
        <v>3.8968031074739673E-2</v>
      </c>
      <c r="J81" s="80">
        <f>'Raw Data'!F81/I81</f>
        <v>0.46320630309439237</v>
      </c>
      <c r="K81" s="110">
        <f t="shared" si="6"/>
        <v>0.40474307209750371</v>
      </c>
      <c r="L81" s="97">
        <f>A81*Table!$AC$9/$AC$16</f>
        <v>80.761277090055032</v>
      </c>
      <c r="M81" s="97">
        <f>A81*Table!$AD$9/$AC$16</f>
        <v>27.689580716590296</v>
      </c>
      <c r="N81" s="97">
        <f>ABS(A81*Table!$AE$9/$AC$16)</f>
        <v>34.970658801030922</v>
      </c>
      <c r="O81" s="97">
        <f>($L81*(Table!$AC$10/Table!$AC$9)/(Table!$AC$12-Table!$AC$14))</f>
        <v>173.23311259128064</v>
      </c>
      <c r="P81" s="97">
        <f>$N81*(Table!$AE$10/Table!$AE$9)/(Table!$AC$12-Table!$AC$13)</f>
        <v>287.11542529582033</v>
      </c>
      <c r="Q81" s="97">
        <f>'Raw Data'!C81</f>
        <v>0.50487814878206705</v>
      </c>
      <c r="R81" s="97">
        <f>'Raw Data'!C81/'Raw Data'!I$30*100</f>
        <v>6.2391207586922937</v>
      </c>
      <c r="S81" s="38">
        <f t="shared" si="7"/>
        <v>0.75818290493744966</v>
      </c>
      <c r="T81" s="38">
        <f t="shared" si="8"/>
        <v>2.6764276906937279E-2</v>
      </c>
      <c r="U81" s="10">
        <f t="shared" si="9"/>
        <v>1.4555346497007361E-2</v>
      </c>
      <c r="V81" s="10">
        <f t="shared" si="10"/>
        <v>0.31235180874921092</v>
      </c>
      <c r="W81" s="10">
        <f t="shared" si="11"/>
        <v>6.154154373304516E-3</v>
      </c>
      <c r="X81" s="148">
        <f t="shared" si="12"/>
        <v>1.1109490485354443</v>
      </c>
      <c r="AS81" s="13"/>
      <c r="AT81" s="13"/>
    </row>
    <row r="82" spans="1:46" x14ac:dyDescent="0.2">
      <c r="A82" s="97">
        <f>'Raw Data'!A82</f>
        <v>469.199951171875</v>
      </c>
      <c r="B82" s="107">
        <f>'Raw Data'!E82</f>
        <v>0.37293980244830194</v>
      </c>
      <c r="C82" s="107">
        <f t="shared" si="1"/>
        <v>0.62706019755169806</v>
      </c>
      <c r="D82" s="87">
        <f t="shared" si="2"/>
        <v>1.7795514340778251E-2</v>
      </c>
      <c r="E82" s="80">
        <f>(2*Table!$AC$16*0.147)/A82</f>
        <v>0.23280112641001183</v>
      </c>
      <c r="F82" s="80">
        <f t="shared" si="3"/>
        <v>0.46560225282002365</v>
      </c>
      <c r="G82" s="97">
        <f>IF((('Raw Data'!C82)/('Raw Data'!C$136)*100)&lt;0,0,('Raw Data'!C82)/('Raw Data'!C$136)*100)</f>
        <v>40.527004819871593</v>
      </c>
      <c r="H82" s="97">
        <f t="shared" si="4"/>
        <v>1.9338211977542628</v>
      </c>
      <c r="I82" s="23">
        <f t="shared" si="5"/>
        <v>3.9257115217374183E-2</v>
      </c>
      <c r="J82" s="80">
        <f>'Raw Data'!F82/I82</f>
        <v>0.45330672522015619</v>
      </c>
      <c r="K82" s="110">
        <f t="shared" si="6"/>
        <v>0.44303347175811186</v>
      </c>
      <c r="L82" s="97">
        <f>A82*Table!$AC$9/$AC$16</f>
        <v>88.401634121624838</v>
      </c>
      <c r="M82" s="97">
        <f>A82*Table!$AD$9/$AC$16</f>
        <v>30.309131698842801</v>
      </c>
      <c r="N82" s="97">
        <f>ABS(A82*Table!$AE$9/$AC$16)</f>
        <v>38.279030442692182</v>
      </c>
      <c r="O82" s="97">
        <f>($L82*(Table!$AC$10/Table!$AC$9)/(Table!$AC$12-Table!$AC$14))</f>
        <v>189.62169481258013</v>
      </c>
      <c r="P82" s="97">
        <f>$N82*(Table!$AE$10/Table!$AE$9)/(Table!$AC$12-Table!$AC$13)</f>
        <v>314.27775404509174</v>
      </c>
      <c r="Q82" s="97">
        <f>'Raw Data'!C82</f>
        <v>0.53017650395166127</v>
      </c>
      <c r="R82" s="97">
        <f>'Raw Data'!C82/'Raw Data'!I$30*100</f>
        <v>6.5517496440582912</v>
      </c>
      <c r="S82" s="38">
        <f t="shared" si="7"/>
        <v>0.74748349839072659</v>
      </c>
      <c r="T82" s="38">
        <f t="shared" si="8"/>
        <v>2.2328132475972873E-2</v>
      </c>
      <c r="U82" s="10">
        <f t="shared" si="9"/>
        <v>1.3963662246116233E-2</v>
      </c>
      <c r="V82" s="10">
        <f t="shared" si="10"/>
        <v>0.29118350680807353</v>
      </c>
      <c r="W82" s="10">
        <f t="shared" si="11"/>
        <v>5.0638610131191223E-3</v>
      </c>
      <c r="X82" s="148">
        <f t="shared" si="12"/>
        <v>1.1160129095485634</v>
      </c>
      <c r="AS82" s="13"/>
      <c r="AT82" s="13"/>
    </row>
    <row r="83" spans="1:46" x14ac:dyDescent="0.2">
      <c r="A83" s="97">
        <f>'Raw Data'!A83</f>
        <v>512.8580322265625</v>
      </c>
      <c r="B83" s="107">
        <f>'Raw Data'!E83</f>
        <v>0.39070426103345296</v>
      </c>
      <c r="C83" s="107">
        <f t="shared" si="1"/>
        <v>0.60929573896654698</v>
      </c>
      <c r="D83" s="87">
        <f t="shared" si="2"/>
        <v>1.7764458585151022E-2</v>
      </c>
      <c r="E83" s="80">
        <f>(2*Table!$AC$16*0.147)/A83</f>
        <v>0.21298345795641352</v>
      </c>
      <c r="F83" s="80">
        <f t="shared" si="3"/>
        <v>0.42596691591282704</v>
      </c>
      <c r="G83" s="97">
        <f>IF((('Raw Data'!C83)/('Raw Data'!C$136)*100)&lt;0,0,('Raw Data'!C83)/('Raw Data'!C$136)*100)</f>
        <v>42.45745121893254</v>
      </c>
      <c r="H83" s="97">
        <f t="shared" si="4"/>
        <v>1.9304463990609477</v>
      </c>
      <c r="I83" s="23">
        <f t="shared" si="5"/>
        <v>3.8639203445796855E-2</v>
      </c>
      <c r="J83" s="80">
        <f>'Raw Data'!F83/I83</f>
        <v>0.45975219468670042</v>
      </c>
      <c r="K83" s="110">
        <f t="shared" si="6"/>
        <v>0.48425681624407491</v>
      </c>
      <c r="L83" s="97">
        <f>A83*Table!$AC$9/$AC$16</f>
        <v>96.627222590271018</v>
      </c>
      <c r="M83" s="97">
        <f>A83*Table!$AD$9/$AC$16</f>
        <v>33.12933345952149</v>
      </c>
      <c r="N83" s="97">
        <f>ABS(A83*Table!$AE$9/$AC$16)</f>
        <v>41.840814730154143</v>
      </c>
      <c r="O83" s="97">
        <f>($L83*(Table!$AC$10/Table!$AC$9)/(Table!$AC$12-Table!$AC$14))</f>
        <v>207.26559972173109</v>
      </c>
      <c r="P83" s="97">
        <f>$N83*(Table!$AE$10/Table!$AE$9)/(Table!$AC$12-Table!$AC$13)</f>
        <v>343.52064638878602</v>
      </c>
      <c r="Q83" s="97">
        <f>'Raw Data'!C83</f>
        <v>0.55543070981930942</v>
      </c>
      <c r="R83" s="97">
        <f>'Raw Data'!C83/'Raw Data'!I$30*100</f>
        <v>6.8638329466397741</v>
      </c>
      <c r="S83" s="38">
        <f t="shared" si="7"/>
        <v>0.74617903118529072</v>
      </c>
      <c r="T83" s="38">
        <f t="shared" si="8"/>
        <v>1.8621592388999186E-2</v>
      </c>
      <c r="U83" s="10">
        <f t="shared" si="9"/>
        <v>1.3383495071414959E-2</v>
      </c>
      <c r="V83" s="10">
        <f t="shared" si="10"/>
        <v>0.27102040719688425</v>
      </c>
      <c r="W83" s="10">
        <f t="shared" si="11"/>
        <v>4.2310173016411167E-3</v>
      </c>
      <c r="X83" s="148">
        <f t="shared" si="12"/>
        <v>1.1202439268502045</v>
      </c>
      <c r="AS83" s="13"/>
      <c r="AT83" s="13"/>
    </row>
    <row r="84" spans="1:46" x14ac:dyDescent="0.2">
      <c r="A84" s="97">
        <f>'Raw Data'!A84</f>
        <v>561.77740478515625</v>
      </c>
      <c r="B84" s="107">
        <f>'Raw Data'!E84</f>
        <v>0.40868148458268855</v>
      </c>
      <c r="C84" s="107">
        <f t="shared" si="1"/>
        <v>0.59131851541731151</v>
      </c>
      <c r="D84" s="87">
        <f t="shared" si="2"/>
        <v>1.7977223549235588E-2</v>
      </c>
      <c r="E84" s="80">
        <f>(2*Table!$AC$16*0.147)/A84</f>
        <v>0.19443693572209195</v>
      </c>
      <c r="F84" s="80">
        <f t="shared" si="3"/>
        <v>0.38887387144418389</v>
      </c>
      <c r="G84" s="97">
        <f>IF((('Raw Data'!C84)/('Raw Data'!C$136)*100)&lt;0,0,('Raw Data'!C84)/('Raw Data'!C$136)*100)</f>
        <v>44.411018579254119</v>
      </c>
      <c r="H84" s="97">
        <f t="shared" si="4"/>
        <v>1.9535673603215784</v>
      </c>
      <c r="I84" s="23">
        <f t="shared" si="5"/>
        <v>3.9567105791215695E-2</v>
      </c>
      <c r="J84" s="80">
        <f>'Raw Data'!F84/I84</f>
        <v>0.45434770094371463</v>
      </c>
      <c r="K84" s="110">
        <f t="shared" si="6"/>
        <v>0.53044803899832282</v>
      </c>
      <c r="L84" s="97">
        <f>A84*Table!$AC$9/$AC$16</f>
        <v>105.84408730558746</v>
      </c>
      <c r="M84" s="97">
        <f>A84*Table!$AD$9/$AC$16</f>
        <v>36.289401361915708</v>
      </c>
      <c r="N84" s="97">
        <f>ABS(A84*Table!$AE$9/$AC$16)</f>
        <v>45.831834223508388</v>
      </c>
      <c r="O84" s="97">
        <f>($L84*(Table!$AC$10/Table!$AC$9)/(Table!$AC$12-Table!$AC$14))</f>
        <v>227.03579430627946</v>
      </c>
      <c r="P84" s="97">
        <f>$N84*(Table!$AE$10/Table!$AE$9)/(Table!$AC$12-Table!$AC$13)</f>
        <v>376.28763730302444</v>
      </c>
      <c r="Q84" s="97">
        <f>'Raw Data'!C84</f>
        <v>0.58098738537263128</v>
      </c>
      <c r="R84" s="97">
        <f>'Raw Data'!C84/'Raw Data'!I$30*100</f>
        <v>7.1796540717024113</v>
      </c>
      <c r="S84" s="38">
        <f t="shared" si="7"/>
        <v>0.75511601927360206</v>
      </c>
      <c r="T84" s="38">
        <f t="shared" si="8"/>
        <v>1.549547607400581E-2</v>
      </c>
      <c r="U84" s="10">
        <f t="shared" si="9"/>
        <v>1.2780247141566984E-2</v>
      </c>
      <c r="V84" s="10">
        <f t="shared" si="10"/>
        <v>0.25068639854500369</v>
      </c>
      <c r="W84" s="10">
        <f t="shared" si="11"/>
        <v>3.5684632852517472E-3</v>
      </c>
      <c r="X84" s="148">
        <f t="shared" si="12"/>
        <v>1.1238123901354562</v>
      </c>
      <c r="AS84" s="13"/>
      <c r="AT84" s="13"/>
    </row>
    <row r="85" spans="1:46" x14ac:dyDescent="0.2">
      <c r="A85" s="97">
        <f>'Raw Data'!A85</f>
        <v>613.458740234375</v>
      </c>
      <c r="B85" s="107">
        <f>'Raw Data'!E85</f>
        <v>0.42626607465006533</v>
      </c>
      <c r="C85" s="107">
        <f t="shared" si="1"/>
        <v>0.57373392534993473</v>
      </c>
      <c r="D85" s="87">
        <f t="shared" si="2"/>
        <v>1.7584590067376782E-2</v>
      </c>
      <c r="E85" s="80">
        <f>(2*Table!$AC$16*0.147)/A85</f>
        <v>0.17805643636702131</v>
      </c>
      <c r="F85" s="80">
        <f t="shared" si="3"/>
        <v>0.35611287273404263</v>
      </c>
      <c r="G85" s="97">
        <f>IF((('Raw Data'!C85)/('Raw Data'!C$136)*100)&lt;0,0,('Raw Data'!C85)/('Raw Data'!C$136)*100)</f>
        <v>46.321918841810124</v>
      </c>
      <c r="H85" s="97">
        <f t="shared" si="4"/>
        <v>1.9109002625560052</v>
      </c>
      <c r="I85" s="23">
        <f t="shared" si="5"/>
        <v>3.82210909536711E-2</v>
      </c>
      <c r="J85" s="80">
        <f>'Raw Data'!F85/I85</f>
        <v>0.46007556635920144</v>
      </c>
      <c r="K85" s="110">
        <f t="shared" si="6"/>
        <v>0.57924719469298225</v>
      </c>
      <c r="L85" s="97">
        <f>A85*Table!$AC$9/$AC$16</f>
        <v>115.58133151434743</v>
      </c>
      <c r="M85" s="97">
        <f>A85*Table!$AD$9/$AC$16</f>
        <v>39.627885090633406</v>
      </c>
      <c r="N85" s="97">
        <f>ABS(A85*Table!$AE$9/$AC$16)</f>
        <v>50.048184647327901</v>
      </c>
      <c r="O85" s="97">
        <f>($L85*(Table!$AC$10/Table!$AC$9)/(Table!$AC$12-Table!$AC$14))</f>
        <v>247.92220402047928</v>
      </c>
      <c r="P85" s="97">
        <f>$N85*(Table!$AE$10/Table!$AE$9)/(Table!$AC$12-Table!$AC$13)</f>
        <v>410.90463585655084</v>
      </c>
      <c r="Q85" s="97">
        <f>'Raw Data'!C85</f>
        <v>0.60598588760849093</v>
      </c>
      <c r="R85" s="97">
        <f>'Raw Data'!C85/'Raw Data'!I$30*100</f>
        <v>7.4885774715608031</v>
      </c>
      <c r="S85" s="38">
        <f t="shared" si="7"/>
        <v>0.7386238267477232</v>
      </c>
      <c r="T85" s="38">
        <f t="shared" si="8"/>
        <v>1.2931153942334794E-2</v>
      </c>
      <c r="U85" s="10">
        <f t="shared" si="9"/>
        <v>1.2207141214908365E-2</v>
      </c>
      <c r="V85" s="10">
        <f t="shared" si="10"/>
        <v>0.23197282777279488</v>
      </c>
      <c r="W85" s="10">
        <f t="shared" si="11"/>
        <v>2.9271749533241113E-3</v>
      </c>
      <c r="X85" s="148">
        <f t="shared" si="12"/>
        <v>1.1267395650887804</v>
      </c>
      <c r="AS85" s="13"/>
      <c r="AT85" s="13"/>
    </row>
    <row r="86" spans="1:46" x14ac:dyDescent="0.2">
      <c r="A86" s="97">
        <f>'Raw Data'!A86</f>
        <v>671.80816650390625</v>
      </c>
      <c r="B86" s="107">
        <f>'Raw Data'!E86</f>
        <v>0.44430130355441622</v>
      </c>
      <c r="C86" s="107">
        <f t="shared" si="1"/>
        <v>0.55569869644558378</v>
      </c>
      <c r="D86" s="87">
        <f t="shared" si="2"/>
        <v>1.8035228904350886E-2</v>
      </c>
      <c r="E86" s="80">
        <f>(2*Table!$AC$16*0.147)/A86</f>
        <v>0.16259146969404981</v>
      </c>
      <c r="F86" s="80">
        <f t="shared" si="3"/>
        <v>0.32518293938809961</v>
      </c>
      <c r="G86" s="97">
        <f>IF((('Raw Data'!C86)/('Raw Data'!C$136)*100)&lt;0,0,('Raw Data'!C86)/('Raw Data'!C$136)*100)</f>
        <v>48.281789587533055</v>
      </c>
      <c r="H86" s="97">
        <f t="shared" si="4"/>
        <v>1.959870745722931</v>
      </c>
      <c r="I86" s="23">
        <f t="shared" si="5"/>
        <v>3.9459920385381708E-2</v>
      </c>
      <c r="J86" s="80">
        <f>'Raw Data'!F86/I86</f>
        <v>0.45705183204151123</v>
      </c>
      <c r="K86" s="110">
        <f t="shared" si="6"/>
        <v>0.63434257317867804</v>
      </c>
      <c r="L86" s="97">
        <f>A86*Table!$AC$9/$AC$16</f>
        <v>126.57490604350654</v>
      </c>
      <c r="M86" s="97">
        <f>A86*Table!$AD$9/$AC$16</f>
        <v>43.397110643487956</v>
      </c>
      <c r="N86" s="97">
        <f>ABS(A86*Table!$AE$9/$AC$16)</f>
        <v>54.808542057652573</v>
      </c>
      <c r="O86" s="97">
        <f>($L86*(Table!$AC$10/Table!$AC$9)/(Table!$AC$12-Table!$AC$14))</f>
        <v>271.50344496676655</v>
      </c>
      <c r="P86" s="97">
        <f>$N86*(Table!$AE$10/Table!$AE$9)/(Table!$AC$12-Table!$AC$13)</f>
        <v>449.98803002998812</v>
      </c>
      <c r="Q86" s="97">
        <f>'Raw Data'!C86</f>
        <v>0.63162502439599488</v>
      </c>
      <c r="R86" s="97">
        <f>'Raw Data'!C86/'Raw Data'!I$30*100</f>
        <v>7.8054176258668617</v>
      </c>
      <c r="S86" s="38">
        <f t="shared" si="7"/>
        <v>0.75755247853725061</v>
      </c>
      <c r="T86" s="38">
        <f t="shared" si="8"/>
        <v>1.0738136175559521E-2</v>
      </c>
      <c r="U86" s="10">
        <f t="shared" si="9"/>
        <v>1.1618521499204604E-2</v>
      </c>
      <c r="V86" s="10">
        <f t="shared" si="10"/>
        <v>0.21337474249968644</v>
      </c>
      <c r="W86" s="10">
        <f t="shared" si="11"/>
        <v>2.5033308412449793E-3</v>
      </c>
      <c r="X86" s="148">
        <f t="shared" si="12"/>
        <v>1.1292428959300254</v>
      </c>
      <c r="AS86" s="13"/>
      <c r="AT86" s="13"/>
    </row>
    <row r="87" spans="1:46" x14ac:dyDescent="0.2">
      <c r="A87" s="97">
        <f>'Raw Data'!A87</f>
        <v>734.5745849609375</v>
      </c>
      <c r="B87" s="107">
        <f>'Raw Data'!E87</f>
        <v>0.46221901143823235</v>
      </c>
      <c r="C87" s="107">
        <f t="shared" si="1"/>
        <v>0.5377809885617677</v>
      </c>
      <c r="D87" s="87">
        <f t="shared" si="2"/>
        <v>1.7917707883816136E-2</v>
      </c>
      <c r="E87" s="80">
        <f>(2*Table!$AC$16*0.147)/A87</f>
        <v>0.14869868816676199</v>
      </c>
      <c r="F87" s="80">
        <f t="shared" si="3"/>
        <v>0.29739737633352398</v>
      </c>
      <c r="G87" s="97">
        <f>IF((('Raw Data'!C87)/('Raw Data'!C$136)*100)&lt;0,0,('Raw Data'!C87)/('Raw Data'!C$136)*100)</f>
        <v>50.228889438504652</v>
      </c>
      <c r="H87" s="97">
        <f t="shared" si="4"/>
        <v>1.9470998509715969</v>
      </c>
      <c r="I87" s="23">
        <f t="shared" si="5"/>
        <v>3.8790619590239772E-2</v>
      </c>
      <c r="J87" s="80">
        <f>'Raw Data'!F87/I87</f>
        <v>0.46190826733596352</v>
      </c>
      <c r="K87" s="110">
        <f t="shared" si="6"/>
        <v>0.69360861574622001</v>
      </c>
      <c r="L87" s="97">
        <f>A87*Table!$AC$9/$AC$16</f>
        <v>138.40068297657089</v>
      </c>
      <c r="M87" s="97">
        <f>A87*Table!$AD$9/$AC$16</f>
        <v>47.451662734824303</v>
      </c>
      <c r="N87" s="97">
        <f>ABS(A87*Table!$AE$9/$AC$16)</f>
        <v>59.929253679413442</v>
      </c>
      <c r="O87" s="97">
        <f>($L87*(Table!$AC$10/Table!$AC$9)/(Table!$AC$12-Table!$AC$14))</f>
        <v>296.86976185450646</v>
      </c>
      <c r="P87" s="97">
        <f>$N87*(Table!$AE$10/Table!$AE$9)/(Table!$AC$12-Table!$AC$13)</f>
        <v>492.02999736792634</v>
      </c>
      <c r="Q87" s="97">
        <f>'Raw Data'!C87</f>
        <v>0.65709709163662045</v>
      </c>
      <c r="R87" s="97">
        <f>'Raw Data'!C87/'Raw Data'!I$30*100</f>
        <v>8.1201931887847039</v>
      </c>
      <c r="S87" s="38">
        <f t="shared" si="7"/>
        <v>0.75261612087533869</v>
      </c>
      <c r="T87" s="38">
        <f t="shared" si="8"/>
        <v>8.9158285014054872E-3</v>
      </c>
      <c r="U87" s="10">
        <f t="shared" si="9"/>
        <v>1.1054280062271025E-2</v>
      </c>
      <c r="V87" s="10">
        <f t="shared" si="10"/>
        <v>0.19614755959975949</v>
      </c>
      <c r="W87" s="10">
        <f t="shared" si="11"/>
        <v>2.0801650912547678E-3</v>
      </c>
      <c r="X87" s="148">
        <f t="shared" si="12"/>
        <v>1.1313230610212801</v>
      </c>
      <c r="AS87" s="13"/>
      <c r="AT87" s="13"/>
    </row>
    <row r="88" spans="1:46" x14ac:dyDescent="0.2">
      <c r="A88" s="97">
        <f>'Raw Data'!A88</f>
        <v>804.4002685546875</v>
      </c>
      <c r="B88" s="107">
        <f>'Raw Data'!E88</f>
        <v>0.48052014935049198</v>
      </c>
      <c r="C88" s="107">
        <f t="shared" si="1"/>
        <v>0.51947985064950797</v>
      </c>
      <c r="D88" s="87">
        <f t="shared" si="2"/>
        <v>1.8301137912259624E-2</v>
      </c>
      <c r="E88" s="80">
        <f>(2*Table!$AC$16*0.147)/A88</f>
        <v>0.13579095061789997</v>
      </c>
      <c r="F88" s="80">
        <f t="shared" si="3"/>
        <v>0.27158190123579995</v>
      </c>
      <c r="G88" s="97">
        <f>IF((('Raw Data'!C88)/('Raw Data'!C$136)*100)&lt;0,0,('Raw Data'!C88)/('Raw Data'!C$136)*100)</f>
        <v>52.217656256929992</v>
      </c>
      <c r="H88" s="97">
        <f t="shared" si="4"/>
        <v>1.98876681842534</v>
      </c>
      <c r="I88" s="23">
        <f t="shared" si="5"/>
        <v>3.9436308502822315E-2</v>
      </c>
      <c r="J88" s="80">
        <f>'Raw Data'!F88/I88</f>
        <v>0.46406823070039321</v>
      </c>
      <c r="K88" s="110">
        <f t="shared" si="6"/>
        <v>0.75954024029809586</v>
      </c>
      <c r="L88" s="97">
        <f>A88*Table!$AC$9/$AC$16</f>
        <v>151.55649110896746</v>
      </c>
      <c r="M88" s="97">
        <f>A88*Table!$AD$9/$AC$16</f>
        <v>51.962225523074558</v>
      </c>
      <c r="N88" s="97">
        <f>ABS(A88*Table!$AE$9/$AC$16)</f>
        <v>65.625885704398115</v>
      </c>
      <c r="O88" s="97">
        <f>($L88*(Table!$AC$10/Table!$AC$9)/(Table!$AC$12-Table!$AC$14))</f>
        <v>325.08899851773378</v>
      </c>
      <c r="P88" s="97">
        <f>$N88*(Table!$AE$10/Table!$AE$9)/(Table!$AC$12-Table!$AC$13)</f>
        <v>538.80037524136378</v>
      </c>
      <c r="Q88" s="97">
        <f>'Raw Data'!C88</f>
        <v>0.68311424843501301</v>
      </c>
      <c r="R88" s="97">
        <f>'Raw Data'!C88/'Raw Data'!I$30*100</f>
        <v>8.4417047920390402</v>
      </c>
      <c r="S88" s="38">
        <f t="shared" si="7"/>
        <v>0.76872173117468445</v>
      </c>
      <c r="T88" s="38">
        <f t="shared" si="8"/>
        <v>7.3636390455231737E-3</v>
      </c>
      <c r="U88" s="10">
        <f t="shared" si="9"/>
        <v>1.0494408221925062E-2</v>
      </c>
      <c r="V88" s="10">
        <f t="shared" si="10"/>
        <v>0.17964403266409651</v>
      </c>
      <c r="W88" s="10">
        <f t="shared" si="11"/>
        <v>1.7718250144774107E-3</v>
      </c>
      <c r="X88" s="148">
        <f t="shared" si="12"/>
        <v>1.1330948860357575</v>
      </c>
      <c r="AS88" s="13"/>
      <c r="AT88" s="13"/>
    </row>
    <row r="89" spans="1:46" x14ac:dyDescent="0.2">
      <c r="A89" s="97">
        <f>'Raw Data'!A89</f>
        <v>880.11578369140625</v>
      </c>
      <c r="B89" s="107">
        <f>'Raw Data'!E89</f>
        <v>0.49858161989637595</v>
      </c>
      <c r="C89" s="107">
        <f t="shared" si="1"/>
        <v>0.50141838010362405</v>
      </c>
      <c r="D89" s="87">
        <f t="shared" si="2"/>
        <v>1.8061470545883973E-2</v>
      </c>
      <c r="E89" s="80">
        <f>(2*Table!$AC$16*0.147)/A89</f>
        <v>0.12410898562254885</v>
      </c>
      <c r="F89" s="80">
        <f t="shared" si="3"/>
        <v>0.2482179712450977</v>
      </c>
      <c r="G89" s="97">
        <f>IF((('Raw Data'!C89)/('Raw Data'!C$136)*100)&lt;0,0,('Raw Data'!C89)/('Raw Data'!C$136)*100)</f>
        <v>54.180378656260039</v>
      </c>
      <c r="H89" s="97">
        <f t="shared" si="4"/>
        <v>1.9627223993300476</v>
      </c>
      <c r="I89" s="23">
        <f t="shared" si="5"/>
        <v>3.9067602631530751E-2</v>
      </c>
      <c r="J89" s="80">
        <f>'Raw Data'!F89/I89</f>
        <v>0.46231325521128569</v>
      </c>
      <c r="K89" s="110">
        <f t="shared" si="6"/>
        <v>0.83103323055351563</v>
      </c>
      <c r="L89" s="97">
        <f>A89*Table!$AC$9/$AC$16</f>
        <v>165.82199827649629</v>
      </c>
      <c r="M89" s="97">
        <f>A89*Table!$AD$9/$AC$16</f>
        <v>56.853256551941584</v>
      </c>
      <c r="N89" s="97">
        <f>ABS(A89*Table!$AE$9/$AC$16)</f>
        <v>71.8030315068726</v>
      </c>
      <c r="O89" s="97">
        <f>($L89*(Table!$AC$10/Table!$AC$9)/(Table!$AC$12-Table!$AC$14))</f>
        <v>355.68854199162655</v>
      </c>
      <c r="P89" s="97">
        <f>$N89*(Table!$AE$10/Table!$AE$9)/(Table!$AC$12-Table!$AC$13)</f>
        <v>589.51585802030036</v>
      </c>
      <c r="Q89" s="97">
        <f>'Raw Data'!C89</f>
        <v>0.70879069071169942</v>
      </c>
      <c r="R89" s="97">
        <f>'Raw Data'!C89/'Raw Data'!I$30*100</f>
        <v>8.759005955506483</v>
      </c>
      <c r="S89" s="38">
        <f t="shared" si="7"/>
        <v>0.75865473350111634</v>
      </c>
      <c r="T89" s="38">
        <f t="shared" si="8"/>
        <v>6.0840086805530325E-3</v>
      </c>
      <c r="U89" s="10">
        <f t="shared" si="9"/>
        <v>9.9521064362341222E-3</v>
      </c>
      <c r="V89" s="10">
        <f t="shared" si="10"/>
        <v>0.16422799135024826</v>
      </c>
      <c r="W89" s="10">
        <f t="shared" si="11"/>
        <v>1.4606986804003841E-3</v>
      </c>
      <c r="X89" s="148">
        <f t="shared" si="12"/>
        <v>1.1345555847161579</v>
      </c>
      <c r="AS89" s="13"/>
      <c r="AT89" s="13"/>
    </row>
    <row r="90" spans="1:46" x14ac:dyDescent="0.2">
      <c r="A90" s="97">
        <f>'Raw Data'!A90</f>
        <v>962.4754638671875</v>
      </c>
      <c r="B90" s="107">
        <f>'Raw Data'!E90</f>
        <v>0.51677486501628922</v>
      </c>
      <c r="C90" s="107">
        <f t="shared" si="1"/>
        <v>0.48322513498371078</v>
      </c>
      <c r="D90" s="87">
        <f t="shared" si="2"/>
        <v>1.8193245119913271E-2</v>
      </c>
      <c r="E90" s="80">
        <f>(2*Table!$AC$16*0.147)/A90</f>
        <v>0.11348889529656393</v>
      </c>
      <c r="F90" s="80">
        <f t="shared" si="3"/>
        <v>0.22697779059312786</v>
      </c>
      <c r="G90" s="97">
        <f>IF((('Raw Data'!C90)/('Raw Data'!C$136)*100)&lt;0,0,('Raw Data'!C90)/('Raw Data'!C$136)*100)</f>
        <v>56.157420870106442</v>
      </c>
      <c r="H90" s="97">
        <f t="shared" si="4"/>
        <v>1.9770422138464028</v>
      </c>
      <c r="I90" s="23">
        <f t="shared" si="5"/>
        <v>3.8849857418597811E-2</v>
      </c>
      <c r="J90" s="80">
        <f>'Raw Data'!F90/I90</f>
        <v>0.4682963163515752</v>
      </c>
      <c r="K90" s="110">
        <f t="shared" si="6"/>
        <v>0.90879985211865311</v>
      </c>
      <c r="L90" s="97">
        <f>A90*Table!$AC$9/$AC$16</f>
        <v>181.33932792473919</v>
      </c>
      <c r="M90" s="97">
        <f>A90*Table!$AD$9/$AC$16</f>
        <v>62.173483859910576</v>
      </c>
      <c r="N90" s="97">
        <f>ABS(A90*Table!$AE$9/$AC$16)</f>
        <v>78.522232344010504</v>
      </c>
      <c r="O90" s="97">
        <f>($L90*(Table!$AC$10/Table!$AC$9)/(Table!$AC$12-Table!$AC$14))</f>
        <v>388.97324737181304</v>
      </c>
      <c r="P90" s="97">
        <f>$N90*(Table!$AE$10/Table!$AE$9)/(Table!$AC$12-Table!$AC$13)</f>
        <v>644.68171054195795</v>
      </c>
      <c r="Q90" s="97">
        <f>'Raw Data'!C90</f>
        <v>0.73465446558874103</v>
      </c>
      <c r="R90" s="97">
        <f>'Raw Data'!C90/'Raw Data'!I$30*100</f>
        <v>9.0786221146188666</v>
      </c>
      <c r="S90" s="38">
        <f t="shared" si="7"/>
        <v>0.76418979799591746</v>
      </c>
      <c r="T90" s="38">
        <f t="shared" si="8"/>
        <v>5.006199481584539E-3</v>
      </c>
      <c r="U90" s="10">
        <f t="shared" si="9"/>
        <v>9.4325751205556248E-3</v>
      </c>
      <c r="V90" s="10">
        <f t="shared" si="10"/>
        <v>0.14999358544864347</v>
      </c>
      <c r="W90" s="10">
        <f t="shared" si="11"/>
        <v>1.2303197218155476E-3</v>
      </c>
      <c r="X90" s="148">
        <f t="shared" si="12"/>
        <v>1.1357859044379734</v>
      </c>
      <c r="AS90" s="13"/>
      <c r="AT90" s="13"/>
    </row>
    <row r="91" spans="1:46" x14ac:dyDescent="0.2">
      <c r="A91" s="97">
        <f>'Raw Data'!A91</f>
        <v>1048.5760498046875</v>
      </c>
      <c r="B91" s="107">
        <f>'Raw Data'!E91</f>
        <v>0.53421564522440124</v>
      </c>
      <c r="C91" s="107">
        <f t="shared" si="1"/>
        <v>0.46578435477559876</v>
      </c>
      <c r="D91" s="87">
        <f t="shared" si="2"/>
        <v>1.7440780208112017E-2</v>
      </c>
      <c r="E91" s="80">
        <f>(2*Table!$AC$16*0.147)/A91</f>
        <v>0.10417010493867447</v>
      </c>
      <c r="F91" s="80">
        <f t="shared" si="3"/>
        <v>0.20834020987734894</v>
      </c>
      <c r="G91" s="97">
        <f>IF((('Raw Data'!C91)/('Raw Data'!C$136)*100)&lt;0,0,('Raw Data'!C91)/('Raw Data'!C$136)*100)</f>
        <v>58.052693455430607</v>
      </c>
      <c r="H91" s="97">
        <f t="shared" si="4"/>
        <v>1.8952725853241645</v>
      </c>
      <c r="I91" s="23">
        <f t="shared" si="5"/>
        <v>3.7210266940379877E-2</v>
      </c>
      <c r="J91" s="80">
        <f>'Raw Data'!F91/I91</f>
        <v>0.46870881727498742</v>
      </c>
      <c r="K91" s="110">
        <f t="shared" si="6"/>
        <v>0.99009875552438897</v>
      </c>
      <c r="L91" s="97">
        <f>A91*Table!$AC$9/$AC$16</f>
        <v>197.56147900701032</v>
      </c>
      <c r="M91" s="97">
        <f>A91*Table!$AD$9/$AC$16</f>
        <v>67.735364230974966</v>
      </c>
      <c r="N91" s="97">
        <f>ABS(A91*Table!$AE$9/$AC$16)</f>
        <v>85.546629814648512</v>
      </c>
      <c r="O91" s="97">
        <f>($L91*(Table!$AC$10/Table!$AC$9)/(Table!$AC$12-Table!$AC$14))</f>
        <v>423.7697962398334</v>
      </c>
      <c r="P91" s="97">
        <f>$N91*(Table!$AE$10/Table!$AE$9)/(Table!$AC$12-Table!$AC$13)</f>
        <v>702.35328255048023</v>
      </c>
      <c r="Q91" s="97">
        <f>'Raw Data'!C91</f>
        <v>0.75944852569233623</v>
      </c>
      <c r="R91" s="97">
        <f>'Raw Data'!C91/'Raw Data'!I$30*100</f>
        <v>9.3850190847744894</v>
      </c>
      <c r="S91" s="38">
        <f t="shared" si="7"/>
        <v>0.73258323164899208</v>
      </c>
      <c r="T91" s="38">
        <f t="shared" si="8"/>
        <v>4.1356828152424585E-3</v>
      </c>
      <c r="U91" s="10">
        <f t="shared" si="9"/>
        <v>8.9502512350177997E-3</v>
      </c>
      <c r="V91" s="10">
        <f t="shared" si="10"/>
        <v>0.13725439606898762</v>
      </c>
      <c r="W91" s="10">
        <f t="shared" si="11"/>
        <v>9.9369519558264682E-4</v>
      </c>
      <c r="X91" s="148">
        <f t="shared" si="12"/>
        <v>1.1367795996335561</v>
      </c>
      <c r="AS91" s="13"/>
      <c r="AT91" s="13"/>
    </row>
    <row r="92" spans="1:46" x14ac:dyDescent="0.2">
      <c r="A92" s="97">
        <f>'Raw Data'!A92</f>
        <v>1148.3358154296875</v>
      </c>
      <c r="B92" s="107">
        <f>'Raw Data'!E92</f>
        <v>0.55279600175412402</v>
      </c>
      <c r="C92" s="107">
        <f t="shared" si="1"/>
        <v>0.44720399824587598</v>
      </c>
      <c r="D92" s="87">
        <f t="shared" si="2"/>
        <v>1.8580356529722786E-2</v>
      </c>
      <c r="E92" s="80">
        <f>(2*Table!$AC$16*0.147)/A92</f>
        <v>9.5120500185272863E-2</v>
      </c>
      <c r="F92" s="80">
        <f t="shared" si="3"/>
        <v>0.19024100037054573</v>
      </c>
      <c r="G92" s="97">
        <f>IF((('Raw Data'!C92)/('Raw Data'!C$136)*100)&lt;0,0,('Raw Data'!C92)/('Raw Data'!C$136)*100)</f>
        <v>60.07180268885547</v>
      </c>
      <c r="H92" s="97">
        <f t="shared" si="4"/>
        <v>2.0191092334248637</v>
      </c>
      <c r="I92" s="23">
        <f t="shared" si="5"/>
        <v>3.946897633309765E-2</v>
      </c>
      <c r="J92" s="80">
        <f>'Raw Data'!F92/I92</f>
        <v>0.47075851101164196</v>
      </c>
      <c r="K92" s="110">
        <f t="shared" si="6"/>
        <v>1.0842950895100021</v>
      </c>
      <c r="L92" s="97">
        <f>A92*Table!$AC$9/$AC$16</f>
        <v>216.35714656582851</v>
      </c>
      <c r="M92" s="97">
        <f>A92*Table!$AD$9/$AC$16</f>
        <v>74.179593108284067</v>
      </c>
      <c r="N92" s="97">
        <f>ABS(A92*Table!$AE$9/$AC$16)</f>
        <v>93.685392608160299</v>
      </c>
      <c r="O92" s="97">
        <f>($L92*(Table!$AC$10/Table!$AC$9)/(Table!$AC$12-Table!$AC$14))</f>
        <v>464.08654347024572</v>
      </c>
      <c r="P92" s="97">
        <f>$N92*(Table!$AE$10/Table!$AE$9)/(Table!$AC$12-Table!$AC$13)</f>
        <v>769.17399514088891</v>
      </c>
      <c r="Q92" s="97">
        <f>'Raw Data'!C92</f>
        <v>0.78586262363102288</v>
      </c>
      <c r="R92" s="97">
        <f>'Raw Data'!C92/'Raw Data'!I$30*100</f>
        <v>9.7114359581704655</v>
      </c>
      <c r="S92" s="38">
        <f t="shared" si="7"/>
        <v>0.78045004118587236</v>
      </c>
      <c r="T92" s="38">
        <f t="shared" si="8"/>
        <v>3.3624197410159207E-3</v>
      </c>
      <c r="U92" s="10">
        <f t="shared" si="9"/>
        <v>8.4569651383176736E-3</v>
      </c>
      <c r="V92" s="10">
        <f t="shared" si="10"/>
        <v>0.12470753168074543</v>
      </c>
      <c r="W92" s="10">
        <f t="shared" si="11"/>
        <v>8.8268017315416088E-4</v>
      </c>
      <c r="X92" s="148">
        <f t="shared" si="12"/>
        <v>1.1376622798067102</v>
      </c>
      <c r="AS92" s="13"/>
      <c r="AT92" s="13"/>
    </row>
    <row r="93" spans="1:46" x14ac:dyDescent="0.2">
      <c r="A93" s="97">
        <f>'Raw Data'!A93</f>
        <v>1258.6380615234375</v>
      </c>
      <c r="B93" s="107">
        <f>'Raw Data'!E93</f>
        <v>0.57132099597176367</v>
      </c>
      <c r="C93" s="107">
        <f t="shared" si="1"/>
        <v>0.42867900402823633</v>
      </c>
      <c r="D93" s="87">
        <f t="shared" si="2"/>
        <v>1.8524994217639645E-2</v>
      </c>
      <c r="E93" s="80">
        <f>(2*Table!$AC$16*0.147)/A93</f>
        <v>8.6784501822648116E-2</v>
      </c>
      <c r="F93" s="80">
        <f t="shared" si="3"/>
        <v>0.17356900364529623</v>
      </c>
      <c r="G93" s="97">
        <f>IF((('Raw Data'!C93)/('Raw Data'!C$136)*100)&lt;0,0,('Raw Data'!C93)/('Raw Data'!C$136)*100)</f>
        <v>62.084895753789048</v>
      </c>
      <c r="H93" s="97">
        <f t="shared" si="4"/>
        <v>2.0130930649335781</v>
      </c>
      <c r="I93" s="23">
        <f t="shared" si="5"/>
        <v>3.9831950541010075E-2</v>
      </c>
      <c r="J93" s="80">
        <f>'Raw Data'!F93/I93</f>
        <v>0.46507876129658099</v>
      </c>
      <c r="K93" s="110">
        <f t="shared" si="6"/>
        <v>1.1884459678457306</v>
      </c>
      <c r="L93" s="97">
        <f>A93*Table!$AC$9/$AC$16</f>
        <v>237.13911548466416</v>
      </c>
      <c r="M93" s="97">
        <f>A93*Table!$AD$9/$AC$16</f>
        <v>81.304839594741992</v>
      </c>
      <c r="N93" s="97">
        <f>ABS(A93*Table!$AE$9/$AC$16)</f>
        <v>102.68424912034546</v>
      </c>
      <c r="O93" s="97">
        <f>($L93*(Table!$AC$10/Table!$AC$9)/(Table!$AC$12-Table!$AC$14))</f>
        <v>508.66391137851605</v>
      </c>
      <c r="P93" s="97">
        <f>$N93*(Table!$AE$10/Table!$AE$9)/(Table!$AC$12-Table!$AC$13)</f>
        <v>843.05623251515135</v>
      </c>
      <c r="Q93" s="97">
        <f>'Raw Data'!C93</f>
        <v>0.81219801772292699</v>
      </c>
      <c r="R93" s="97">
        <f>'Raw Data'!C93/'Raw Data'!I$30*100</f>
        <v>10.036880234900426</v>
      </c>
      <c r="S93" s="38">
        <f t="shared" si="7"/>
        <v>0.77812460040779508</v>
      </c>
      <c r="T93" s="38">
        <f t="shared" si="8"/>
        <v>2.7206674784044926E-3</v>
      </c>
      <c r="U93" s="10">
        <f t="shared" si="9"/>
        <v>7.9743975188164336E-3</v>
      </c>
      <c r="V93" s="10">
        <f t="shared" si="10"/>
        <v>0.11291301725777991</v>
      </c>
      <c r="W93" s="10">
        <f t="shared" si="11"/>
        <v>7.3256051810123232E-4</v>
      </c>
      <c r="X93" s="148">
        <f t="shared" si="12"/>
        <v>1.1383948403248114</v>
      </c>
      <c r="AS93" s="13"/>
      <c r="AT93" s="13"/>
    </row>
    <row r="94" spans="1:46" x14ac:dyDescent="0.2">
      <c r="A94" s="97">
        <f>'Raw Data'!A94</f>
        <v>1378.488037109375</v>
      </c>
      <c r="B94" s="107">
        <f>'Raw Data'!E94</f>
        <v>0.58928448513667164</v>
      </c>
      <c r="C94" s="107">
        <f t="shared" si="1"/>
        <v>0.41071551486332836</v>
      </c>
      <c r="D94" s="87">
        <f t="shared" si="2"/>
        <v>1.7963489164907975E-2</v>
      </c>
      <c r="E94" s="80">
        <f>(2*Table!$AC$16*0.147)/A94</f>
        <v>7.923919120356375E-2</v>
      </c>
      <c r="F94" s="80">
        <f t="shared" si="3"/>
        <v>0.1584783824071275</v>
      </c>
      <c r="G94" s="97">
        <f>IF((('Raw Data'!C94)/('Raw Data'!C$136)*100)&lt;0,0,('Raw Data'!C94)/('Raw Data'!C$136)*100)</f>
        <v>64.036970611952938</v>
      </c>
      <c r="H94" s="97">
        <f t="shared" si="4"/>
        <v>1.9520748581638898</v>
      </c>
      <c r="I94" s="23">
        <f t="shared" si="5"/>
        <v>3.9502140751997761E-2</v>
      </c>
      <c r="J94" s="80">
        <f>'Raw Data'!F94/I94</f>
        <v>0.45474723199652156</v>
      </c>
      <c r="K94" s="110">
        <f t="shared" si="6"/>
        <v>1.3016121151169446</v>
      </c>
      <c r="L94" s="97">
        <f>A94*Table!$AC$9/$AC$16</f>
        <v>259.71996542885489</v>
      </c>
      <c r="M94" s="97">
        <f>A94*Table!$AD$9/$AC$16</f>
        <v>89.046845289893099</v>
      </c>
      <c r="N94" s="97">
        <f>ABS(A94*Table!$AE$9/$AC$16)</f>
        <v>112.46204396570225</v>
      </c>
      <c r="O94" s="97">
        <f>($L94*(Table!$AC$10/Table!$AC$9)/(Table!$AC$12-Table!$AC$14))</f>
        <v>557.09988294477671</v>
      </c>
      <c r="P94" s="97">
        <f>$N94*(Table!$AE$10/Table!$AE$9)/(Table!$AC$12-Table!$AC$13)</f>
        <v>923.33369429968991</v>
      </c>
      <c r="Q94" s="97">
        <f>'Raw Data'!C94</f>
        <v>0.83773516828101124</v>
      </c>
      <c r="R94" s="97">
        <f>'Raw Data'!C94/'Raw Data'!I$30*100</f>
        <v>10.352460076391187</v>
      </c>
      <c r="S94" s="38">
        <f t="shared" si="7"/>
        <v>0.75453911964323161</v>
      </c>
      <c r="T94" s="38">
        <f t="shared" si="8"/>
        <v>2.201872525631754E-3</v>
      </c>
      <c r="U94" s="10">
        <f t="shared" si="9"/>
        <v>7.5100108217839977E-3</v>
      </c>
      <c r="V94" s="10">
        <f t="shared" si="10"/>
        <v>0.10201900591651414</v>
      </c>
      <c r="W94" s="10">
        <f t="shared" si="11"/>
        <v>5.9220468946214941E-4</v>
      </c>
      <c r="X94" s="148">
        <f t="shared" si="12"/>
        <v>1.1389870450142736</v>
      </c>
      <c r="AS94" s="13"/>
      <c r="AT94" s="13"/>
    </row>
    <row r="95" spans="1:46" x14ac:dyDescent="0.2">
      <c r="A95" s="97">
        <f>'Raw Data'!A95</f>
        <v>1508.3704833984375</v>
      </c>
      <c r="B95" s="107">
        <f>'Raw Data'!E95</f>
        <v>0.60703308546363</v>
      </c>
      <c r="C95" s="107">
        <f t="shared" si="1"/>
        <v>0.39296691453637</v>
      </c>
      <c r="D95" s="87">
        <f t="shared" si="2"/>
        <v>1.7748600326958353E-2</v>
      </c>
      <c r="E95" s="80">
        <f>(2*Table!$AC$16*0.147)/A95</f>
        <v>7.2416079700945574E-2</v>
      </c>
      <c r="F95" s="80">
        <f t="shared" si="3"/>
        <v>0.14483215940189115</v>
      </c>
      <c r="G95" s="97">
        <f>IF((('Raw Data'!C95)/('Raw Data'!C$136)*100)&lt;0,0,('Raw Data'!C95)/('Raw Data'!C$136)*100)</f>
        <v>65.965693709553463</v>
      </c>
      <c r="H95" s="97">
        <f t="shared" si="4"/>
        <v>1.9287230976005247</v>
      </c>
      <c r="I95" s="23">
        <f t="shared" si="5"/>
        <v>3.9105023776075942E-2</v>
      </c>
      <c r="J95" s="80">
        <f>'Raw Data'!F95/I95</f>
        <v>0.4538700814655115</v>
      </c>
      <c r="K95" s="110">
        <f t="shared" si="6"/>
        <v>1.4242512393456708</v>
      </c>
      <c r="L95" s="97">
        <f>A95*Table!$AC$9/$AC$16</f>
        <v>284.19102615038793</v>
      </c>
      <c r="M95" s="97">
        <f>A95*Table!$AD$9/$AC$16</f>
        <v>97.436923251561566</v>
      </c>
      <c r="N95" s="97">
        <f>ABS(A95*Table!$AE$9/$AC$16)</f>
        <v>123.05832408690183</v>
      </c>
      <c r="O95" s="97">
        <f>($L95*(Table!$AC$10/Table!$AC$9)/(Table!$AC$12-Table!$AC$14))</f>
        <v>609.5903606829429</v>
      </c>
      <c r="P95" s="97">
        <f>$N95*(Table!$AE$10/Table!$AE$9)/(Table!$AC$12-Table!$AC$13)</f>
        <v>1010.3310680369607</v>
      </c>
      <c r="Q95" s="97">
        <f>'Raw Data'!C95</f>
        <v>0.86296682982426132</v>
      </c>
      <c r="R95" s="97">
        <f>'Raw Data'!C95/'Raw Data'!I$30*100</f>
        <v>10.664264783508235</v>
      </c>
      <c r="S95" s="38">
        <f t="shared" si="7"/>
        <v>0.74551292027187488</v>
      </c>
      <c r="T95" s="38">
        <f t="shared" si="8"/>
        <v>1.7737588430188911E-3</v>
      </c>
      <c r="U95" s="10">
        <f t="shared" si="9"/>
        <v>7.0700566610671731E-3</v>
      </c>
      <c r="V95" s="10">
        <f t="shared" si="10"/>
        <v>9.2118532337876077E-2</v>
      </c>
      <c r="W95" s="10">
        <f t="shared" si="11"/>
        <v>4.8869197572425907E-4</v>
      </c>
      <c r="X95" s="148">
        <f t="shared" si="12"/>
        <v>1.1394757369899979</v>
      </c>
      <c r="Z95" s="106"/>
      <c r="AS95" s="13"/>
      <c r="AT95" s="13"/>
    </row>
    <row r="96" spans="1:46" x14ac:dyDescent="0.2">
      <c r="A96" s="97">
        <f>'Raw Data'!A96</f>
        <v>1648.3974609375</v>
      </c>
      <c r="B96" s="107">
        <f>'Raw Data'!E96</f>
        <v>0.62402374600393495</v>
      </c>
      <c r="C96" s="107">
        <f t="shared" si="1"/>
        <v>0.37597625399606505</v>
      </c>
      <c r="D96" s="87">
        <f t="shared" si="2"/>
        <v>1.6990660540304958E-2</v>
      </c>
      <c r="E96" s="80">
        <f>(2*Table!$AC$16*0.147)/A96</f>
        <v>6.6264526446317168E-2</v>
      </c>
      <c r="F96" s="80">
        <f t="shared" si="3"/>
        <v>0.13252905289263434</v>
      </c>
      <c r="G96" s="97">
        <f>IF((('Raw Data'!C96)/('Raw Data'!C$136)*100)&lt;0,0,('Raw Data'!C96)/('Raw Data'!C$136)*100)</f>
        <v>67.812052229318027</v>
      </c>
      <c r="H96" s="97">
        <f t="shared" si="4"/>
        <v>1.8463585197645642</v>
      </c>
      <c r="I96" s="23">
        <f t="shared" si="5"/>
        <v>3.8553911590133438E-2</v>
      </c>
      <c r="J96" s="80">
        <f>'Raw Data'!F96/I96</f>
        <v>0.4406987472745344</v>
      </c>
      <c r="K96" s="110">
        <f t="shared" si="6"/>
        <v>1.5564691516535964</v>
      </c>
      <c r="L96" s="97">
        <f>A96*Table!$AC$9/$AC$16</f>
        <v>310.5734108984006</v>
      </c>
      <c r="M96" s="97">
        <f>A96*Table!$AD$9/$AC$16</f>
        <v>106.48231230802307</v>
      </c>
      <c r="N96" s="97">
        <f>ABS(A96*Table!$AE$9/$AC$16)</f>
        <v>134.48223178899892</v>
      </c>
      <c r="O96" s="97">
        <f>($L96*(Table!$AC$10/Table!$AC$9)/(Table!$AC$12-Table!$AC$14))</f>
        <v>666.18063255770198</v>
      </c>
      <c r="P96" s="97">
        <f>$N96*(Table!$AE$10/Table!$AE$9)/(Table!$AC$12-Table!$AC$13)</f>
        <v>1104.1234137027823</v>
      </c>
      <c r="Q96" s="97">
        <f>'Raw Data'!C96</f>
        <v>0.8871209934344515</v>
      </c>
      <c r="R96" s="97">
        <f>'Raw Data'!C96/'Raw Data'!I$30*100</f>
        <v>10.962754119901042</v>
      </c>
      <c r="S96" s="38">
        <f t="shared" si="7"/>
        <v>0.71367638706198833</v>
      </c>
      <c r="T96" s="38">
        <f t="shared" si="8"/>
        <v>1.430598227355584E-3</v>
      </c>
      <c r="U96" s="10">
        <f t="shared" si="9"/>
        <v>6.6505526608043606E-3</v>
      </c>
      <c r="V96" s="10">
        <f t="shared" si="10"/>
        <v>8.3066388395399413E-2</v>
      </c>
      <c r="W96" s="10">
        <f t="shared" si="11"/>
        <v>3.9171800872075767E-4</v>
      </c>
      <c r="X96" s="148">
        <f t="shared" si="12"/>
        <v>1.1398674549987187</v>
      </c>
      <c r="Z96" s="40"/>
      <c r="AS96" s="13"/>
      <c r="AT96" s="13"/>
    </row>
    <row r="97" spans="1:46" x14ac:dyDescent="0.2">
      <c r="A97" s="97">
        <f>'Raw Data'!A97</f>
        <v>1808.462646484375</v>
      </c>
      <c r="B97" s="107">
        <f>'Raw Data'!E97</f>
        <v>0.64150322791358849</v>
      </c>
      <c r="C97" s="107">
        <f t="shared" si="1"/>
        <v>0.35849677208641151</v>
      </c>
      <c r="D97" s="87">
        <f t="shared" si="2"/>
        <v>1.7479481909653538E-2</v>
      </c>
      <c r="E97" s="80">
        <f>(2*Table!$AC$16*0.147)/A97</f>
        <v>6.0399520751328269E-2</v>
      </c>
      <c r="F97" s="80">
        <f t="shared" si="3"/>
        <v>0.12079904150265654</v>
      </c>
      <c r="G97" s="97">
        <f>IF((('Raw Data'!C97)/('Raw Data'!C$136)*100)&lt;0,0,('Raw Data'!C97)/('Raw Data'!C$136)*100)</f>
        <v>69.711530490825353</v>
      </c>
      <c r="H97" s="97">
        <f t="shared" si="4"/>
        <v>1.8994782615073262</v>
      </c>
      <c r="I97" s="23">
        <f t="shared" si="5"/>
        <v>4.024760600525612E-2</v>
      </c>
      <c r="J97" s="80">
        <f>'Raw Data'!F97/I97</f>
        <v>0.43429867374896314</v>
      </c>
      <c r="K97" s="110">
        <f t="shared" si="6"/>
        <v>1.7076077753540526</v>
      </c>
      <c r="L97" s="97">
        <f>A97*Table!$AC$9/$AC$16</f>
        <v>340.7311803802254</v>
      </c>
      <c r="M97" s="97">
        <f>A97*Table!$AD$9/$AC$16</f>
        <v>116.82211898750585</v>
      </c>
      <c r="N97" s="97">
        <f>ABS(A97*Table!$AE$9/$AC$16)</f>
        <v>147.54092903536656</v>
      </c>
      <c r="O97" s="97">
        <f>($L97*(Table!$AC$10/Table!$AC$9)/(Table!$AC$12-Table!$AC$14))</f>
        <v>730.86911278469631</v>
      </c>
      <c r="P97" s="97">
        <f>$N97*(Table!$AE$10/Table!$AE$9)/(Table!$AC$12-Table!$AC$13)</f>
        <v>1211.3376768092489</v>
      </c>
      <c r="Q97" s="97">
        <f>'Raw Data'!C97</f>
        <v>0.91197007242497052</v>
      </c>
      <c r="R97" s="97">
        <f>'Raw Data'!C97/'Raw Data'!I$30*100</f>
        <v>11.269830995654392</v>
      </c>
      <c r="S97" s="38">
        <f t="shared" si="7"/>
        <v>0.73420885947339498</v>
      </c>
      <c r="T97" s="38">
        <f t="shared" si="8"/>
        <v>1.1372925163883885E-3</v>
      </c>
      <c r="U97" s="10">
        <f t="shared" si="9"/>
        <v>6.2317189783061199E-3</v>
      </c>
      <c r="V97" s="10">
        <f t="shared" si="10"/>
        <v>7.4414023601562088E-2</v>
      </c>
      <c r="W97" s="10">
        <f t="shared" si="11"/>
        <v>3.3480861090196446E-4</v>
      </c>
      <c r="X97" s="148">
        <f t="shared" si="12"/>
        <v>1.1402022636096207</v>
      </c>
      <c r="Z97" s="107"/>
      <c r="AS97" s="13"/>
      <c r="AT97" s="13"/>
    </row>
    <row r="98" spans="1:46" x14ac:dyDescent="0.2">
      <c r="A98" s="97">
        <f>'Raw Data'!A98</f>
        <v>1978.4178466796875</v>
      </c>
      <c r="B98" s="107">
        <f>'Raw Data'!E98</f>
        <v>0.65781349366191399</v>
      </c>
      <c r="C98" s="107">
        <f t="shared" si="1"/>
        <v>0.34218650633808601</v>
      </c>
      <c r="D98" s="87">
        <f t="shared" si="2"/>
        <v>1.6310265748325503E-2</v>
      </c>
      <c r="E98" s="80">
        <f>(2*Table!$AC$16*0.147)/A98</f>
        <v>5.5210923884280852E-2</v>
      </c>
      <c r="F98" s="80">
        <f t="shared" si="3"/>
        <v>0.1104218477685617</v>
      </c>
      <c r="G98" s="97">
        <f>IF((('Raw Data'!C98)/('Raw Data'!C$136)*100)&lt;0,0,('Raw Data'!C98)/('Raw Data'!C$136)*100)</f>
        <v>71.483951171740486</v>
      </c>
      <c r="H98" s="97">
        <f t="shared" si="4"/>
        <v>1.7724206809151326</v>
      </c>
      <c r="I98" s="23">
        <f t="shared" si="5"/>
        <v>3.900847809856467E-2</v>
      </c>
      <c r="J98" s="80">
        <f>'Raw Data'!F98/I98</f>
        <v>0.41812104812480866</v>
      </c>
      <c r="K98" s="110">
        <f t="shared" si="6"/>
        <v>1.8680848644880459</v>
      </c>
      <c r="L98" s="97">
        <f>A98*Table!$AC$9/$AC$16</f>
        <v>372.7523205939205</v>
      </c>
      <c r="M98" s="97">
        <f>A98*Table!$AD$9/$AC$16</f>
        <v>127.80079563220131</v>
      </c>
      <c r="N98" s="97">
        <f>ABS(A98*Table!$AE$9/$AC$16)</f>
        <v>161.40648947696829</v>
      </c>
      <c r="O98" s="97">
        <f>($L98*(Table!$AC$10/Table!$AC$9)/(Table!$AC$12-Table!$AC$14))</f>
        <v>799.55452722848679</v>
      </c>
      <c r="P98" s="97">
        <f>$N98*(Table!$AE$10/Table!$AE$9)/(Table!$AC$12-Table!$AC$13)</f>
        <v>1325.1764324874241</v>
      </c>
      <c r="Q98" s="97">
        <f>'Raw Data'!C98</f>
        <v>0.93515697716455903</v>
      </c>
      <c r="R98" s="97">
        <f>'Raw Data'!C98/'Raw Data'!I$30*100</f>
        <v>11.556367259977909</v>
      </c>
      <c r="S98" s="38">
        <f t="shared" si="7"/>
        <v>0.68509705691977274</v>
      </c>
      <c r="T98" s="38">
        <f t="shared" si="8"/>
        <v>9.086083772871234E-4</v>
      </c>
      <c r="U98" s="10">
        <f t="shared" si="9"/>
        <v>5.841216646611116E-3</v>
      </c>
      <c r="V98" s="10">
        <f t="shared" si="10"/>
        <v>6.6700639843965556E-2</v>
      </c>
      <c r="W98" s="10">
        <f t="shared" si="11"/>
        <v>2.6104305536818787E-4</v>
      </c>
      <c r="X98" s="148">
        <f t="shared" si="12"/>
        <v>1.140463306664989</v>
      </c>
      <c r="Z98" s="107"/>
      <c r="AS98" s="13"/>
      <c r="AT98" s="13"/>
    </row>
    <row r="99" spans="1:46" x14ac:dyDescent="0.2">
      <c r="A99" s="97">
        <f>'Raw Data'!A99</f>
        <v>2158.409423828125</v>
      </c>
      <c r="B99" s="107">
        <f>'Raw Data'!E99</f>
        <v>0.67299871982530524</v>
      </c>
      <c r="C99" s="107">
        <f t="shared" si="1"/>
        <v>0.32700128017469476</v>
      </c>
      <c r="D99" s="87">
        <f t="shared" si="2"/>
        <v>1.5185226163391241E-2</v>
      </c>
      <c r="E99" s="80">
        <f>(2*Table!$AC$16*0.147)/A99</f>
        <v>5.060683850731422E-2</v>
      </c>
      <c r="F99" s="80">
        <f t="shared" si="3"/>
        <v>0.10121367701462844</v>
      </c>
      <c r="G99" s="97">
        <f>IF((('Raw Data'!C99)/('Raw Data'!C$136)*100)&lt;0,0,('Raw Data'!C99)/('Raw Data'!C$136)*100)</f>
        <v>73.134114897560309</v>
      </c>
      <c r="H99" s="97">
        <f t="shared" si="4"/>
        <v>1.650163725819823</v>
      </c>
      <c r="I99" s="23">
        <f t="shared" si="5"/>
        <v>3.7815807500809706E-2</v>
      </c>
      <c r="J99" s="80">
        <f>'Raw Data'!F99/I99</f>
        <v>0.40155763335388506</v>
      </c>
      <c r="K99" s="110">
        <f t="shared" si="6"/>
        <v>2.0380386189846647</v>
      </c>
      <c r="L99" s="97">
        <f>A99*Table!$AC$9/$AC$16</f>
        <v>406.66440755878409</v>
      </c>
      <c r="M99" s="97">
        <f>A99*Table!$AD$9/$AC$16</f>
        <v>139.4277968772974</v>
      </c>
      <c r="N99" s="97">
        <f>ABS(A99*Table!$AE$9/$AC$16)</f>
        <v>176.09085388042777</v>
      </c>
      <c r="O99" s="97">
        <f>($L99*(Table!$AC$10/Table!$AC$9)/(Table!$AC$12-Table!$AC$14))</f>
        <v>872.29602650961851</v>
      </c>
      <c r="P99" s="97">
        <f>$N99*(Table!$AE$10/Table!$AE$9)/(Table!$AC$12-Table!$AC$13)</f>
        <v>1445.7377165880766</v>
      </c>
      <c r="Q99" s="97">
        <f>'Raw Data'!C99</f>
        <v>0.95674450969975444</v>
      </c>
      <c r="R99" s="97">
        <f>'Raw Data'!C99/'Raw Data'!I$30*100</f>
        <v>11.823139000236809</v>
      </c>
      <c r="S99" s="38">
        <f t="shared" si="7"/>
        <v>0.63784084905351912</v>
      </c>
      <c r="T99" s="38">
        <f t="shared" si="8"/>
        <v>7.2972719503905381E-4</v>
      </c>
      <c r="U99" s="10">
        <f t="shared" si="9"/>
        <v>5.4777091267825609E-3</v>
      </c>
      <c r="V99" s="10">
        <f t="shared" si="10"/>
        <v>5.9833409190700224E-2</v>
      </c>
      <c r="W99" s="10">
        <f t="shared" si="11"/>
        <v>2.0419295603721772E-4</v>
      </c>
      <c r="X99" s="148">
        <f t="shared" si="12"/>
        <v>1.1406674996210262</v>
      </c>
      <c r="Z99" s="107"/>
      <c r="AS99" s="13"/>
      <c r="AT99" s="13"/>
    </row>
    <row r="100" spans="1:46" x14ac:dyDescent="0.2">
      <c r="A100" s="97">
        <f>'Raw Data'!A100</f>
        <v>2368.582763671875</v>
      </c>
      <c r="B100" s="107">
        <f>'Raw Data'!E100</f>
        <v>0.68897865239181433</v>
      </c>
      <c r="C100" s="107">
        <f t="shared" si="1"/>
        <v>0.31102134760818567</v>
      </c>
      <c r="D100" s="87">
        <f t="shared" si="2"/>
        <v>1.5979932566509092E-2</v>
      </c>
      <c r="E100" s="80">
        <f>(2*Table!$AC$16*0.147)/A100</f>
        <v>4.6116301621228449E-2</v>
      </c>
      <c r="F100" s="80">
        <f t="shared" si="3"/>
        <v>9.2232603242456898E-2</v>
      </c>
      <c r="G100" s="97">
        <f>IF((('Raw Data'!C100)/('Raw Data'!C$136)*100)&lt;0,0,('Raw Data'!C100)/('Raw Data'!C$136)*100)</f>
        <v>74.870638593590073</v>
      </c>
      <c r="H100" s="97">
        <f t="shared" si="4"/>
        <v>1.7365236960297636</v>
      </c>
      <c r="I100" s="23">
        <f t="shared" si="5"/>
        <v>4.0354736062168994E-2</v>
      </c>
      <c r="J100" s="80">
        <f>'Raw Data'!F100/I100</f>
        <v>0.39598654645866116</v>
      </c>
      <c r="K100" s="110">
        <f t="shared" si="6"/>
        <v>2.2364909508517345</v>
      </c>
      <c r="L100" s="97">
        <f>A100*Table!$AC$9/$AC$16</f>
        <v>446.26301929048287</v>
      </c>
      <c r="M100" s="97">
        <f>A100*Table!$AD$9/$AC$16</f>
        <v>153.00446375673698</v>
      </c>
      <c r="N100" s="97">
        <f>ABS(A100*Table!$AE$9/$AC$16)</f>
        <v>193.23755573755159</v>
      </c>
      <c r="O100" s="97">
        <f>($L100*(Table!$AC$10/Table!$AC$9)/(Table!$AC$12-Table!$AC$14))</f>
        <v>957.23513361321943</v>
      </c>
      <c r="P100" s="97">
        <f>$N100*(Table!$AE$10/Table!$AE$9)/(Table!$AC$12-Table!$AC$13)</f>
        <v>1586.5152359404888</v>
      </c>
      <c r="Q100" s="97">
        <f>'Raw Data'!C100</f>
        <v>0.97946180811058725</v>
      </c>
      <c r="R100" s="97">
        <f>'Raw Data'!C100/'Raw Data'!I$30*100</f>
        <v>12.103872021537786</v>
      </c>
      <c r="S100" s="38">
        <f t="shared" si="7"/>
        <v>0.67122172869658903</v>
      </c>
      <c r="T100" s="38">
        <f t="shared" si="8"/>
        <v>5.7340924099680279E-4</v>
      </c>
      <c r="U100" s="10">
        <f t="shared" si="9"/>
        <v>5.1101748299366423E-3</v>
      </c>
      <c r="V100" s="10">
        <f t="shared" si="10"/>
        <v>5.3203201086363144E-2</v>
      </c>
      <c r="W100" s="10">
        <f t="shared" si="11"/>
        <v>1.7843702012940402E-4</v>
      </c>
      <c r="X100" s="148">
        <f t="shared" si="12"/>
        <v>1.1408459366411556</v>
      </c>
      <c r="Z100" s="107"/>
      <c r="AS100" s="13"/>
      <c r="AT100" s="13"/>
    </row>
    <row r="101" spans="1:46" x14ac:dyDescent="0.2">
      <c r="A101" s="97">
        <f>'Raw Data'!A101</f>
        <v>2588.760009765625</v>
      </c>
      <c r="B101" s="107">
        <f>'Raw Data'!E101</f>
        <v>0.70308188281393702</v>
      </c>
      <c r="C101" s="107">
        <f t="shared" si="1"/>
        <v>0.29691811718606298</v>
      </c>
      <c r="D101" s="87">
        <f t="shared" si="2"/>
        <v>1.4103230422122692E-2</v>
      </c>
      <c r="E101" s="80">
        <f>(2*Table!$AC$16*0.147)/A101</f>
        <v>4.2194053033994559E-2</v>
      </c>
      <c r="F101" s="80">
        <f t="shared" si="3"/>
        <v>8.4388106067989119E-2</v>
      </c>
      <c r="G101" s="97">
        <f>IF((('Raw Data'!C101)/('Raw Data'!C$136)*100)&lt;0,0,('Raw Data'!C101)/('Raw Data'!C$136)*100)</f>
        <v>76.403222896850011</v>
      </c>
      <c r="H101" s="97">
        <f t="shared" si="4"/>
        <v>1.532584303259938</v>
      </c>
      <c r="I101" s="23">
        <f t="shared" si="5"/>
        <v>3.8603226592281326E-2</v>
      </c>
      <c r="J101" s="80">
        <f>'Raw Data'!F101/I101</f>
        <v>0.36533812499866575</v>
      </c>
      <c r="K101" s="110">
        <f t="shared" si="6"/>
        <v>2.4443892882139262</v>
      </c>
      <c r="L101" s="97">
        <f>A101*Table!$AC$9/$AC$16</f>
        <v>487.74645999092036</v>
      </c>
      <c r="M101" s="97">
        <f>A101*Table!$AD$9/$AC$16</f>
        <v>167.22735771117269</v>
      </c>
      <c r="N101" s="97">
        <f>ABS(A101*Table!$AE$9/$AC$16)</f>
        <v>211.2004124790337</v>
      </c>
      <c r="O101" s="97">
        <f>($L101*(Table!$AC$10/Table!$AC$9)/(Table!$AC$12-Table!$AC$14))</f>
        <v>1046.2172028977272</v>
      </c>
      <c r="P101" s="97">
        <f>$N101*(Table!$AE$10/Table!$AE$9)/(Table!$AC$12-Table!$AC$13)</f>
        <v>1733.993534310621</v>
      </c>
      <c r="Q101" s="97">
        <f>'Raw Data'!C101</f>
        <v>0.9995111601790414</v>
      </c>
      <c r="R101" s="97">
        <f>'Raw Data'!C101/'Raw Data'!I$30*100</f>
        <v>12.351635425421241</v>
      </c>
      <c r="S101" s="38">
        <f t="shared" si="7"/>
        <v>0.59239265652367556</v>
      </c>
      <c r="T101" s="38">
        <f t="shared" si="8"/>
        <v>4.5791879240220101E-4</v>
      </c>
      <c r="U101" s="10">
        <f t="shared" si="9"/>
        <v>4.7712554963870541E-3</v>
      </c>
      <c r="V101" s="10">
        <f t="shared" si="10"/>
        <v>4.737407531602536E-2</v>
      </c>
      <c r="W101" s="10">
        <f t="shared" si="11"/>
        <v>1.318324029179558E-4</v>
      </c>
      <c r="X101" s="148">
        <f t="shared" si="12"/>
        <v>1.1409777690440737</v>
      </c>
      <c r="Z101" s="107"/>
      <c r="AS101" s="13"/>
      <c r="AT101" s="13"/>
    </row>
    <row r="102" spans="1:46" x14ac:dyDescent="0.2">
      <c r="A102" s="97">
        <f>'Raw Data'!A102</f>
        <v>2825.946533203125</v>
      </c>
      <c r="B102" s="107">
        <f>'Raw Data'!E102</f>
        <v>0.7159652544823486</v>
      </c>
      <c r="C102" s="107">
        <f t="shared" si="1"/>
        <v>0.2840347455176514</v>
      </c>
      <c r="D102" s="87">
        <f t="shared" si="2"/>
        <v>1.2883371668411581E-2</v>
      </c>
      <c r="E102" s="80">
        <f>(2*Table!$AC$16*0.147)/A102</f>
        <v>3.8652634032861843E-2</v>
      </c>
      <c r="F102" s="80">
        <f t="shared" si="3"/>
        <v>7.7305268065723687E-2</v>
      </c>
      <c r="G102" s="97">
        <f>IF((('Raw Data'!C102)/('Raw Data'!C$136)*100)&lt;0,0,('Raw Data'!C102)/('Raw Data'!C$136)*100)</f>
        <v>77.803246338365852</v>
      </c>
      <c r="H102" s="97">
        <f t="shared" si="4"/>
        <v>1.4000234415158417</v>
      </c>
      <c r="I102" s="23">
        <f t="shared" si="5"/>
        <v>3.8072149596912741E-2</v>
      </c>
      <c r="J102" s="80">
        <f>'Raw Data'!F102/I102</f>
        <v>0.33839359754607312</v>
      </c>
      <c r="K102" s="110">
        <f t="shared" si="6"/>
        <v>2.6683483245912751</v>
      </c>
      <c r="L102" s="97">
        <f>A102*Table!$AC$9/$AC$16</f>
        <v>532.4346067205463</v>
      </c>
      <c r="M102" s="97">
        <f>A102*Table!$AD$9/$AC$16</f>
        <v>182.54900801847302</v>
      </c>
      <c r="N102" s="97">
        <f>ABS(A102*Table!$AE$9/$AC$16)</f>
        <v>230.55094763698494</v>
      </c>
      <c r="O102" s="97">
        <f>($L102*(Table!$AC$10/Table!$AC$9)/(Table!$AC$12-Table!$AC$14))</f>
        <v>1142.0733734889454</v>
      </c>
      <c r="P102" s="97">
        <f>$N102*(Table!$AE$10/Table!$AE$9)/(Table!$AC$12-Table!$AC$13)</f>
        <v>1892.8649231279546</v>
      </c>
      <c r="Q102" s="97">
        <f>'Raw Data'!C102</f>
        <v>1.0178263437701389</v>
      </c>
      <c r="R102" s="97">
        <f>'Raw Data'!C102/'Raw Data'!I$30*100</f>
        <v>12.577968536525644</v>
      </c>
      <c r="S102" s="38">
        <f t="shared" si="7"/>
        <v>0.5411536604876297</v>
      </c>
      <c r="T102" s="38">
        <f t="shared" si="8"/>
        <v>3.6938425889954107E-4</v>
      </c>
      <c r="U102" s="10">
        <f t="shared" si="9"/>
        <v>4.4508869466362115E-3</v>
      </c>
      <c r="V102" s="10">
        <f t="shared" si="10"/>
        <v>4.2120744040473911E-2</v>
      </c>
      <c r="W102" s="10">
        <f t="shared" si="11"/>
        <v>1.0106221280572014E-4</v>
      </c>
      <c r="X102" s="148">
        <f t="shared" si="12"/>
        <v>1.1410788312568794</v>
      </c>
      <c r="Z102" s="107"/>
      <c r="AS102" s="13"/>
      <c r="AT102" s="13"/>
    </row>
    <row r="103" spans="1:46" x14ac:dyDescent="0.2">
      <c r="A103" s="97">
        <f>'Raw Data'!A103</f>
        <v>3099.234130859375</v>
      </c>
      <c r="B103" s="107">
        <f>'Raw Data'!E103</f>
        <v>0.72947686804005241</v>
      </c>
      <c r="C103" s="107">
        <f t="shared" si="1"/>
        <v>0.27052313195994759</v>
      </c>
      <c r="D103" s="87">
        <f t="shared" si="2"/>
        <v>1.3511613557703805E-2</v>
      </c>
      <c r="E103" s="80">
        <f>(2*Table!$AC$16*0.147)/A103</f>
        <v>3.5244280532638235E-2</v>
      </c>
      <c r="F103" s="80">
        <f t="shared" si="3"/>
        <v>7.048856106527647E-2</v>
      </c>
      <c r="G103" s="97">
        <f>IF((('Raw Data'!C103)/('Raw Data'!C$136)*100)&lt;0,0,('Raw Data'!C103)/('Raw Data'!C$136)*100)</f>
        <v>79.271540213630658</v>
      </c>
      <c r="H103" s="97">
        <f t="shared" si="4"/>
        <v>1.4682938752648056</v>
      </c>
      <c r="I103" s="23">
        <f t="shared" si="5"/>
        <v>4.0090445389701967E-2</v>
      </c>
      <c r="J103" s="80">
        <f>'Raw Data'!F103/I103</f>
        <v>0.33702827260618395</v>
      </c>
      <c r="K103" s="110">
        <f t="shared" si="6"/>
        <v>2.9263951399749595</v>
      </c>
      <c r="L103" s="97">
        <f>A103*Table!$AC$9/$AC$16</f>
        <v>583.92453155460873</v>
      </c>
      <c r="M103" s="97">
        <f>A103*Table!$AD$9/$AC$16</f>
        <v>200.20269653300872</v>
      </c>
      <c r="N103" s="97">
        <f>ABS(A103*Table!$AE$9/$AC$16)</f>
        <v>252.84673910960964</v>
      </c>
      <c r="O103" s="97">
        <f>($L103*(Table!$AC$10/Table!$AC$9)/(Table!$AC$12-Table!$AC$14))</f>
        <v>1252.5193727040087</v>
      </c>
      <c r="P103" s="97">
        <f>$N103*(Table!$AE$10/Table!$AE$9)/(Table!$AC$12-Table!$AC$13)</f>
        <v>2075.9173982726566</v>
      </c>
      <c r="Q103" s="97">
        <f>'Raw Data'!C103</f>
        <v>1.0370346449268981</v>
      </c>
      <c r="R103" s="97">
        <f>'Raw Data'!C103/'Raw Data'!I$30*100</f>
        <v>12.815338505448739</v>
      </c>
      <c r="S103" s="38">
        <f t="shared" si="7"/>
        <v>0.56754235801280706</v>
      </c>
      <c r="T103" s="38">
        <f t="shared" si="8"/>
        <v>2.9218564683997084E-4</v>
      </c>
      <c r="U103" s="10">
        <f t="shared" si="9"/>
        <v>4.1350017340881636E-3</v>
      </c>
      <c r="V103" s="10">
        <f t="shared" si="10"/>
        <v>3.7190609652496535E-2</v>
      </c>
      <c r="W103" s="10">
        <f t="shared" si="11"/>
        <v>8.8122252996799584E-5</v>
      </c>
      <c r="X103" s="148">
        <f t="shared" si="12"/>
        <v>1.1411669535098761</v>
      </c>
      <c r="Z103" s="107"/>
      <c r="AS103" s="13"/>
      <c r="AT103" s="13"/>
    </row>
    <row r="104" spans="1:46" x14ac:dyDescent="0.2">
      <c r="A104" s="97">
        <f>'Raw Data'!A104</f>
        <v>3388.214599609375</v>
      </c>
      <c r="B104" s="107">
        <f>'Raw Data'!E104</f>
        <v>0.74223290167095279</v>
      </c>
      <c r="C104" s="107">
        <f t="shared" si="1"/>
        <v>0.25776709832904721</v>
      </c>
      <c r="D104" s="87">
        <f t="shared" si="2"/>
        <v>1.2756033630900387E-2</v>
      </c>
      <c r="E104" s="80">
        <f>(2*Table!$AC$16*0.147)/A104</f>
        <v>3.223829953301309E-2</v>
      </c>
      <c r="F104" s="80">
        <f t="shared" si="3"/>
        <v>6.447659906602618E-2</v>
      </c>
      <c r="G104" s="97">
        <f>IF((('Raw Data'!C104)/('Raw Data'!C$136)*100)&lt;0,0,('Raw Data'!C104)/('Raw Data'!C$136)*100)</f>
        <v>80.657725954729202</v>
      </c>
      <c r="H104" s="97">
        <f t="shared" si="4"/>
        <v>1.3861857410985436</v>
      </c>
      <c r="I104" s="23">
        <f t="shared" si="5"/>
        <v>3.8716523327386509E-2</v>
      </c>
      <c r="J104" s="80">
        <f>'Raw Data'!F104/I104</f>
        <v>0.32947260070423945</v>
      </c>
      <c r="K104" s="110">
        <f t="shared" si="6"/>
        <v>3.1992596618506246</v>
      </c>
      <c r="L104" s="97">
        <f>A104*Table!$AC$9/$AC$16</f>
        <v>638.37113923845129</v>
      </c>
      <c r="M104" s="97">
        <f>A104*Table!$AD$9/$AC$16</f>
        <v>218.87010488175471</v>
      </c>
      <c r="N104" s="97">
        <f>ABS(A104*Table!$AE$9/$AC$16)</f>
        <v>276.42281181165595</v>
      </c>
      <c r="O104" s="97">
        <f>($L104*(Table!$AC$10/Table!$AC$9)/(Table!$AC$12-Table!$AC$14))</f>
        <v>1369.3074629739413</v>
      </c>
      <c r="P104" s="97">
        <f>$N104*(Table!$AE$10/Table!$AE$9)/(Table!$AC$12-Table!$AC$13)</f>
        <v>2269.4812135603934</v>
      </c>
      <c r="Q104" s="97">
        <f>'Raw Data'!C104</f>
        <v>1.0551688029607758</v>
      </c>
      <c r="R104" s="97">
        <f>'Raw Data'!C104/'Raw Data'!I$30*100</f>
        <v>13.039434561305994</v>
      </c>
      <c r="S104" s="38">
        <f t="shared" si="7"/>
        <v>0.535804948450745</v>
      </c>
      <c r="T104" s="38">
        <f t="shared" si="8"/>
        <v>2.312060026979923E-4</v>
      </c>
      <c r="U104" s="10">
        <f t="shared" si="9"/>
        <v>3.8484677336581047E-3</v>
      </c>
      <c r="V104" s="10">
        <f t="shared" si="10"/>
        <v>3.2937804653834404E-2</v>
      </c>
      <c r="W104" s="10">
        <f t="shared" si="11"/>
        <v>6.9608293275887843E-5</v>
      </c>
      <c r="X104" s="148">
        <f t="shared" si="12"/>
        <v>1.1412365618031519</v>
      </c>
      <c r="Z104" s="107"/>
      <c r="AS104" s="13"/>
      <c r="AT104" s="13"/>
    </row>
    <row r="105" spans="1:46" x14ac:dyDescent="0.2">
      <c r="A105" s="97">
        <f>'Raw Data'!A105</f>
        <v>3708.189208984375</v>
      </c>
      <c r="B105" s="107">
        <f>'Raw Data'!E105</f>
        <v>0.75395460872955666</v>
      </c>
      <c r="C105" s="107">
        <f t="shared" si="1"/>
        <v>0.24604539127044334</v>
      </c>
      <c r="D105" s="87">
        <f t="shared" si="2"/>
        <v>1.172170705860387E-2</v>
      </c>
      <c r="E105" s="80">
        <f>(2*Table!$AC$16*0.147)/A105</f>
        <v>2.9456500461110993E-2</v>
      </c>
      <c r="F105" s="80">
        <f t="shared" si="3"/>
        <v>5.8913000922221986E-2</v>
      </c>
      <c r="G105" s="97">
        <f>IF((('Raw Data'!C105)/('Raw Data'!C$136)*100)&lt;0,0,('Raw Data'!C105)/('Raw Data'!C$136)*100)</f>
        <v>81.931512435395902</v>
      </c>
      <c r="H105" s="97">
        <f t="shared" si="4"/>
        <v>1.2737864806667005</v>
      </c>
      <c r="I105" s="23">
        <f t="shared" si="5"/>
        <v>3.919097628040924E-2</v>
      </c>
      <c r="J105" s="80">
        <f>'Raw Data'!F105/I105</f>
        <v>0.29909198930732706</v>
      </c>
      <c r="K105" s="110">
        <f t="shared" si="6"/>
        <v>3.5013898340976444</v>
      </c>
      <c r="L105" s="97">
        <f>A105*Table!$AC$9/$AC$16</f>
        <v>698.65733124578355</v>
      </c>
      <c r="M105" s="97">
        <f>A105*Table!$AD$9/$AC$16</f>
        <v>239.53965642712578</v>
      </c>
      <c r="N105" s="97">
        <f>ABS(A105*Table!$AE$9/$AC$16)</f>
        <v>302.52749869954403</v>
      </c>
      <c r="O105" s="97">
        <f>($L105*(Table!$AC$10/Table!$AC$9)/(Table!$AC$12-Table!$AC$14))</f>
        <v>1498.6214741436802</v>
      </c>
      <c r="P105" s="97">
        <f>$N105*(Table!$AE$10/Table!$AE$9)/(Table!$AC$12-Table!$AC$13)</f>
        <v>2483.805408042233</v>
      </c>
      <c r="Q105" s="97">
        <f>'Raw Data'!C105</f>
        <v>1.0718325476935133</v>
      </c>
      <c r="R105" s="97">
        <f>'Raw Data'!C105/'Raw Data'!I$30*100</f>
        <v>13.245359725487441</v>
      </c>
      <c r="S105" s="38">
        <f t="shared" si="7"/>
        <v>0.49235905360706278</v>
      </c>
      <c r="T105" s="38">
        <f t="shared" si="8"/>
        <v>1.8442407201968436E-4</v>
      </c>
      <c r="U105" s="10">
        <f t="shared" si="9"/>
        <v>3.5719212205774079E-3</v>
      </c>
      <c r="V105" s="10">
        <f t="shared" si="10"/>
        <v>2.9035543584454707E-2</v>
      </c>
      <c r="W105" s="10">
        <f t="shared" si="11"/>
        <v>5.3401596491503691E-5</v>
      </c>
      <c r="X105" s="148">
        <f t="shared" si="12"/>
        <v>1.1412899633996434</v>
      </c>
      <c r="Z105" s="107"/>
      <c r="AS105" s="13"/>
      <c r="AT105" s="13"/>
    </row>
    <row r="106" spans="1:46" x14ac:dyDescent="0.2">
      <c r="A106" s="97">
        <f>'Raw Data'!A106</f>
        <v>4058.746826171875</v>
      </c>
      <c r="B106" s="107">
        <f>'Raw Data'!E106</f>
        <v>0.76544240647981898</v>
      </c>
      <c r="C106" s="107">
        <f t="shared" si="1"/>
        <v>0.23455759352018102</v>
      </c>
      <c r="D106" s="87">
        <f t="shared" si="2"/>
        <v>1.1487797750262319E-2</v>
      </c>
      <c r="E106" s="80">
        <f>(2*Table!$AC$16*0.147)/A106</f>
        <v>2.691231599862038E-2</v>
      </c>
      <c r="F106" s="80">
        <f t="shared" si="3"/>
        <v>5.382463199724076E-2</v>
      </c>
      <c r="G106" s="97">
        <f>IF((('Raw Data'!C106)/('Raw Data'!C$136)*100)&lt;0,0,('Raw Data'!C106)/('Raw Data'!C$136)*100)</f>
        <v>83.179880219521422</v>
      </c>
      <c r="H106" s="97">
        <f t="shared" si="4"/>
        <v>1.2483677841255201</v>
      </c>
      <c r="I106" s="23">
        <f t="shared" si="5"/>
        <v>3.9230076274568093E-2</v>
      </c>
      <c r="J106" s="80">
        <f>'Raw Data'!F106/I106</f>
        <v>0.29283138961699084</v>
      </c>
      <c r="K106" s="110">
        <f t="shared" si="6"/>
        <v>3.8323974520778461</v>
      </c>
      <c r="L106" s="97">
        <f>A106*Table!$AC$9/$AC$16</f>
        <v>764.70564633140452</v>
      </c>
      <c r="M106" s="97">
        <f>A106*Table!$AD$9/$AC$16</f>
        <v>262.18479302791013</v>
      </c>
      <c r="N106" s="97">
        <f>ABS(A106*Table!$AE$9/$AC$16)</f>
        <v>331.1272580701974</v>
      </c>
      <c r="O106" s="97">
        <f>($L106*(Table!$AC$10/Table!$AC$9)/(Table!$AC$12-Table!$AC$14))</f>
        <v>1640.2952516761147</v>
      </c>
      <c r="P106" s="97">
        <f>$N106*(Table!$AE$10/Table!$AE$9)/(Table!$AC$12-Table!$AC$13)</f>
        <v>2718.6145982774819</v>
      </c>
      <c r="Q106" s="97">
        <f>'Raw Data'!C106</f>
        <v>1.0881637636413797</v>
      </c>
      <c r="R106" s="97">
        <f>'Raw Data'!C106/'Raw Data'!I$30*100</f>
        <v>13.447175606568484</v>
      </c>
      <c r="S106" s="38">
        <f t="shared" si="7"/>
        <v>0.48253391763419318</v>
      </c>
      <c r="T106" s="38">
        <f t="shared" si="8"/>
        <v>1.4615359232139635E-4</v>
      </c>
      <c r="U106" s="10">
        <f t="shared" si="9"/>
        <v>3.3131348621839463E-3</v>
      </c>
      <c r="V106" s="10">
        <f t="shared" si="10"/>
        <v>2.5568028281829431E-2</v>
      </c>
      <c r="W106" s="10">
        <f t="shared" si="11"/>
        <v>4.3685771081987946E-5</v>
      </c>
      <c r="X106" s="148">
        <f t="shared" si="12"/>
        <v>1.1413336491707253</v>
      </c>
      <c r="Z106" s="107"/>
      <c r="AS106" s="13"/>
      <c r="AT106" s="13"/>
    </row>
    <row r="107" spans="1:46" x14ac:dyDescent="0.2">
      <c r="A107" s="97">
        <f>'Raw Data'!A107</f>
        <v>4435.2802734375</v>
      </c>
      <c r="B107" s="107">
        <f>'Raw Data'!E107</f>
        <v>0.77582984877917915</v>
      </c>
      <c r="C107" s="107">
        <f t="shared" si="1"/>
        <v>0.22417015122082085</v>
      </c>
      <c r="D107" s="87">
        <f t="shared" si="2"/>
        <v>1.0387442299360172E-2</v>
      </c>
      <c r="E107" s="80">
        <f>(2*Table!$AC$16*0.147)/A107</f>
        <v>2.4627592938941307E-2</v>
      </c>
      <c r="F107" s="80">
        <f t="shared" si="3"/>
        <v>4.9255185877882614E-2</v>
      </c>
      <c r="G107" s="97">
        <f>IF((('Raw Data'!C107)/('Raw Data'!C$136)*100)&lt;0,0,('Raw Data'!C107)/('Raw Data'!C$136)*100)</f>
        <v>84.308673449336752</v>
      </c>
      <c r="H107" s="97">
        <f t="shared" si="4"/>
        <v>1.1287932298153294</v>
      </c>
      <c r="I107" s="23">
        <f t="shared" si="5"/>
        <v>3.8529106866215246E-2</v>
      </c>
      <c r="J107" s="80">
        <f>'Raw Data'!F107/I107</f>
        <v>0.26959987251789991</v>
      </c>
      <c r="K107" s="110">
        <f t="shared" si="6"/>
        <v>4.1879322724854307</v>
      </c>
      <c r="L107" s="97">
        <f>A107*Table!$AC$9/$AC$16</f>
        <v>835.64804936574899</v>
      </c>
      <c r="M107" s="97">
        <f>A107*Table!$AD$9/$AC$16</f>
        <v>286.50790263968537</v>
      </c>
      <c r="N107" s="97">
        <f>ABS(A107*Table!$AE$9/$AC$16)</f>
        <v>361.84621968682569</v>
      </c>
      <c r="O107" s="97">
        <f>($L107*(Table!$AC$10/Table!$AC$9)/(Table!$AC$12-Table!$AC$14))</f>
        <v>1792.4668583563903</v>
      </c>
      <c r="P107" s="97">
        <f>$N107*(Table!$AE$10/Table!$AE$9)/(Table!$AC$12-Table!$AC$13)</f>
        <v>2970.8228217309165</v>
      </c>
      <c r="Q107" s="97">
        <f>'Raw Data'!C107</f>
        <v>1.1029306986993179</v>
      </c>
      <c r="R107" s="97">
        <f>'Raw Data'!C107/'Raw Data'!I$30*100</f>
        <v>13.629660610691754</v>
      </c>
      <c r="S107" s="38">
        <f t="shared" si="7"/>
        <v>0.43631454312424173</v>
      </c>
      <c r="T107" s="38">
        <f t="shared" si="8"/>
        <v>1.171749832897806E-4</v>
      </c>
      <c r="U107" s="10">
        <f t="shared" si="9"/>
        <v>3.0730099949530998E-3</v>
      </c>
      <c r="V107" s="10">
        <f t="shared" si="10"/>
        <v>2.2513528876162543E-2</v>
      </c>
      <c r="W107" s="10">
        <f t="shared" si="11"/>
        <v>3.3079096222616903E-5</v>
      </c>
      <c r="X107" s="148">
        <f t="shared" si="12"/>
        <v>1.141366728266948</v>
      </c>
      <c r="Z107" s="107"/>
      <c r="AS107" s="13"/>
      <c r="AT107" s="13"/>
    </row>
    <row r="108" spans="1:46" x14ac:dyDescent="0.2">
      <c r="A108" s="97">
        <f>'Raw Data'!A108</f>
        <v>4845.98095703125</v>
      </c>
      <c r="B108" s="107">
        <f>'Raw Data'!E108</f>
        <v>0.78637634563243552</v>
      </c>
      <c r="C108" s="107">
        <f t="shared" si="1"/>
        <v>0.21362365436756448</v>
      </c>
      <c r="D108" s="87">
        <f t="shared" si="2"/>
        <v>1.0546496853256371E-2</v>
      </c>
      <c r="E108" s="80">
        <f>(2*Table!$AC$16*0.147)/A108</f>
        <v>2.2540385138296502E-2</v>
      </c>
      <c r="F108" s="80">
        <f t="shared" si="3"/>
        <v>4.5080770276593005E-2</v>
      </c>
      <c r="G108" s="97">
        <f>IF((('Raw Data'!C108)/('Raw Data'!C$136)*100)&lt;0,0,('Raw Data'!C108)/('Raw Data'!C$136)*100)</f>
        <v>85.454750982490197</v>
      </c>
      <c r="H108" s="97">
        <f t="shared" si="4"/>
        <v>1.146077533153445</v>
      </c>
      <c r="I108" s="23">
        <f t="shared" si="5"/>
        <v>3.8460634289049001E-2</v>
      </c>
      <c r="J108" s="80">
        <f>'Raw Data'!F108/I108</f>
        <v>0.27421536457237533</v>
      </c>
      <c r="K108" s="110">
        <f t="shared" si="6"/>
        <v>4.575728880842953</v>
      </c>
      <c r="L108" s="97">
        <f>A108*Table!$AC$9/$AC$16</f>
        <v>913.02787746222771</v>
      </c>
      <c r="M108" s="97">
        <f>A108*Table!$AD$9/$AC$16</f>
        <v>313.03812941562092</v>
      </c>
      <c r="N108" s="97">
        <f>ABS(A108*Table!$AE$9/$AC$16)</f>
        <v>395.35266812283743</v>
      </c>
      <c r="O108" s="97">
        <f>($L108*(Table!$AC$10/Table!$AC$9)/(Table!$AC$12-Table!$AC$14))</f>
        <v>1958.4467556032344</v>
      </c>
      <c r="P108" s="97">
        <f>$N108*(Table!$AE$10/Table!$AE$9)/(Table!$AC$12-Table!$AC$13)</f>
        <v>3245.9168154584349</v>
      </c>
      <c r="Q108" s="97">
        <f>'Raw Data'!C108</f>
        <v>1.117923747963272</v>
      </c>
      <c r="R108" s="97">
        <f>'Raw Data'!C108/'Raw Data'!I$30*100</f>
        <v>13.814939860991037</v>
      </c>
      <c r="S108" s="38">
        <f t="shared" si="7"/>
        <v>0.44299547698794411</v>
      </c>
      <c r="T108" s="38">
        <f t="shared" si="8"/>
        <v>9.2528448368711658E-5</v>
      </c>
      <c r="U108" s="10">
        <f t="shared" si="9"/>
        <v>2.8508035800153785E-3</v>
      </c>
      <c r="V108" s="10">
        <f t="shared" si="10"/>
        <v>1.982999443796769E-2</v>
      </c>
      <c r="W108" s="10">
        <f t="shared" si="11"/>
        <v>2.8134031530613961E-5</v>
      </c>
      <c r="X108" s="148">
        <f t="shared" si="12"/>
        <v>1.1413948622984786</v>
      </c>
      <c r="Z108" s="107"/>
      <c r="AS108" s="13"/>
      <c r="AT108" s="13"/>
    </row>
    <row r="109" spans="1:46" x14ac:dyDescent="0.2">
      <c r="A109" s="97">
        <f>'Raw Data'!A109</f>
        <v>5304.080078125</v>
      </c>
      <c r="B109" s="107">
        <f>'Raw Data'!E109</f>
        <v>0.79586411496254539</v>
      </c>
      <c r="C109" s="107">
        <f t="shared" si="1"/>
        <v>0.20413588503745461</v>
      </c>
      <c r="D109" s="87">
        <f t="shared" si="2"/>
        <v>9.4877693301098631E-3</v>
      </c>
      <c r="E109" s="80">
        <f>(2*Table!$AC$16*0.147)/A109</f>
        <v>2.059363273846878E-2</v>
      </c>
      <c r="F109" s="80">
        <f t="shared" si="3"/>
        <v>4.118726547693756E-2</v>
      </c>
      <c r="G109" s="97">
        <f>IF((('Raw Data'!C109)/('Raw Data'!C$136)*100)&lt;0,0,('Raw Data'!C109)/('Raw Data'!C$136)*100)</f>
        <v>86.485777627667048</v>
      </c>
      <c r="H109" s="97">
        <f t="shared" si="4"/>
        <v>1.0310266451768513</v>
      </c>
      <c r="I109" s="23">
        <f t="shared" si="5"/>
        <v>3.9228369005670727E-2</v>
      </c>
      <c r="J109" s="80">
        <f>'Raw Data'!F109/I109</f>
        <v>0.24185989809411504</v>
      </c>
      <c r="K109" s="110">
        <f t="shared" si="6"/>
        <v>5.0082805968450712</v>
      </c>
      <c r="L109" s="97">
        <f>A109*Table!$AC$9/$AC$16</f>
        <v>999.33801196506158</v>
      </c>
      <c r="M109" s="97">
        <f>A109*Table!$AD$9/$AC$16</f>
        <v>342.63017553087826</v>
      </c>
      <c r="N109" s="97">
        <f>ABS(A109*Table!$AE$9/$AC$16)</f>
        <v>432.72605266459033</v>
      </c>
      <c r="O109" s="97">
        <f>($L109*(Table!$AC$10/Table!$AC$9)/(Table!$AC$12-Table!$AC$14))</f>
        <v>2143.5821792472366</v>
      </c>
      <c r="P109" s="97">
        <f>$N109*(Table!$AE$10/Table!$AE$9)/(Table!$AC$12-Table!$AC$13)</f>
        <v>3552.7590530754533</v>
      </c>
      <c r="Q109" s="97">
        <f>'Raw Data'!C109</f>
        <v>1.1314116951888427</v>
      </c>
      <c r="R109" s="97">
        <f>'Raw Data'!C109/'Raw Data'!I$30*100</f>
        <v>13.981619547426686</v>
      </c>
      <c r="S109" s="38">
        <f t="shared" si="7"/>
        <v>0.39852464362570417</v>
      </c>
      <c r="T109" s="38">
        <f t="shared" si="8"/>
        <v>7.4020638810012862E-5</v>
      </c>
      <c r="U109" s="10">
        <f t="shared" si="9"/>
        <v>2.6360121531892877E-3</v>
      </c>
      <c r="V109" s="10">
        <f t="shared" si="10"/>
        <v>1.7369805802392349E-2</v>
      </c>
      <c r="W109" s="10">
        <f t="shared" si="11"/>
        <v>2.1126673560991813E-5</v>
      </c>
      <c r="X109" s="148">
        <f t="shared" si="12"/>
        <v>1.1414159889720397</v>
      </c>
      <c r="Z109" s="107"/>
      <c r="AS109" s="13"/>
      <c r="AT109" s="13"/>
    </row>
    <row r="110" spans="1:46" x14ac:dyDescent="0.2">
      <c r="A110" s="97">
        <f>'Raw Data'!A110</f>
        <v>5805.4560546875</v>
      </c>
      <c r="B110" s="107">
        <f>'Raw Data'!E110</f>
        <v>0.80561883163889814</v>
      </c>
      <c r="C110" s="107">
        <f t="shared" si="1"/>
        <v>0.19438116836110186</v>
      </c>
      <c r="D110" s="87">
        <f t="shared" si="2"/>
        <v>9.7547166763527482E-3</v>
      </c>
      <c r="E110" s="80">
        <f>(2*Table!$AC$16*0.147)/A110</f>
        <v>1.8815107050227212E-2</v>
      </c>
      <c r="F110" s="80">
        <f t="shared" si="3"/>
        <v>3.7630214100454425E-2</v>
      </c>
      <c r="G110" s="97">
        <f>IF((('Raw Data'!C110)/('Raw Data'!C$136)*100)&lt;0,0,('Raw Data'!C110)/('Raw Data'!C$136)*100)</f>
        <v>87.545813180760973</v>
      </c>
      <c r="H110" s="97">
        <f t="shared" si="4"/>
        <v>1.0600355530939254</v>
      </c>
      <c r="I110" s="23">
        <f t="shared" si="5"/>
        <v>3.92262697590815E-2</v>
      </c>
      <c r="J110" s="80">
        <f>'Raw Data'!F110/I110</f>
        <v>0.24867816226890596</v>
      </c>
      <c r="K110" s="110">
        <f t="shared" si="6"/>
        <v>5.4816956920466255</v>
      </c>
      <c r="L110" s="97">
        <f>A110*Table!$AC$9/$AC$16</f>
        <v>1093.801908490947</v>
      </c>
      <c r="M110" s="97">
        <f>A110*Table!$AD$9/$AC$16</f>
        <v>375.01779719689608</v>
      </c>
      <c r="N110" s="97">
        <f>ABS(A110*Table!$AE$9/$AC$16)</f>
        <v>473.63011973053102</v>
      </c>
      <c r="O110" s="97">
        <f>($L110*(Table!$AC$10/Table!$AC$9)/(Table!$AC$12-Table!$AC$14))</f>
        <v>2346.2074399205217</v>
      </c>
      <c r="P110" s="97">
        <f>$N110*(Table!$AE$10/Table!$AE$9)/(Table!$AC$12-Table!$AC$13)</f>
        <v>3888.5888319419619</v>
      </c>
      <c r="Q110" s="97">
        <f>'Raw Data'!C110</f>
        <v>1.1452791385417804</v>
      </c>
      <c r="R110" s="97">
        <f>'Raw Data'!C110/'Raw Data'!I$30*100</f>
        <v>14.152988924180301</v>
      </c>
      <c r="S110" s="38">
        <f t="shared" si="7"/>
        <v>0.40973751066818753</v>
      </c>
      <c r="T110" s="38">
        <f t="shared" si="8"/>
        <v>5.8136889464766028E-5</v>
      </c>
      <c r="U110" s="10">
        <f t="shared" si="9"/>
        <v>2.437877195324345E-3</v>
      </c>
      <c r="V110" s="10">
        <f t="shared" si="10"/>
        <v>1.5219833152745697E-2</v>
      </c>
      <c r="W110" s="10">
        <f t="shared" si="11"/>
        <v>1.8131307558481395E-5</v>
      </c>
      <c r="X110" s="148">
        <f t="shared" si="12"/>
        <v>1.1414341202795981</v>
      </c>
      <c r="Z110" s="107"/>
      <c r="AS110" s="13"/>
      <c r="AT110" s="13"/>
    </row>
    <row r="111" spans="1:46" x14ac:dyDescent="0.2">
      <c r="A111" s="97">
        <f>'Raw Data'!A111</f>
        <v>6353.33935546875</v>
      </c>
      <c r="B111" s="107">
        <f>'Raw Data'!E111</f>
        <v>0.81437155182290033</v>
      </c>
      <c r="C111" s="107">
        <f t="shared" si="1"/>
        <v>0.18562844817709967</v>
      </c>
      <c r="D111" s="87">
        <f t="shared" si="2"/>
        <v>8.752720184002194E-3</v>
      </c>
      <c r="E111" s="80">
        <f>(2*Table!$AC$16*0.147)/A111</f>
        <v>1.7192577168149085E-2</v>
      </c>
      <c r="F111" s="80">
        <f t="shared" si="3"/>
        <v>3.4385154336298171E-2</v>
      </c>
      <c r="G111" s="97">
        <f>IF((('Raw Data'!C111)/('Raw Data'!C$136)*100)&lt;0,0,('Raw Data'!C111)/('Raw Data'!C$136)*100)</f>
        <v>88.496962751698021</v>
      </c>
      <c r="H111" s="97">
        <f t="shared" si="4"/>
        <v>0.95114957093704788</v>
      </c>
      <c r="I111" s="23">
        <f t="shared" si="5"/>
        <v>3.9165711289357752E-2</v>
      </c>
      <c r="J111" s="80">
        <f>'Raw Data'!F111/I111</f>
        <v>0.22347915806601257</v>
      </c>
      <c r="K111" s="110">
        <f t="shared" si="6"/>
        <v>5.999024477476306</v>
      </c>
      <c r="L111" s="97">
        <f>A111*Table!$AC$9/$AC$16</f>
        <v>1197.0282173940998</v>
      </c>
      <c r="M111" s="97">
        <f>A111*Table!$AD$9/$AC$16</f>
        <v>410.4096745351199</v>
      </c>
      <c r="N111" s="97">
        <f>ABS(A111*Table!$AE$9/$AC$16)</f>
        <v>518.32842265504598</v>
      </c>
      <c r="O111" s="97">
        <f>($L111*(Table!$AC$10/Table!$AC$9)/(Table!$AC$12-Table!$AC$14))</f>
        <v>2567.6280939384383</v>
      </c>
      <c r="P111" s="97">
        <f>$N111*(Table!$AE$10/Table!$AE$9)/(Table!$AC$12-Table!$AC$13)</f>
        <v>4255.5699725373224</v>
      </c>
      <c r="Q111" s="97">
        <f>'Raw Data'!C111</f>
        <v>1.1577221294930204</v>
      </c>
      <c r="R111" s="97">
        <f>'Raw Data'!C111/'Raw Data'!I$30*100</f>
        <v>14.306755379178165</v>
      </c>
      <c r="S111" s="38">
        <f t="shared" si="7"/>
        <v>0.36764960979975586</v>
      </c>
      <c r="T111" s="38">
        <f t="shared" si="8"/>
        <v>4.6236806554023069E-5</v>
      </c>
      <c r="U111" s="10">
        <f t="shared" si="9"/>
        <v>2.2518481350855863E-3</v>
      </c>
      <c r="V111" s="10">
        <f t="shared" si="10"/>
        <v>1.3308113952021694E-2</v>
      </c>
      <c r="W111" s="10">
        <f t="shared" si="11"/>
        <v>1.3583950397205161E-5</v>
      </c>
      <c r="X111" s="148">
        <f t="shared" si="12"/>
        <v>1.1414477042299953</v>
      </c>
      <c r="Z111" s="107"/>
      <c r="AS111" s="13"/>
      <c r="AT111" s="13"/>
    </row>
    <row r="112" spans="1:46" x14ac:dyDescent="0.2">
      <c r="A112" s="97">
        <f>'Raw Data'!A112</f>
        <v>6945.20703125</v>
      </c>
      <c r="B112" s="107">
        <f>'Raw Data'!E112</f>
        <v>0.82234089293106505</v>
      </c>
      <c r="C112" s="107">
        <f t="shared" si="1"/>
        <v>0.17765910706893495</v>
      </c>
      <c r="D112" s="87">
        <f t="shared" si="2"/>
        <v>7.9693411081647181E-3</v>
      </c>
      <c r="E112" s="80">
        <f>(2*Table!$AC$16*0.147)/A112</f>
        <v>1.5727432840065496E-2</v>
      </c>
      <c r="F112" s="80">
        <f t="shared" si="3"/>
        <v>3.1454865680130992E-2</v>
      </c>
      <c r="G112" s="97">
        <f>IF((('Raw Data'!C112)/('Raw Data'!C$136)*100)&lt;0,0,('Raw Data'!C112)/('Raw Data'!C$136)*100)</f>
        <v>89.362983282039679</v>
      </c>
      <c r="H112" s="97">
        <f t="shared" si="4"/>
        <v>0.86602053034165749</v>
      </c>
      <c r="I112" s="23">
        <f t="shared" si="5"/>
        <v>3.8683143011951193E-2</v>
      </c>
      <c r="J112" s="80">
        <f>'Raw Data'!F112/I112</f>
        <v>0.20601586343960165</v>
      </c>
      <c r="K112" s="110">
        <f t="shared" si="6"/>
        <v>6.557884704481566</v>
      </c>
      <c r="L112" s="97">
        <f>A112*Table!$AC$9/$AC$16</f>
        <v>1308.5415915795634</v>
      </c>
      <c r="M112" s="97">
        <f>A112*Table!$AD$9/$AC$16</f>
        <v>448.64283139870741</v>
      </c>
      <c r="N112" s="97">
        <f>ABS(A112*Table!$AE$9/$AC$16)</f>
        <v>566.6151301082117</v>
      </c>
      <c r="O112" s="97">
        <f>($L112*(Table!$AC$10/Table!$AC$9)/(Table!$AC$12-Table!$AC$14))</f>
        <v>2806.8245207626846</v>
      </c>
      <c r="P112" s="97">
        <f>$N112*(Table!$AE$10/Table!$AE$9)/(Table!$AC$12-Table!$AC$13)</f>
        <v>4652.0125624647908</v>
      </c>
      <c r="Q112" s="97">
        <f>'Raw Data'!C112</f>
        <v>1.1690514576574786</v>
      </c>
      <c r="R112" s="97">
        <f>'Raw Data'!C112/'Raw Data'!I$30*100</f>
        <v>14.446759549894256</v>
      </c>
      <c r="S112" s="38">
        <f t="shared" si="7"/>
        <v>0.33474452366626439</v>
      </c>
      <c r="T112" s="38">
        <f t="shared" si="8"/>
        <v>3.7169817892368506E-5</v>
      </c>
      <c r="U112" s="10">
        <f t="shared" si="9"/>
        <v>2.0801049536595491E-3</v>
      </c>
      <c r="V112" s="10">
        <f t="shared" si="10"/>
        <v>1.1637375571739444E-2</v>
      </c>
      <c r="W112" s="10">
        <f t="shared" si="11"/>
        <v>1.0349971941708017E-5</v>
      </c>
      <c r="X112" s="148">
        <f t="shared" si="12"/>
        <v>1.141458054201937</v>
      </c>
      <c r="Z112" s="107"/>
      <c r="AS112" s="13"/>
      <c r="AT112" s="13"/>
    </row>
    <row r="113" spans="1:46" x14ac:dyDescent="0.2">
      <c r="A113" s="97">
        <f>'Raw Data'!A113</f>
        <v>7603.89208984375</v>
      </c>
      <c r="B113" s="107">
        <f>'Raw Data'!E113</f>
        <v>0.83086300761051601</v>
      </c>
      <c r="C113" s="107">
        <f t="shared" si="1"/>
        <v>0.16913699238948399</v>
      </c>
      <c r="D113" s="87">
        <f t="shared" si="2"/>
        <v>8.522114679450965E-3</v>
      </c>
      <c r="E113" s="80">
        <f>(2*Table!$AC$16*0.147)/A113</f>
        <v>1.4365048300755093E-2</v>
      </c>
      <c r="F113" s="80">
        <f t="shared" si="3"/>
        <v>2.8730096601510186E-2</v>
      </c>
      <c r="G113" s="97">
        <f>IF((('Raw Data'!C113)/('Raw Data'!C$136)*100)&lt;0,0,('Raw Data'!C113)/('Raw Data'!C$136)*100)</f>
        <v>90.289073177573115</v>
      </c>
      <c r="H113" s="97">
        <f t="shared" si="4"/>
        <v>0.9260898955334369</v>
      </c>
      <c r="I113" s="23">
        <f t="shared" si="5"/>
        <v>3.9350748725114348E-2</v>
      </c>
      <c r="J113" s="80">
        <f>'Raw Data'!F113/I113</f>
        <v>0.21656804395215992</v>
      </c>
      <c r="K113" s="110">
        <f t="shared" si="6"/>
        <v>7.1798360230508358</v>
      </c>
      <c r="L113" s="97">
        <f>A113*Table!$AC$9/$AC$16</f>
        <v>1432.6439820545693</v>
      </c>
      <c r="M113" s="97">
        <f>A113*Table!$AD$9/$AC$16</f>
        <v>491.19222241870943</v>
      </c>
      <c r="N113" s="97">
        <f>ABS(A113*Table!$AE$9/$AC$16)</f>
        <v>620.35304151907724</v>
      </c>
      <c r="O113" s="97">
        <f>($L113*(Table!$AC$10/Table!$AC$9)/(Table!$AC$12-Table!$AC$14))</f>
        <v>3073.0244145314664</v>
      </c>
      <c r="P113" s="97">
        <f>$N113*(Table!$AE$10/Table!$AE$9)/(Table!$AC$12-Table!$AC$13)</f>
        <v>5093.2105215030961</v>
      </c>
      <c r="Q113" s="97">
        <f>'Raw Data'!C113</f>
        <v>1.1811666165580972</v>
      </c>
      <c r="R113" s="97">
        <f>'Raw Data'!C113/'Raw Data'!I$30*100</f>
        <v>14.596474762513475</v>
      </c>
      <c r="S113" s="38">
        <f t="shared" si="7"/>
        <v>0.35796324693385556</v>
      </c>
      <c r="T113" s="38">
        <f t="shared" si="8"/>
        <v>2.9080972526185356E-5</v>
      </c>
      <c r="U113" s="10">
        <f t="shared" si="9"/>
        <v>1.9196057216552915E-3</v>
      </c>
      <c r="V113" s="10">
        <f t="shared" si="10"/>
        <v>1.0159783375446917E-2</v>
      </c>
      <c r="W113" s="10">
        <f t="shared" si="11"/>
        <v>9.2334208969743047E-6</v>
      </c>
      <c r="X113" s="148">
        <f t="shared" si="12"/>
        <v>1.141467287622834</v>
      </c>
      <c r="Z113" s="107"/>
      <c r="AS113" s="13"/>
      <c r="AT113" s="13"/>
    </row>
    <row r="114" spans="1:46" x14ac:dyDescent="0.2">
      <c r="A114" s="97">
        <f>'Raw Data'!A114</f>
        <v>8313.3974609375</v>
      </c>
      <c r="B114" s="107">
        <f>'Raw Data'!E114</f>
        <v>0.84009695041514976</v>
      </c>
      <c r="C114" s="107">
        <f t="shared" si="1"/>
        <v>0.15990304958485024</v>
      </c>
      <c r="D114" s="87">
        <f t="shared" si="2"/>
        <v>9.2339428046337435E-3</v>
      </c>
      <c r="E114" s="80">
        <f>(2*Table!$AC$16*0.147)/A114</f>
        <v>1.3139065906277165E-2</v>
      </c>
      <c r="F114" s="80">
        <f t="shared" si="3"/>
        <v>2.6278131812554329E-2</v>
      </c>
      <c r="G114" s="97">
        <f>IF((('Raw Data'!C114)/('Raw Data'!C$136)*100)&lt;0,0,('Raw Data'!C114)/('Raw Data'!C$136)*100)</f>
        <v>91.292516741636462</v>
      </c>
      <c r="H114" s="97">
        <f t="shared" si="4"/>
        <v>1.0034435640633461</v>
      </c>
      <c r="I114" s="23">
        <f t="shared" si="5"/>
        <v>3.874259950754988E-2</v>
      </c>
      <c r="J114" s="80">
        <f>'Raw Data'!F114/I114</f>
        <v>0.23834081662058579</v>
      </c>
      <c r="K114" s="110">
        <f t="shared" si="6"/>
        <v>7.8497734921439344</v>
      </c>
      <c r="L114" s="97">
        <f>A114*Table!$AC$9/$AC$16</f>
        <v>1566.3213920076269</v>
      </c>
      <c r="M114" s="97">
        <f>A114*Table!$AD$9/$AC$16</f>
        <v>537.02447725975776</v>
      </c>
      <c r="N114" s="97">
        <f>ABS(A114*Table!$AE$9/$AC$16)</f>
        <v>678.23705798480455</v>
      </c>
      <c r="O114" s="97">
        <f>($L114*(Table!$AC$10/Table!$AC$9)/(Table!$AC$12-Table!$AC$14))</f>
        <v>3359.7627456191058</v>
      </c>
      <c r="P114" s="97">
        <f>$N114*(Table!$AE$10/Table!$AE$9)/(Table!$AC$12-Table!$AC$13)</f>
        <v>5568.4487519277864</v>
      </c>
      <c r="Q114" s="97">
        <f>'Raw Data'!C114</f>
        <v>1.1942937204008921</v>
      </c>
      <c r="R114" s="97">
        <f>'Raw Data'!C114/'Raw Data'!I$30*100</f>
        <v>14.758695263211841</v>
      </c>
      <c r="S114" s="38">
        <f t="shared" si="7"/>
        <v>0.38786290406516305</v>
      </c>
      <c r="T114" s="38">
        <f t="shared" si="8"/>
        <v>2.1748657086928525E-5</v>
      </c>
      <c r="U114" s="10">
        <f t="shared" si="9"/>
        <v>1.7752904672919977E-3</v>
      </c>
      <c r="V114" s="10">
        <f t="shared" si="10"/>
        <v>8.9019978838579799E-3</v>
      </c>
      <c r="W114" s="10">
        <f t="shared" si="11"/>
        <v>8.3698416196453173E-6</v>
      </c>
      <c r="X114" s="148">
        <f t="shared" si="12"/>
        <v>1.1414756574644536</v>
      </c>
      <c r="Z114" s="107"/>
      <c r="AS114" s="13"/>
      <c r="AT114" s="13"/>
    </row>
    <row r="115" spans="1:46" x14ac:dyDescent="0.2">
      <c r="A115" s="97">
        <f>'Raw Data'!A115</f>
        <v>9094.6494140625</v>
      </c>
      <c r="B115" s="107">
        <f>'Raw Data'!E115</f>
        <v>0.8431024679202308</v>
      </c>
      <c r="C115" s="107">
        <f t="shared" si="1"/>
        <v>0.1568975320797692</v>
      </c>
      <c r="D115" s="87">
        <f t="shared" si="2"/>
        <v>3.0055175050810456E-3</v>
      </c>
      <c r="E115" s="80">
        <f>(2*Table!$AC$16*0.147)/A115</f>
        <v>1.2010388984916664E-2</v>
      </c>
      <c r="F115" s="80">
        <f t="shared" si="3"/>
        <v>2.4020777969833328E-2</v>
      </c>
      <c r="G115" s="97">
        <f>IF((('Raw Data'!C115)/('Raw Data'!C$136)*100)&lt;0,0,('Raw Data'!C115)/('Raw Data'!C$136)*100)</f>
        <v>91.619123399373166</v>
      </c>
      <c r="H115" s="97">
        <f t="shared" si="4"/>
        <v>0.32660665773670416</v>
      </c>
      <c r="I115" s="23">
        <f t="shared" si="5"/>
        <v>3.9007417799139521E-2</v>
      </c>
      <c r="J115" s="80">
        <f>'Raw Data'!F115/I115</f>
        <v>7.7049896523715689E-2</v>
      </c>
      <c r="K115" s="110">
        <f t="shared" si="6"/>
        <v>8.587456359003367</v>
      </c>
      <c r="L115" s="97">
        <f>A115*Table!$AC$9/$AC$16</f>
        <v>1713.5165252220843</v>
      </c>
      <c r="M115" s="97">
        <f>A115*Table!$AD$9/$AC$16</f>
        <v>587.49138007614317</v>
      </c>
      <c r="N115" s="97">
        <f>ABS(A115*Table!$AE$9/$AC$16)</f>
        <v>741.97442032338188</v>
      </c>
      <c r="O115" s="97">
        <f>($L115*(Table!$AC$10/Table!$AC$9)/(Table!$AC$12-Table!$AC$14))</f>
        <v>3675.4966220979936</v>
      </c>
      <c r="P115" s="97">
        <f>$N115*(Table!$AE$10/Table!$AE$9)/(Table!$AC$12-Table!$AC$13)</f>
        <v>6091.7440092231673</v>
      </c>
      <c r="Q115" s="97">
        <f>'Raw Data'!C115</f>
        <v>1.1985664066439494</v>
      </c>
      <c r="R115" s="97">
        <f>'Raw Data'!C115/'Raw Data'!I$30*100</f>
        <v>14.811495736947425</v>
      </c>
      <c r="S115" s="38">
        <f t="shared" si="7"/>
        <v>0.12624387787570399</v>
      </c>
      <c r="T115" s="38">
        <f t="shared" si="8"/>
        <v>1.9754504500091308E-5</v>
      </c>
      <c r="U115" s="10">
        <f t="shared" si="9"/>
        <v>1.6285944694080581E-3</v>
      </c>
      <c r="V115" s="10">
        <f t="shared" si="10"/>
        <v>7.693936606411384E-3</v>
      </c>
      <c r="W115" s="10">
        <f t="shared" si="11"/>
        <v>2.2763261421955048E-6</v>
      </c>
      <c r="X115" s="148">
        <f t="shared" si="12"/>
        <v>1.1414779337905958</v>
      </c>
      <c r="Z115" s="107"/>
      <c r="AS115" s="13"/>
      <c r="AT115" s="13"/>
    </row>
    <row r="116" spans="1:46" x14ac:dyDescent="0.2">
      <c r="A116" s="97">
        <f>'Raw Data'!A116</f>
        <v>9954.0029296875</v>
      </c>
      <c r="B116" s="107">
        <f>'Raw Data'!E116</f>
        <v>0.85335634215207545</v>
      </c>
      <c r="C116" s="107">
        <f t="shared" si="1"/>
        <v>0.14664365784792455</v>
      </c>
      <c r="D116" s="87">
        <f t="shared" si="2"/>
        <v>1.0253874231844651E-2</v>
      </c>
      <c r="E116" s="80">
        <f>(2*Table!$AC$16*0.147)/A116</f>
        <v>1.0973502611553308E-2</v>
      </c>
      <c r="F116" s="80">
        <f t="shared" si="3"/>
        <v>2.1947005223106615E-2</v>
      </c>
      <c r="G116" s="97">
        <f>IF((('Raw Data'!C116)/('Raw Data'!C$136)*100)&lt;0,0,('Raw Data'!C116)/('Raw Data'!C$136)*100)</f>
        <v>92.733401917483164</v>
      </c>
      <c r="H116" s="97">
        <f t="shared" si="4"/>
        <v>1.1142785181099981</v>
      </c>
      <c r="I116" s="23">
        <f t="shared" si="5"/>
        <v>3.9211801949673442E-2</v>
      </c>
      <c r="J116" s="80">
        <f>'Raw Data'!F116/I116</f>
        <v>0.26149969453087185</v>
      </c>
      <c r="K116" s="110">
        <f t="shared" si="6"/>
        <v>9.3988851976978083</v>
      </c>
      <c r="L116" s="97">
        <f>A116*Table!$AC$9/$AC$16</f>
        <v>1875.4267191163392</v>
      </c>
      <c r="M116" s="97">
        <f>A116*Table!$AD$9/$AC$16</f>
        <v>643.00344655417348</v>
      </c>
      <c r="N116" s="97">
        <f>ABS(A116*Table!$AE$9/$AC$16)</f>
        <v>812.08359084542644</v>
      </c>
      <c r="O116" s="97">
        <f>($L116*(Table!$AC$10/Table!$AC$9)/(Table!$AC$12-Table!$AC$14))</f>
        <v>4022.7943352988832</v>
      </c>
      <c r="P116" s="97">
        <f>$N116*(Table!$AE$10/Table!$AE$9)/(Table!$AC$12-Table!$AC$13)</f>
        <v>6667.3529626061272</v>
      </c>
      <c r="Q116" s="97">
        <f>'Raw Data'!C116</f>
        <v>1.2131434594457968</v>
      </c>
      <c r="R116" s="97">
        <f>'Raw Data'!C116/'Raw Data'!I$30*100</f>
        <v>14.99163423760537</v>
      </c>
      <c r="S116" s="38">
        <f t="shared" si="7"/>
        <v>0.43070414465708373</v>
      </c>
      <c r="T116" s="38">
        <f t="shared" si="8"/>
        <v>1.4075090772003307E-5</v>
      </c>
      <c r="U116" s="10">
        <f t="shared" si="9"/>
        <v>1.5060910011281284E-3</v>
      </c>
      <c r="V116" s="10">
        <f t="shared" si="10"/>
        <v>6.7409219384461025E-3</v>
      </c>
      <c r="W116" s="10">
        <f t="shared" si="11"/>
        <v>6.4830535169120192E-6</v>
      </c>
      <c r="X116" s="148">
        <f t="shared" si="12"/>
        <v>1.1414844168441127</v>
      </c>
      <c r="Z116" s="107"/>
      <c r="AS116" s="13"/>
      <c r="AT116" s="13"/>
    </row>
    <row r="117" spans="1:46" x14ac:dyDescent="0.2">
      <c r="A117" s="97">
        <f>'Raw Data'!A117</f>
        <v>10895.234375</v>
      </c>
      <c r="B117" s="107">
        <f>'Raw Data'!E117</f>
        <v>0.8606221618417299</v>
      </c>
      <c r="C117" s="107">
        <f t="shared" si="1"/>
        <v>0.1393778381582701</v>
      </c>
      <c r="D117" s="87">
        <f t="shared" si="2"/>
        <v>7.2658196896544514E-3</v>
      </c>
      <c r="E117" s="80">
        <f>(2*Table!$AC$16*0.147)/A117</f>
        <v>1.002550962969395E-2</v>
      </c>
      <c r="F117" s="80">
        <f t="shared" si="3"/>
        <v>2.00510192593879E-2</v>
      </c>
      <c r="G117" s="97">
        <f>IF((('Raw Data'!C117)/('Raw Data'!C$136)*100)&lt;0,0,('Raw Data'!C117)/('Raw Data'!C$136)*100)</f>
        <v>93.52297146101229</v>
      </c>
      <c r="H117" s="97">
        <f t="shared" si="4"/>
        <v>0.78956954352912589</v>
      </c>
      <c r="I117" s="23">
        <f t="shared" si="5"/>
        <v>3.9238812864156092E-2</v>
      </c>
      <c r="J117" s="80">
        <f>'Raw Data'!F117/I117</f>
        <v>0.18516920261600572</v>
      </c>
      <c r="K117" s="110">
        <f t="shared" si="6"/>
        <v>10.287625773870522</v>
      </c>
      <c r="L117" s="97">
        <f>A117*Table!$AC$9/$AC$16</f>
        <v>2052.7634763868105</v>
      </c>
      <c r="M117" s="97">
        <f>A117*Table!$AD$9/$AC$16</f>
        <v>703.80462047547792</v>
      </c>
      <c r="N117" s="97">
        <f>ABS(A117*Table!$AE$9/$AC$16)</f>
        <v>888.87265925591782</v>
      </c>
      <c r="O117" s="97">
        <f>($L117*(Table!$AC$10/Table!$AC$9)/(Table!$AC$12-Table!$AC$14))</f>
        <v>4403.1820600317697</v>
      </c>
      <c r="P117" s="97">
        <f>$N117*(Table!$AE$10/Table!$AE$9)/(Table!$AC$12-Table!$AC$13)</f>
        <v>7297.8050842029361</v>
      </c>
      <c r="Q117" s="97">
        <f>'Raw Data'!C117</f>
        <v>1.2234726515999064</v>
      </c>
      <c r="R117" s="97">
        <f>'Raw Data'!C117/'Raw Data'!I$30*100</f>
        <v>15.119279051199875</v>
      </c>
      <c r="S117" s="38">
        <f t="shared" si="7"/>
        <v>0.30519378177532436</v>
      </c>
      <c r="T117" s="38">
        <f t="shared" si="8"/>
        <v>1.0715994036125664E-5</v>
      </c>
      <c r="U117" s="10">
        <f t="shared" si="9"/>
        <v>1.3876965405987308E-3</v>
      </c>
      <c r="V117" s="10">
        <f t="shared" si="10"/>
        <v>5.869389147559515E-3</v>
      </c>
      <c r="W117" s="10">
        <f t="shared" si="11"/>
        <v>3.8344105483577611E-6</v>
      </c>
      <c r="X117" s="148">
        <f t="shared" si="12"/>
        <v>1.1414882512546611</v>
      </c>
      <c r="Z117" s="107"/>
      <c r="AS117" s="13"/>
      <c r="AT117" s="13"/>
    </row>
    <row r="118" spans="1:46" x14ac:dyDescent="0.2">
      <c r="A118" s="97">
        <f>'Raw Data'!A118</f>
        <v>11896.720703125</v>
      </c>
      <c r="B118" s="107">
        <f>'Raw Data'!E118</f>
        <v>0.86857960925625033</v>
      </c>
      <c r="C118" s="107">
        <f t="shared" si="1"/>
        <v>0.13142039074374967</v>
      </c>
      <c r="D118" s="87">
        <f t="shared" si="2"/>
        <v>7.9574474145204244E-3</v>
      </c>
      <c r="E118" s="80">
        <f>(2*Table!$AC$16*0.147)/A118</f>
        <v>9.1815450551547967E-3</v>
      </c>
      <c r="F118" s="80">
        <f t="shared" si="3"/>
        <v>1.8363090110309593E-2</v>
      </c>
      <c r="G118" s="97">
        <f>IF((('Raw Data'!C118)/('Raw Data'!C$136)*100)&lt;0,0,('Raw Data'!C118)/('Raw Data'!C$136)*100)</f>
        <v>94.387699515258632</v>
      </c>
      <c r="H118" s="97">
        <f t="shared" si="4"/>
        <v>0.86472805424634203</v>
      </c>
      <c r="I118" s="23">
        <f t="shared" si="5"/>
        <v>3.8190688767866687E-2</v>
      </c>
      <c r="J118" s="80">
        <f>'Raw Data'!F118/I118</f>
        <v>0.20836092962051397</v>
      </c>
      <c r="K118" s="110">
        <f t="shared" si="6"/>
        <v>11.23326092101693</v>
      </c>
      <c r="L118" s="97">
        <f>A118*Table!$AC$9/$AC$16</f>
        <v>2241.4528139189124</v>
      </c>
      <c r="M118" s="97">
        <f>A118*Table!$AD$9/$AC$16</f>
        <v>768.49810762934146</v>
      </c>
      <c r="N118" s="97">
        <f>ABS(A118*Table!$AE$9/$AC$16)</f>
        <v>970.57753911894633</v>
      </c>
      <c r="O118" s="97">
        <f>($L118*(Table!$AC$10/Table!$AC$9)/(Table!$AC$12-Table!$AC$14))</f>
        <v>4807.9210937771613</v>
      </c>
      <c r="P118" s="97">
        <f>$N118*(Table!$AE$10/Table!$AE$9)/(Table!$AC$12-Table!$AC$13)</f>
        <v>7968.6169057384732</v>
      </c>
      <c r="Q118" s="97">
        <f>'Raw Data'!C118</f>
        <v>1.2347850715210662</v>
      </c>
      <c r="R118" s="97">
        <f>'Raw Data'!C118/'Raw Data'!I$30*100</f>
        <v>15.259074275317644</v>
      </c>
      <c r="S118" s="38">
        <f t="shared" si="7"/>
        <v>0.33424494048121128</v>
      </c>
      <c r="T118" s="38">
        <f t="shared" si="8"/>
        <v>7.6304603325860754E-6</v>
      </c>
      <c r="U118" s="10">
        <f t="shared" si="9"/>
        <v>1.2826286046464408E-3</v>
      </c>
      <c r="V118" s="10">
        <f t="shared" si="10"/>
        <v>5.1377332653743182E-3</v>
      </c>
      <c r="W118" s="10">
        <f t="shared" si="11"/>
        <v>3.522138214677249E-6</v>
      </c>
      <c r="X118" s="148">
        <f t="shared" si="12"/>
        <v>1.1414917733928758</v>
      </c>
      <c r="Z118" s="107"/>
      <c r="AS118" s="13"/>
      <c r="AT118" s="13"/>
    </row>
    <row r="119" spans="1:46" x14ac:dyDescent="0.2">
      <c r="A119" s="97">
        <f>'Raw Data'!A119</f>
        <v>12995.5205078125</v>
      </c>
      <c r="B119" s="107">
        <f>'Raw Data'!E119</f>
        <v>0.87208418992242931</v>
      </c>
      <c r="C119" s="107">
        <f t="shared" si="1"/>
        <v>0.12791581007757069</v>
      </c>
      <c r="D119" s="87">
        <f t="shared" si="2"/>
        <v>3.5045806661789802E-3</v>
      </c>
      <c r="E119" s="80">
        <f>(2*Table!$AC$16*0.147)/A119</f>
        <v>8.4052252527068248E-3</v>
      </c>
      <c r="F119" s="80">
        <f t="shared" si="3"/>
        <v>1.681045050541365E-2</v>
      </c>
      <c r="G119" s="97">
        <f>IF((('Raw Data'!C119)/('Raw Data'!C$136)*100)&lt;0,0,('Raw Data'!C119)/('Raw Data'!C$136)*100)</f>
        <v>94.768538880264614</v>
      </c>
      <c r="H119" s="97">
        <f t="shared" si="4"/>
        <v>0.3808393650059827</v>
      </c>
      <c r="I119" s="23">
        <f t="shared" si="5"/>
        <v>3.836641306041022E-2</v>
      </c>
      <c r="J119" s="80">
        <f>'Raw Data'!F119/I119</f>
        <v>9.1345017337451054E-2</v>
      </c>
      <c r="K119" s="110">
        <f t="shared" si="6"/>
        <v>12.270782538446753</v>
      </c>
      <c r="L119" s="97">
        <f>A119*Table!$AC$9/$AC$16</f>
        <v>2448.4769154012142</v>
      </c>
      <c r="M119" s="97">
        <f>A119*Table!$AD$9/$AC$16</f>
        <v>839.47779956613056</v>
      </c>
      <c r="N119" s="97">
        <f>ABS(A119*Table!$AE$9/$AC$16)</f>
        <v>1060.2216046586066</v>
      </c>
      <c r="O119" s="97">
        <f>($L119*(Table!$AC$10/Table!$AC$9)/(Table!$AC$12-Table!$AC$14))</f>
        <v>5251.9882355238406</v>
      </c>
      <c r="P119" s="97">
        <f>$N119*(Table!$AE$10/Table!$AE$9)/(Table!$AC$12-Table!$AC$13)</f>
        <v>8704.6108756864232</v>
      </c>
      <c r="Q119" s="97">
        <f>'Raw Data'!C119</f>
        <v>1.239767233020626</v>
      </c>
      <c r="R119" s="97">
        <f>'Raw Data'!C119/'Raw Data'!I$30*100</f>
        <v>15.320642214651215</v>
      </c>
      <c r="S119" s="38">
        <f t="shared" si="7"/>
        <v>0.14720654691868848</v>
      </c>
      <c r="T119" s="38">
        <f t="shared" si="8"/>
        <v>6.4916280964055773E-6</v>
      </c>
      <c r="U119" s="10">
        <f t="shared" si="9"/>
        <v>1.1789171665298765E-3</v>
      </c>
      <c r="V119" s="10">
        <f t="shared" si="10"/>
        <v>4.4550352205213698E-3</v>
      </c>
      <c r="W119" s="10">
        <f t="shared" si="11"/>
        <v>1.2999775481815415E-6</v>
      </c>
      <c r="X119" s="148">
        <f t="shared" si="12"/>
        <v>1.141493073370424</v>
      </c>
      <c r="Z119" s="107"/>
      <c r="AS119" s="13"/>
      <c r="AT119" s="13"/>
    </row>
    <row r="120" spans="1:46" x14ac:dyDescent="0.2">
      <c r="A120" s="97">
        <f>'Raw Data'!A120</f>
        <v>14294.2802734375</v>
      </c>
      <c r="B120" s="107">
        <f>'Raw Data'!E120</f>
        <v>0.87825531782482169</v>
      </c>
      <c r="C120" s="107">
        <f t="shared" si="1"/>
        <v>0.12174468217517831</v>
      </c>
      <c r="D120" s="87">
        <f t="shared" si="2"/>
        <v>6.1711279023923815E-3</v>
      </c>
      <c r="E120" s="80">
        <f>(2*Table!$AC$16*0.147)/A120</f>
        <v>7.6415373880217938E-3</v>
      </c>
      <c r="F120" s="80">
        <f t="shared" si="3"/>
        <v>1.5283074776043588E-2</v>
      </c>
      <c r="G120" s="97">
        <f>IF((('Raw Data'!C120)/('Raw Data'!C$136)*100)&lt;0,0,('Raw Data'!C120)/('Raw Data'!C$136)*100)</f>
        <v>95.439149334290832</v>
      </c>
      <c r="H120" s="97">
        <f t="shared" si="4"/>
        <v>0.67061045402621744</v>
      </c>
      <c r="I120" s="23">
        <f t="shared" si="5"/>
        <v>4.1368614304046591E-2</v>
      </c>
      <c r="J120" s="80">
        <f>'Raw Data'!F120/I120</f>
        <v>0.14917415065045422</v>
      </c>
      <c r="K120" s="110">
        <f t="shared" si="6"/>
        <v>13.497112691524325</v>
      </c>
      <c r="L120" s="97">
        <f>A120*Table!$AC$9/$AC$16</f>
        <v>2693.1753330500492</v>
      </c>
      <c r="M120" s="97">
        <f>A120*Table!$AD$9/$AC$16</f>
        <v>923.37439990287407</v>
      </c>
      <c r="N120" s="97">
        <f>ABS(A120*Table!$AE$9/$AC$16)</f>
        <v>1166.1791276334795</v>
      </c>
      <c r="O120" s="97">
        <f>($L120*(Table!$AC$10/Table!$AC$9)/(Table!$AC$12-Table!$AC$14))</f>
        <v>5776.8668662592227</v>
      </c>
      <c r="P120" s="97">
        <f>$N120*(Table!$AE$10/Table!$AE$9)/(Table!$AC$12-Table!$AC$13)</f>
        <v>9574.5412777789752</v>
      </c>
      <c r="Q120" s="97">
        <f>'Raw Data'!C120</f>
        <v>1.248540195829235</v>
      </c>
      <c r="R120" s="97">
        <f>'Raw Data'!C120/'Raw Data'!I$30*100</f>
        <v>15.429055649668097</v>
      </c>
      <c r="S120" s="38">
        <f t="shared" si="7"/>
        <v>0.25921230402015744</v>
      </c>
      <c r="T120" s="38">
        <f t="shared" si="8"/>
        <v>4.834137740217237E-6</v>
      </c>
      <c r="U120" s="10">
        <f t="shared" si="9"/>
        <v>1.0793866745665611E-3</v>
      </c>
      <c r="V120" s="10">
        <f t="shared" si="10"/>
        <v>3.8377377226919075E-3</v>
      </c>
      <c r="W120" s="10">
        <f t="shared" si="11"/>
        <v>1.8920260430673016E-6</v>
      </c>
      <c r="X120" s="148">
        <f t="shared" si="12"/>
        <v>1.1414949653964672</v>
      </c>
      <c r="Z120" s="107"/>
      <c r="AS120" s="13"/>
      <c r="AT120" s="13"/>
    </row>
    <row r="121" spans="1:46" x14ac:dyDescent="0.2">
      <c r="A121" s="97">
        <f>'Raw Data'!A121</f>
        <v>15594.58203125</v>
      </c>
      <c r="B121" s="107">
        <f>'Raw Data'!E121</f>
        <v>0.88356481369874729</v>
      </c>
      <c r="C121" s="107">
        <f t="shared" si="1"/>
        <v>0.11643518630125271</v>
      </c>
      <c r="D121" s="87">
        <f t="shared" si="2"/>
        <v>5.309495873925596E-3</v>
      </c>
      <c r="E121" s="80">
        <f>(2*Table!$AC$16*0.147)/A121</f>
        <v>7.0043735013511988E-3</v>
      </c>
      <c r="F121" s="80">
        <f t="shared" si="3"/>
        <v>1.4008747002702398E-2</v>
      </c>
      <c r="G121" s="97">
        <f>IF((('Raw Data'!C121)/('Raw Data'!C$136)*100)&lt;0,0,('Raw Data'!C121)/('Raw Data'!C$136)*100)</f>
        <v>96.016127075634216</v>
      </c>
      <c r="H121" s="97">
        <f t="shared" si="4"/>
        <v>0.57697774134338431</v>
      </c>
      <c r="I121" s="23">
        <f t="shared" si="5"/>
        <v>3.7811445984353931E-2</v>
      </c>
      <c r="J121" s="80">
        <f>'Raw Data'!F121/I121</f>
        <v>0.14042033399417261</v>
      </c>
      <c r="K121" s="110">
        <f t="shared" si="6"/>
        <v>14.72489884252037</v>
      </c>
      <c r="L121" s="97">
        <f>A121*Table!$AC$9/$AC$16</f>
        <v>2938.1642763667523</v>
      </c>
      <c r="M121" s="97">
        <f>A121*Table!$AD$9/$AC$16</f>
        <v>1007.3706090400293</v>
      </c>
      <c r="N121" s="97">
        <f>ABS(A121*Table!$AE$9/$AC$16)</f>
        <v>1272.2624519127648</v>
      </c>
      <c r="O121" s="97">
        <f>($L121*(Table!$AC$10/Table!$AC$9)/(Table!$AC$12-Table!$AC$14))</f>
        <v>6302.3686751753594</v>
      </c>
      <c r="P121" s="97">
        <f>$N121*(Table!$AE$10/Table!$AE$9)/(Table!$AC$12-Table!$AC$13)</f>
        <v>10445.504531303486</v>
      </c>
      <c r="Q121" s="97">
        <f>'Raw Data'!C121</f>
        <v>1.2560882503455504</v>
      </c>
      <c r="R121" s="97">
        <f>'Raw Data'!C121/'Raw Data'!I$30*100</f>
        <v>15.522332064450731</v>
      </c>
      <c r="S121" s="38">
        <f t="shared" si="7"/>
        <v>0.22302027772463173</v>
      </c>
      <c r="T121" s="38">
        <f t="shared" si="8"/>
        <v>3.6359721081735685E-6</v>
      </c>
      <c r="U121" s="10">
        <f t="shared" si="9"/>
        <v>9.9536698279860999E-4</v>
      </c>
      <c r="V121" s="10">
        <f t="shared" si="10"/>
        <v>3.3462820116971987E-3</v>
      </c>
      <c r="W121" s="10">
        <f t="shared" si="11"/>
        <v>1.3677066483917602E-6</v>
      </c>
      <c r="X121" s="148">
        <f t="shared" si="12"/>
        <v>1.1414963331031156</v>
      </c>
      <c r="Z121" s="107"/>
      <c r="AS121" s="13"/>
      <c r="AT121" s="13"/>
    </row>
    <row r="122" spans="1:46" x14ac:dyDescent="0.2">
      <c r="A122" s="97">
        <f>'Raw Data'!A122</f>
        <v>17095.107421875</v>
      </c>
      <c r="B122" s="107">
        <f>'Raw Data'!E122</f>
        <v>0.89069055210770021</v>
      </c>
      <c r="C122" s="107">
        <f t="shared" si="1"/>
        <v>0.10930944789229979</v>
      </c>
      <c r="D122" s="87">
        <f t="shared" si="2"/>
        <v>7.1257384089529197E-3</v>
      </c>
      <c r="E122" s="80">
        <f>(2*Table!$AC$16*0.147)/A122</f>
        <v>6.3895636598669944E-3</v>
      </c>
      <c r="F122" s="80">
        <f t="shared" si="3"/>
        <v>1.2779127319733989E-2</v>
      </c>
      <c r="G122" s="97">
        <f>IF((('Raw Data'!C122)/('Raw Data'!C$136)*100)&lt;0,0,('Raw Data'!C122)/('Raw Data'!C$136)*100)</f>
        <v>96.790474122929623</v>
      </c>
      <c r="H122" s="97">
        <f t="shared" si="4"/>
        <v>0.77434704729540726</v>
      </c>
      <c r="I122" s="23">
        <f t="shared" si="5"/>
        <v>3.9898094940166828E-2</v>
      </c>
      <c r="J122" s="80">
        <f>'Raw Data'!F122/I122</f>
        <v>0.17859846239874441</v>
      </c>
      <c r="K122" s="110">
        <f t="shared" si="6"/>
        <v>16.141742496509309</v>
      </c>
      <c r="L122" s="97">
        <f>A122*Table!$AC$9/$AC$16</f>
        <v>3220.877214083253</v>
      </c>
      <c r="M122" s="97">
        <f>A122*Table!$AD$9/$AC$16</f>
        <v>1104.3007591142582</v>
      </c>
      <c r="N122" s="97">
        <f>ABS(A122*Table!$AE$9/$AC$16)</f>
        <v>1394.6807449332737</v>
      </c>
      <c r="O122" s="97">
        <f>($L122*(Table!$AC$10/Table!$AC$9)/(Table!$AC$12-Table!$AC$14))</f>
        <v>6908.7885329971123</v>
      </c>
      <c r="P122" s="97">
        <f>$N122*(Table!$AE$10/Table!$AE$9)/(Table!$AC$12-Table!$AC$13)</f>
        <v>11450.580828680406</v>
      </c>
      <c r="Q122" s="97">
        <f>'Raw Data'!C122</f>
        <v>1.2662183009674772</v>
      </c>
      <c r="R122" s="97">
        <f>'Raw Data'!C122/'Raw Data'!I$30*100</f>
        <v>15.647515951442736</v>
      </c>
      <c r="S122" s="38">
        <f t="shared" si="7"/>
        <v>0.29930980204016738</v>
      </c>
      <c r="T122" s="38">
        <f t="shared" si="8"/>
        <v>2.2978453484423511E-6</v>
      </c>
      <c r="U122" s="10">
        <f t="shared" si="9"/>
        <v>9.1532130014112005E-4</v>
      </c>
      <c r="V122" s="10">
        <f t="shared" si="10"/>
        <v>2.9039812004234135E-3</v>
      </c>
      <c r="W122" s="10">
        <f t="shared" si="11"/>
        <v>1.5274723432049063E-6</v>
      </c>
      <c r="X122" s="148">
        <f t="shared" si="12"/>
        <v>1.1414978605754589</v>
      </c>
      <c r="Z122" s="107"/>
      <c r="AS122" s="13"/>
      <c r="AT122" s="13"/>
    </row>
    <row r="123" spans="1:46" x14ac:dyDescent="0.2">
      <c r="A123" s="97">
        <f>'Raw Data'!A123</f>
        <v>18695.3671875</v>
      </c>
      <c r="B123" s="107">
        <f>'Raw Data'!E123</f>
        <v>0.89069055210770021</v>
      </c>
      <c r="C123" s="107">
        <f t="shared" si="1"/>
        <v>0.10930944789229979</v>
      </c>
      <c r="D123" s="87">
        <f t="shared" si="2"/>
        <v>0</v>
      </c>
      <c r="E123" s="80">
        <f>(2*Table!$AC$16*0.147)/A123</f>
        <v>5.8426387697465519E-3</v>
      </c>
      <c r="F123" s="80">
        <f t="shared" si="3"/>
        <v>1.1685277539493104E-2</v>
      </c>
      <c r="G123" s="97">
        <f>IF((('Raw Data'!C123)/('Raw Data'!C$136)*100)&lt;0,0,('Raw Data'!C123)/('Raw Data'!C$136)*100)</f>
        <v>96.790474122929623</v>
      </c>
      <c r="H123" s="97">
        <f t="shared" si="4"/>
        <v>0</v>
      </c>
      <c r="I123" s="23">
        <f t="shared" si="5"/>
        <v>3.8862165209594401E-2</v>
      </c>
      <c r="J123" s="80">
        <f>'Raw Data'!F123/I123</f>
        <v>0</v>
      </c>
      <c r="K123" s="110">
        <f t="shared" si="6"/>
        <v>17.652758509850621</v>
      </c>
      <c r="L123" s="97">
        <f>A123*Table!$AC$9/$AC$16</f>
        <v>3522.3810355287019</v>
      </c>
      <c r="M123" s="97">
        <f>A123*Table!$AD$9/$AC$16</f>
        <v>1207.6734978955549</v>
      </c>
      <c r="N123" s="97">
        <f>ABS(A123*Table!$AE$9/$AC$16)</f>
        <v>1525.2357292881966</v>
      </c>
      <c r="O123" s="97">
        <f>($L123*(Table!$AC$10/Table!$AC$9)/(Table!$AC$12-Table!$AC$14))</f>
        <v>7555.5148767239425</v>
      </c>
      <c r="P123" s="97">
        <f>$N123*(Table!$AE$10/Table!$AE$9)/(Table!$AC$12-Table!$AC$13)</f>
        <v>12522.460831594386</v>
      </c>
      <c r="Q123" s="97">
        <f>'Raw Data'!C123</f>
        <v>1.2662183009674772</v>
      </c>
      <c r="R123" s="97">
        <f>'Raw Data'!C123/'Raw Data'!I$30*100</f>
        <v>15.647515951442736</v>
      </c>
      <c r="S123" s="38">
        <f t="shared" si="7"/>
        <v>0</v>
      </c>
      <c r="T123" s="38">
        <f t="shared" si="8"/>
        <v>2.2978453484423511E-6</v>
      </c>
      <c r="U123" s="10">
        <f t="shared" si="9"/>
        <v>8.369729139048362E-4</v>
      </c>
      <c r="V123" s="10">
        <f t="shared" si="10"/>
        <v>2.4961913802328366E-3</v>
      </c>
      <c r="W123" s="10">
        <f t="shared" si="11"/>
        <v>0</v>
      </c>
      <c r="X123" s="148">
        <f t="shared" si="12"/>
        <v>1.1414978605754589</v>
      </c>
      <c r="Z123" s="107"/>
      <c r="AS123" s="13"/>
      <c r="AT123" s="13"/>
    </row>
    <row r="124" spans="1:46" x14ac:dyDescent="0.2">
      <c r="A124" s="97">
        <f>'Raw Data'!A124</f>
        <v>20394.369140625</v>
      </c>
      <c r="B124" s="107">
        <f>'Raw Data'!E124</f>
        <v>0.89668223626709131</v>
      </c>
      <c r="C124" s="107">
        <f t="shared" si="1"/>
        <v>0.10331776373290869</v>
      </c>
      <c r="D124" s="87">
        <f t="shared" si="2"/>
        <v>5.9916841593911085E-3</v>
      </c>
      <c r="E124" s="80">
        <f>(2*Table!$AC$16*0.147)/A124</f>
        <v>5.3559037002400556E-3</v>
      </c>
      <c r="F124" s="80">
        <f t="shared" si="3"/>
        <v>1.0711807400480111E-2</v>
      </c>
      <c r="G124" s="97">
        <f>IF((('Raw Data'!C124)/('Raw Data'!C$136)*100)&lt;0,0,('Raw Data'!C124)/('Raw Data'!C$136)*100)</f>
        <v>97.441584600311444</v>
      </c>
      <c r="H124" s="97">
        <f t="shared" si="4"/>
        <v>0.65111047738182037</v>
      </c>
      <c r="I124" s="23">
        <f t="shared" si="5"/>
        <v>3.7776276460855573E-2</v>
      </c>
      <c r="J124" s="80">
        <f>'Raw Data'!F124/I124</f>
        <v>0.15860970748664957</v>
      </c>
      <c r="K124" s="110">
        <f t="shared" si="6"/>
        <v>19.257010027645538</v>
      </c>
      <c r="L124" s="97">
        <f>A124*Table!$AC$9/$AC$16</f>
        <v>3842.4888033512598</v>
      </c>
      <c r="M124" s="97">
        <f>A124*Table!$AD$9/$AC$16</f>
        <v>1317.4247325775748</v>
      </c>
      <c r="N124" s="97">
        <f>ABS(A124*Table!$AE$9/$AC$16)</f>
        <v>1663.8464587297299</v>
      </c>
      <c r="O124" s="97">
        <f>($L124*(Table!$AC$10/Table!$AC$9)/(Table!$AC$12-Table!$AC$14))</f>
        <v>8242.1467253351784</v>
      </c>
      <c r="P124" s="97">
        <f>$N124*(Table!$AE$10/Table!$AE$9)/(Table!$AC$12-Table!$AC$13)</f>
        <v>13660.479956730127</v>
      </c>
      <c r="Q124" s="97">
        <f>'Raw Data'!C124</f>
        <v>1.2747361640101298</v>
      </c>
      <c r="R124" s="97">
        <f>'Raw Data'!C124/'Raw Data'!I$30*100</f>
        <v>15.752776946115041</v>
      </c>
      <c r="S124" s="38">
        <f t="shared" si="7"/>
        <v>0.25167494183919714</v>
      </c>
      <c r="T124" s="38">
        <f t="shared" si="8"/>
        <v>1.5072770238599986E-6</v>
      </c>
      <c r="U124" s="10">
        <f t="shared" si="9"/>
        <v>7.724081503818601E-4</v>
      </c>
      <c r="V124" s="10">
        <f t="shared" si="10"/>
        <v>2.1793245704327929E-3</v>
      </c>
      <c r="W124" s="10">
        <f t="shared" si="11"/>
        <v>9.0243412476564234E-7</v>
      </c>
      <c r="X124" s="148">
        <f t="shared" si="12"/>
        <v>1.1414987630095836</v>
      </c>
      <c r="Z124" s="107"/>
      <c r="AS124" s="13"/>
      <c r="AT124" s="13"/>
    </row>
    <row r="125" spans="1:46" x14ac:dyDescent="0.2">
      <c r="A125" s="97">
        <f>'Raw Data'!A125</f>
        <v>22295.521484375</v>
      </c>
      <c r="B125" s="107">
        <f>'Raw Data'!E125</f>
        <v>0.90107138679948007</v>
      </c>
      <c r="C125" s="107">
        <f t="shared" si="1"/>
        <v>9.8928613200519933E-2</v>
      </c>
      <c r="D125" s="87">
        <f t="shared" si="2"/>
        <v>4.3891505323887525E-3</v>
      </c>
      <c r="E125" s="80">
        <f>(2*Table!$AC$16*0.147)/A125</f>
        <v>4.8992026143405117E-3</v>
      </c>
      <c r="F125" s="80">
        <f t="shared" si="3"/>
        <v>9.7984052286810234E-3</v>
      </c>
      <c r="G125" s="97">
        <f>IF((('Raw Data'!C125)/('Raw Data'!C$136)*100)&lt;0,0,('Raw Data'!C125)/('Raw Data'!C$136)*100)</f>
        <v>97.918549310469771</v>
      </c>
      <c r="H125" s="97">
        <f t="shared" si="4"/>
        <v>0.47696471015832742</v>
      </c>
      <c r="I125" s="23">
        <f t="shared" si="5"/>
        <v>3.8707358976874939E-2</v>
      </c>
      <c r="J125" s="80">
        <f>'Raw Data'!F125/I125</f>
        <v>0.11339318022216335</v>
      </c>
      <c r="K125" s="110">
        <f t="shared" si="6"/>
        <v>21.052138354255479</v>
      </c>
      <c r="L125" s="97">
        <f>A125*Table!$AC$9/$AC$16</f>
        <v>4200.6835846633585</v>
      </c>
      <c r="M125" s="97">
        <f>A125*Table!$AD$9/$AC$16</f>
        <v>1440.23437188458</v>
      </c>
      <c r="N125" s="97">
        <f>ABS(A125*Table!$AE$9/$AC$16)</f>
        <v>1818.949348789374</v>
      </c>
      <c r="O125" s="97">
        <f>($L125*(Table!$AC$10/Table!$AC$9)/(Table!$AC$12-Table!$AC$14))</f>
        <v>9010.4752995782055</v>
      </c>
      <c r="P125" s="97">
        <f>$N125*(Table!$AE$10/Table!$AE$9)/(Table!$AC$12-Table!$AC$13)</f>
        <v>14933.902699420145</v>
      </c>
      <c r="Q125" s="97">
        <f>'Raw Data'!C125</f>
        <v>1.2809758425569162</v>
      </c>
      <c r="R125" s="97">
        <f>'Raw Data'!C125/'Raw Data'!I$30*100</f>
        <v>15.829884874122492</v>
      </c>
      <c r="S125" s="38">
        <f t="shared" si="7"/>
        <v>0.18436205507111994</v>
      </c>
      <c r="T125" s="38">
        <f t="shared" si="8"/>
        <v>1.0227073228286088E-6</v>
      </c>
      <c r="U125" s="10">
        <f t="shared" si="9"/>
        <v>7.1000289834962087E-4</v>
      </c>
      <c r="V125" s="10">
        <f t="shared" si="10"/>
        <v>1.8899649986000519E-3</v>
      </c>
      <c r="W125" s="10">
        <f t="shared" si="11"/>
        <v>5.5313654805281088E-7</v>
      </c>
      <c r="X125" s="148">
        <f t="shared" si="12"/>
        <v>1.1414993161461318</v>
      </c>
      <c r="Z125" s="107"/>
      <c r="AS125" s="13"/>
      <c r="AT125" s="13"/>
    </row>
    <row r="126" spans="1:46" x14ac:dyDescent="0.2">
      <c r="A126" s="97">
        <f>'Raw Data'!A126</f>
        <v>24396.67578125</v>
      </c>
      <c r="B126" s="107">
        <f>'Raw Data'!E126</f>
        <v>0.90435772762672229</v>
      </c>
      <c r="C126" s="107">
        <f t="shared" si="1"/>
        <v>9.5642272373277715E-2</v>
      </c>
      <c r="D126" s="87">
        <f t="shared" si="2"/>
        <v>3.2863408272422179E-3</v>
      </c>
      <c r="E126" s="80">
        <f>(2*Table!$AC$16*0.147)/A126</f>
        <v>4.477260677796263E-3</v>
      </c>
      <c r="F126" s="80">
        <f t="shared" si="3"/>
        <v>8.9545213555925259E-3</v>
      </c>
      <c r="G126" s="97">
        <f>IF((('Raw Data'!C126)/('Raw Data'!C$136)*100)&lt;0,0,('Raw Data'!C126)/('Raw Data'!C$136)*100)</f>
        <v>98.275672764901415</v>
      </c>
      <c r="H126" s="97">
        <f t="shared" si="4"/>
        <v>0.35712345443164395</v>
      </c>
      <c r="I126" s="23">
        <f t="shared" si="5"/>
        <v>3.911301989170024E-2</v>
      </c>
      <c r="J126" s="80">
        <f>'Raw Data'!F126/I126</f>
        <v>8.4021659190257961E-2</v>
      </c>
      <c r="K126" s="110">
        <f t="shared" si="6"/>
        <v>23.036114866868136</v>
      </c>
      <c r="L126" s="97">
        <f>A126*Table!$AC$9/$AC$16</f>
        <v>4596.5605938606213</v>
      </c>
      <c r="M126" s="97">
        <f>A126*Table!$AD$9/$AC$16</f>
        <v>1575.9636321807843</v>
      </c>
      <c r="N126" s="97">
        <f>ABS(A126*Table!$AE$9/$AC$16)</f>
        <v>1990.3691221588917</v>
      </c>
      <c r="O126" s="97">
        <f>($L126*(Table!$AC$10/Table!$AC$9)/(Table!$AC$12-Table!$AC$14))</f>
        <v>9859.6323334633671</v>
      </c>
      <c r="P126" s="97">
        <f>$N126*(Table!$AE$10/Table!$AE$9)/(Table!$AC$12-Table!$AC$13)</f>
        <v>16341.290001304526</v>
      </c>
      <c r="Q126" s="97">
        <f>'Raw Data'!C126</f>
        <v>1.2856477512111888</v>
      </c>
      <c r="R126" s="97">
        <f>'Raw Data'!C126/'Raw Data'!I$30*100</f>
        <v>15.887618809207426</v>
      </c>
      <c r="S126" s="38">
        <f t="shared" si="7"/>
        <v>0.13803959196741361</v>
      </c>
      <c r="T126" s="38">
        <f t="shared" si="8"/>
        <v>7.1969356885137614E-7</v>
      </c>
      <c r="U126" s="10">
        <f t="shared" si="9"/>
        <v>6.512206397159163E-4</v>
      </c>
      <c r="V126" s="10">
        <f t="shared" si="10"/>
        <v>1.633003849349551E-3</v>
      </c>
      <c r="W126" s="10">
        <f t="shared" si="11"/>
        <v>3.4589034669743615E-7</v>
      </c>
      <c r="X126" s="148">
        <f t="shared" si="12"/>
        <v>1.1414996620364783</v>
      </c>
      <c r="Z126" s="107"/>
      <c r="AS126" s="13"/>
      <c r="AT126" s="13"/>
    </row>
    <row r="127" spans="1:46" x14ac:dyDescent="0.2">
      <c r="A127" s="97">
        <f>'Raw Data'!A127</f>
        <v>26697.0546875</v>
      </c>
      <c r="B127" s="107">
        <f>'Raw Data'!E127</f>
        <v>0.90751276585190521</v>
      </c>
      <c r="C127" s="107">
        <f t="shared" si="1"/>
        <v>9.2487234148094788E-2</v>
      </c>
      <c r="D127" s="87">
        <f t="shared" si="2"/>
        <v>3.1550382251829268E-3</v>
      </c>
      <c r="E127" s="80">
        <f>(2*Table!$AC$16*0.147)/A127</f>
        <v>4.0914729517139755E-3</v>
      </c>
      <c r="F127" s="80">
        <f t="shared" si="3"/>
        <v>8.182945903427951E-3</v>
      </c>
      <c r="G127" s="97">
        <f>IF((('Raw Data'!C127)/('Raw Data'!C$136)*100)&lt;0,0,('Raw Data'!C127)/('Raw Data'!C$136)*100)</f>
        <v>98.618527693550632</v>
      </c>
      <c r="H127" s="97">
        <f t="shared" si="4"/>
        <v>0.34285492864921707</v>
      </c>
      <c r="I127" s="23">
        <f t="shared" si="5"/>
        <v>3.9132696429566849E-2</v>
      </c>
      <c r="J127" s="80">
        <f>'Raw Data'!F127/I127</f>
        <v>8.0624094760797682E-2</v>
      </c>
      <c r="K127" s="110">
        <f t="shared" si="6"/>
        <v>25.208205572865968</v>
      </c>
      <c r="L127" s="97">
        <f>A127*Table!$AC$9/$AC$16</f>
        <v>5029.9733721516468</v>
      </c>
      <c r="M127" s="97">
        <f>A127*Table!$AD$9/$AC$16</f>
        <v>1724.5622990234219</v>
      </c>
      <c r="N127" s="97">
        <f>ABS(A127*Table!$AE$9/$AC$16)</f>
        <v>2178.0423603213026</v>
      </c>
      <c r="O127" s="97">
        <f>($L127*(Table!$AC$10/Table!$AC$9)/(Table!$AC$12-Table!$AC$14))</f>
        <v>10789.303672568956</v>
      </c>
      <c r="P127" s="97">
        <f>$N127*(Table!$AE$10/Table!$AE$9)/(Table!$AC$12-Table!$AC$13)</f>
        <v>17882.121184903957</v>
      </c>
      <c r="Q127" s="97">
        <f>'Raw Data'!C127</f>
        <v>1.2901329982271417</v>
      </c>
      <c r="R127" s="97">
        <f>'Raw Data'!C127/'Raw Data'!I$30*100</f>
        <v>15.943046040179098</v>
      </c>
      <c r="S127" s="38">
        <f t="shared" si="7"/>
        <v>0.13252435220217781</v>
      </c>
      <c r="T127" s="38">
        <f t="shared" si="8"/>
        <v>4.7675919356837682E-7</v>
      </c>
      <c r="U127" s="10">
        <f t="shared" si="9"/>
        <v>5.9718370534873628E-4</v>
      </c>
      <c r="V127" s="10">
        <f t="shared" si="10"/>
        <v>1.4104946319717906E-3</v>
      </c>
      <c r="W127" s="10">
        <f t="shared" si="11"/>
        <v>2.7730970696562453E-7</v>
      </c>
      <c r="X127" s="148">
        <f t="shared" si="12"/>
        <v>1.1414999393461853</v>
      </c>
      <c r="Z127" s="107"/>
      <c r="AS127" s="13"/>
      <c r="AT127" s="13"/>
    </row>
    <row r="128" spans="1:46" x14ac:dyDescent="0.2">
      <c r="A128" s="97">
        <f>'Raw Data'!A128</f>
        <v>29296.841796875</v>
      </c>
      <c r="B128" s="107">
        <f>'Raw Data'!E128</f>
        <v>0.90759536094665849</v>
      </c>
      <c r="C128" s="107">
        <f t="shared" si="1"/>
        <v>9.2404639053341509E-2</v>
      </c>
      <c r="D128" s="87">
        <f t="shared" si="2"/>
        <v>8.2595094753279419E-5</v>
      </c>
      <c r="E128" s="80">
        <f>(2*Table!$AC$16*0.147)/A128</f>
        <v>3.7283976853773465E-3</v>
      </c>
      <c r="F128" s="80">
        <f t="shared" si="3"/>
        <v>7.456795370754693E-3</v>
      </c>
      <c r="G128" s="97">
        <f>IF((('Raw Data'!C128)/('Raw Data'!C$136)*100)&lt;0,0,('Raw Data'!C128)/('Raw Data'!C$136)*100)</f>
        <v>98.62750322199031</v>
      </c>
      <c r="H128" s="97">
        <f t="shared" si="4"/>
        <v>8.975528439677305E-3</v>
      </c>
      <c r="I128" s="23">
        <f t="shared" si="5"/>
        <v>4.035745475888497E-2</v>
      </c>
      <c r="J128" s="80">
        <f>'Raw Data'!F128/I128</f>
        <v>2.0465883006434032E-3</v>
      </c>
      <c r="K128" s="110">
        <f t="shared" si="6"/>
        <v>27.663006998189374</v>
      </c>
      <c r="L128" s="97">
        <f>A128*Table!$AC$9/$AC$16</f>
        <v>5519.79744025539</v>
      </c>
      <c r="M128" s="97">
        <f>A128*Table!$AD$9/$AC$16</f>
        <v>1892.5019795161338</v>
      </c>
      <c r="N128" s="97">
        <f>ABS(A128*Table!$AE$9/$AC$16)</f>
        <v>2390.1424035027426</v>
      </c>
      <c r="O128" s="97">
        <f>($L128*(Table!$AC$10/Table!$AC$9)/(Table!$AC$12-Table!$AC$14))</f>
        <v>11839.977349325161</v>
      </c>
      <c r="P128" s="97">
        <f>$N128*(Table!$AE$10/Table!$AE$9)/(Table!$AC$12-Table!$AC$13)</f>
        <v>19623.500849776206</v>
      </c>
      <c r="Q128" s="97">
        <f>'Raw Data'!C128</f>
        <v>1.2902504165833815</v>
      </c>
      <c r="R128" s="97">
        <f>'Raw Data'!C128/'Raw Data'!I$30*100</f>
        <v>15.944497058223025</v>
      </c>
      <c r="S128" s="38">
        <f t="shared" si="7"/>
        <v>3.4693276740319738E-3</v>
      </c>
      <c r="T128" s="38">
        <f t="shared" si="8"/>
        <v>4.7147810200431906E-7</v>
      </c>
      <c r="U128" s="10">
        <f t="shared" si="9"/>
        <v>5.4423944972538895E-4</v>
      </c>
      <c r="V128" s="10">
        <f t="shared" si="10"/>
        <v>1.2055738455169771E-3</v>
      </c>
      <c r="W128" s="10">
        <f t="shared" si="11"/>
        <v>6.0283685128675499E-9</v>
      </c>
      <c r="X128" s="148">
        <f t="shared" si="12"/>
        <v>1.1414999453745538</v>
      </c>
      <c r="Z128" s="107"/>
      <c r="AS128" s="13"/>
      <c r="AT128" s="13"/>
    </row>
    <row r="129" spans="1:46" x14ac:dyDescent="0.2">
      <c r="A129" s="97">
        <f>'Raw Data'!A129</f>
        <v>31997.15625</v>
      </c>
      <c r="B129" s="107">
        <f>'Raw Data'!E129</f>
        <v>0.91058388746081886</v>
      </c>
      <c r="C129" s="107">
        <f t="shared" si="1"/>
        <v>8.9416112539181136E-2</v>
      </c>
      <c r="D129" s="87">
        <f t="shared" si="2"/>
        <v>2.9885265141603723E-3</v>
      </c>
      <c r="E129" s="80">
        <f>(2*Table!$AC$16*0.147)/A129</f>
        <v>3.4137495310801267E-3</v>
      </c>
      <c r="F129" s="80">
        <f t="shared" si="3"/>
        <v>6.8274990621602534E-3</v>
      </c>
      <c r="G129" s="97">
        <f>IF((('Raw Data'!C129)/('Raw Data'!C$136)*100)&lt;0,0,('Raw Data'!C129)/('Raw Data'!C$136)*100)</f>
        <v>98.952263485305153</v>
      </c>
      <c r="H129" s="97">
        <f t="shared" si="4"/>
        <v>0.3247602633148432</v>
      </c>
      <c r="I129" s="23">
        <f t="shared" si="5"/>
        <v>3.8290576196598813E-2</v>
      </c>
      <c r="J129" s="80">
        <f>'Raw Data'!F129/I129</f>
        <v>7.8048616944704802E-2</v>
      </c>
      <c r="K129" s="110">
        <f t="shared" si="6"/>
        <v>30.212729529103157</v>
      </c>
      <c r="L129" s="97">
        <f>A129*Table!$AC$9/$AC$16</f>
        <v>6028.5617947747878</v>
      </c>
      <c r="M129" s="97">
        <f>A129*Table!$AD$9/$AC$16</f>
        <v>2066.9354724942127</v>
      </c>
      <c r="N129" s="97">
        <f>ABS(A129*Table!$AE$9/$AC$16)</f>
        <v>2610.4438312796378</v>
      </c>
      <c r="O129" s="97">
        <f>($L129*(Table!$AC$10/Table!$AC$9)/(Table!$AC$12-Table!$AC$14))</f>
        <v>12931.277981069903</v>
      </c>
      <c r="P129" s="97">
        <f>$N129*(Table!$AE$10/Table!$AE$9)/(Table!$AC$12-Table!$AC$13)</f>
        <v>21432.215363543819</v>
      </c>
      <c r="Q129" s="97">
        <f>'Raw Data'!C129</f>
        <v>1.2944989481931553</v>
      </c>
      <c r="R129" s="97">
        <f>'Raw Data'!C129/'Raw Data'!I$30*100</f>
        <v>15.996999036818146</v>
      </c>
      <c r="S129" s="38">
        <f t="shared" si="7"/>
        <v>0.12553018761133175</v>
      </c>
      <c r="T129" s="38">
        <f t="shared" si="8"/>
        <v>3.1128441468908363E-7</v>
      </c>
      <c r="U129" s="10">
        <f t="shared" si="9"/>
        <v>4.9995064910864214E-4</v>
      </c>
      <c r="V129" s="10">
        <f t="shared" si="10"/>
        <v>1.0443803299467463E-3</v>
      </c>
      <c r="W129" s="10">
        <f t="shared" si="11"/>
        <v>1.8286117156106885E-7</v>
      </c>
      <c r="X129" s="148">
        <f t="shared" si="12"/>
        <v>1.1415001282357253</v>
      </c>
      <c r="Z129" s="107"/>
      <c r="AS129" s="13"/>
      <c r="AT129" s="13"/>
    </row>
    <row r="130" spans="1:46" x14ac:dyDescent="0.2">
      <c r="A130" s="97">
        <f>'Raw Data'!A130</f>
        <v>34997.19140625</v>
      </c>
      <c r="B130" s="107">
        <f>'Raw Data'!E130</f>
        <v>0.9127434424068378</v>
      </c>
      <c r="C130" s="107">
        <f t="shared" si="1"/>
        <v>8.7256557593162198E-2</v>
      </c>
      <c r="D130" s="87">
        <f t="shared" si="2"/>
        <v>2.1595549460189378E-3</v>
      </c>
      <c r="E130" s="80">
        <f>(2*Table!$AC$16*0.147)/A130</f>
        <v>3.1211155168533919E-3</v>
      </c>
      <c r="F130" s="80">
        <f t="shared" si="3"/>
        <v>6.2422310337067839E-3</v>
      </c>
      <c r="G130" s="97">
        <f>IF((('Raw Data'!C130)/('Raw Data'!C$136)*100)&lt;0,0,('Raw Data'!C130)/('Raw Data'!C$136)*100)</f>
        <v>99.186940216325866</v>
      </c>
      <c r="H130" s="97">
        <f t="shared" si="4"/>
        <v>0.23467673102071274</v>
      </c>
      <c r="I130" s="23">
        <f t="shared" si="5"/>
        <v>3.8921810682798874E-2</v>
      </c>
      <c r="J130" s="80">
        <f>'Raw Data'!F130/I130</f>
        <v>5.548444196542307E-2</v>
      </c>
      <c r="K130" s="110">
        <f t="shared" si="6"/>
        <v>33.045457851751578</v>
      </c>
      <c r="L130" s="97">
        <f>A130*Table!$AC$9/$AC$16</f>
        <v>6593.7963170129933</v>
      </c>
      <c r="M130" s="97">
        <f>A130*Table!$AD$9/$AC$16</f>
        <v>2260.7301658330261</v>
      </c>
      <c r="N130" s="97">
        <f>ABS(A130*Table!$AE$9/$AC$16)</f>
        <v>2855.197558956761</v>
      </c>
      <c r="O130" s="97">
        <f>($L130*(Table!$AC$10/Table!$AC$9)/(Table!$AC$12-Table!$AC$14))</f>
        <v>14143.707243700117</v>
      </c>
      <c r="P130" s="97">
        <f>$N130*(Table!$AE$10/Table!$AE$9)/(Table!$AC$12-Table!$AC$13)</f>
        <v>23441.687676163878</v>
      </c>
      <c r="Q130" s="97">
        <f>'Raw Data'!C130</f>
        <v>1.2975690020835027</v>
      </c>
      <c r="R130" s="97">
        <f>'Raw Data'!C130/'Raw Data'!I$30*100</f>
        <v>16.034937769171247</v>
      </c>
      <c r="S130" s="38">
        <f t="shared" si="7"/>
        <v>9.0710032601768409E-2</v>
      </c>
      <c r="T130" s="38">
        <f t="shared" si="8"/>
        <v>2.1452150456013896E-7</v>
      </c>
      <c r="U130" s="10">
        <f t="shared" si="9"/>
        <v>4.5817784584587082E-4</v>
      </c>
      <c r="V130" s="10">
        <f t="shared" si="10"/>
        <v>9.0111773084176536E-4</v>
      </c>
      <c r="W130" s="10">
        <f t="shared" si="11"/>
        <v>1.1045490886423465E-7</v>
      </c>
      <c r="X130" s="148">
        <f t="shared" si="12"/>
        <v>1.1415002386906341</v>
      </c>
      <c r="Z130" s="107"/>
      <c r="AS130" s="13"/>
      <c r="AT130" s="13"/>
    </row>
    <row r="131" spans="1:46" x14ac:dyDescent="0.2">
      <c r="A131" s="97">
        <f>'Raw Data'!A131</f>
        <v>38297.421875</v>
      </c>
      <c r="B131" s="107">
        <f>'Raw Data'!E131</f>
        <v>0.91419815441283037</v>
      </c>
      <c r="C131" s="107">
        <f t="shared" si="1"/>
        <v>8.5801845587169634E-2</v>
      </c>
      <c r="D131" s="87">
        <f t="shared" si="2"/>
        <v>1.4547120059925644E-3</v>
      </c>
      <c r="E131" s="80">
        <f>(2*Table!$AC$16*0.147)/A131</f>
        <v>2.8521574507248747E-3</v>
      </c>
      <c r="F131" s="80">
        <f t="shared" si="3"/>
        <v>5.7043149014497493E-3</v>
      </c>
      <c r="G131" s="97">
        <f>IF((('Raw Data'!C131)/('Raw Data'!C$136)*100)&lt;0,0,('Raw Data'!C131)/('Raw Data'!C$136)*100)</f>
        <v>99.345022352079027</v>
      </c>
      <c r="H131" s="97">
        <f t="shared" si="4"/>
        <v>0.15808213575316188</v>
      </c>
      <c r="I131" s="23">
        <f t="shared" si="5"/>
        <v>3.9136346140943523E-2</v>
      </c>
      <c r="J131" s="80">
        <f>'Raw Data'!F131/I131</f>
        <v>3.7170358233076822E-2</v>
      </c>
      <c r="K131" s="110">
        <f t="shared" si="6"/>
        <v>36.161640107355908</v>
      </c>
      <c r="L131" s="97">
        <f>A131*Table!$AC$9/$AC$16</f>
        <v>7215.5904277898826</v>
      </c>
      <c r="M131" s="97">
        <f>A131*Table!$AD$9/$AC$16</f>
        <v>2473.9167180993882</v>
      </c>
      <c r="N131" s="97">
        <f>ABS(A131*Table!$AE$9/$AC$16)</f>
        <v>3124.4423068849319</v>
      </c>
      <c r="O131" s="97">
        <f>($L131*(Table!$AC$10/Table!$AC$9)/(Table!$AC$12-Table!$AC$14))</f>
        <v>15477.456945066246</v>
      </c>
      <c r="P131" s="97">
        <f>$N131*(Table!$AE$10/Table!$AE$9)/(Table!$AC$12-Table!$AC$13)</f>
        <v>25652.235688710436</v>
      </c>
      <c r="Q131" s="97">
        <f>'Raw Data'!C131</f>
        <v>1.2996370412698015</v>
      </c>
      <c r="R131" s="97">
        <f>'Raw Data'!C131/'Raw Data'!I$30*100</f>
        <v>16.060493928114052</v>
      </c>
      <c r="S131" s="38">
        <f t="shared" si="7"/>
        <v>6.1103781468041546E-2</v>
      </c>
      <c r="T131" s="38">
        <f t="shared" si="8"/>
        <v>1.6009016845508484E-7</v>
      </c>
      <c r="U131" s="10">
        <f t="shared" si="9"/>
        <v>4.193622740594481E-4</v>
      </c>
      <c r="V131" s="10">
        <f t="shared" si="10"/>
        <v>7.7583881090632716E-4</v>
      </c>
      <c r="W131" s="10">
        <f t="shared" si="11"/>
        <v>6.2133396406734764E-8</v>
      </c>
      <c r="X131" s="148">
        <f t="shared" si="12"/>
        <v>1.1415003008240305</v>
      </c>
      <c r="Z131" s="107"/>
      <c r="AS131" s="13"/>
      <c r="AT131" s="13"/>
    </row>
    <row r="132" spans="1:46" x14ac:dyDescent="0.2">
      <c r="A132" s="97">
        <f>'Raw Data'!A132</f>
        <v>41897.19921875</v>
      </c>
      <c r="B132" s="107">
        <f>'Raw Data'!E132</f>
        <v>0.91666921085906183</v>
      </c>
      <c r="C132" s="107">
        <f t="shared" si="1"/>
        <v>8.3330789140938166E-2</v>
      </c>
      <c r="D132" s="87">
        <f t="shared" si="2"/>
        <v>2.4710564462314677E-3</v>
      </c>
      <c r="E132" s="80">
        <f>(2*Table!$AC$16*0.147)/A132</f>
        <v>2.6071021257060992E-3</v>
      </c>
      <c r="F132" s="80">
        <f t="shared" si="3"/>
        <v>5.2142042514121984E-3</v>
      </c>
      <c r="G132" s="97">
        <f>IF((('Raw Data'!C132)/('Raw Data'!C$136)*100)&lt;0,0,('Raw Data'!C132)/('Raw Data'!C$136)*100)</f>
        <v>99.613549647500861</v>
      </c>
      <c r="H132" s="97">
        <f t="shared" si="4"/>
        <v>0.2685272954218334</v>
      </c>
      <c r="I132" s="23">
        <f t="shared" si="5"/>
        <v>3.9015452933209183E-2</v>
      </c>
      <c r="J132" s="80">
        <f>'Raw Data'!F132/I132</f>
        <v>6.3335326401610298E-2</v>
      </c>
      <c r="K132" s="110">
        <f t="shared" si="6"/>
        <v>39.560664020667332</v>
      </c>
      <c r="L132" s="97">
        <f>A132*Table!$AC$9/$AC$16</f>
        <v>7893.8219554503166</v>
      </c>
      <c r="M132" s="97">
        <f>A132*Table!$AD$9/$AC$16</f>
        <v>2706.4532418686799</v>
      </c>
      <c r="N132" s="97">
        <f>ABS(A132*Table!$AE$9/$AC$16)</f>
        <v>3418.1251731856642</v>
      </c>
      <c r="O132" s="97">
        <f>($L132*(Table!$AC$10/Table!$AC$9)/(Table!$AC$12-Table!$AC$14))</f>
        <v>16932.265026705958</v>
      </c>
      <c r="P132" s="97">
        <f>$N132*(Table!$AE$10/Table!$AE$9)/(Table!$AC$12-Table!$AC$13)</f>
        <v>28063.425067205775</v>
      </c>
      <c r="Q132" s="97">
        <f>'Raw Data'!C132</f>
        <v>1.303149930103682</v>
      </c>
      <c r="R132" s="97">
        <f>'Raw Data'!C132/'Raw Data'!I$30*100</f>
        <v>16.103905071375678</v>
      </c>
      <c r="S132" s="38">
        <f t="shared" si="7"/>
        <v>0.10379435411526722</v>
      </c>
      <c r="T132" s="38">
        <f t="shared" si="8"/>
        <v>8.2835678205661623E-8</v>
      </c>
      <c r="U132" s="10">
        <f t="shared" si="9"/>
        <v>3.8436710261455367E-4</v>
      </c>
      <c r="V132" s="10">
        <f t="shared" si="10"/>
        <v>6.6954340528962942E-4</v>
      </c>
      <c r="W132" s="10">
        <f t="shared" si="11"/>
        <v>8.8186038011094211E-8</v>
      </c>
      <c r="X132" s="148">
        <f t="shared" si="12"/>
        <v>1.1415003890100686</v>
      </c>
      <c r="Z132" s="107"/>
      <c r="AS132" s="13"/>
      <c r="AT132" s="13"/>
    </row>
    <row r="133" spans="1:46" x14ac:dyDescent="0.2">
      <c r="A133" s="97">
        <f>'Raw Data'!A133</f>
        <v>45795.90625</v>
      </c>
      <c r="B133" s="107">
        <f>'Raw Data'!E133</f>
        <v>0.91784621455789528</v>
      </c>
      <c r="C133" s="107">
        <f t="shared" si="1"/>
        <v>8.2153785442104721E-2</v>
      </c>
      <c r="D133" s="87">
        <f t="shared" si="2"/>
        <v>1.1770036988334454E-3</v>
      </c>
      <c r="E133" s="80">
        <f>(2*Table!$AC$16*0.147)/A133</f>
        <v>2.3851537416477056E-3</v>
      </c>
      <c r="F133" s="80">
        <f t="shared" si="3"/>
        <v>4.7703074832954112E-3</v>
      </c>
      <c r="G133" s="97">
        <f>IF((('Raw Data'!C133)/('Raw Data'!C$136)*100)&lt;0,0,('Raw Data'!C133)/('Raw Data'!C$136)*100)</f>
        <v>99.741453492203092</v>
      </c>
      <c r="H133" s="97">
        <f t="shared" si="4"/>
        <v>0.12790384470223159</v>
      </c>
      <c r="I133" s="23">
        <f t="shared" si="5"/>
        <v>3.8641665810966064E-2</v>
      </c>
      <c r="J133" s="80">
        <f>'Raw Data'!F133/I133</f>
        <v>3.0459445112726614E-2</v>
      </c>
      <c r="K133" s="110">
        <f t="shared" si="6"/>
        <v>43.241946823677957</v>
      </c>
      <c r="L133" s="97">
        <f>A133*Table!$AC$9/$AC$16</f>
        <v>8628.3746161297659</v>
      </c>
      <c r="M133" s="97">
        <f>A133*Table!$AD$9/$AC$16</f>
        <v>2958.2998683873484</v>
      </c>
      <c r="N133" s="97">
        <f>ABS(A133*Table!$AE$9/$AC$16)</f>
        <v>3736.1958054685911</v>
      </c>
      <c r="O133" s="97">
        <f>($L133*(Table!$AC$10/Table!$AC$9)/(Table!$AC$12-Table!$AC$14))</f>
        <v>18507.882059480409</v>
      </c>
      <c r="P133" s="97">
        <f>$N133*(Table!$AE$10/Table!$AE$9)/(Table!$AC$12-Table!$AC$13)</f>
        <v>30674.84240943013</v>
      </c>
      <c r="Q133" s="97">
        <f>'Raw Data'!C133</f>
        <v>1.3048231752282009</v>
      </c>
      <c r="R133" s="97">
        <f>'Raw Data'!C133/'Raw Data'!I$30*100</f>
        <v>16.124582493078226</v>
      </c>
      <c r="S133" s="38">
        <f t="shared" si="7"/>
        <v>4.943891059146386E-2</v>
      </c>
      <c r="T133" s="38">
        <f t="shared" si="8"/>
        <v>5.2036753017681292E-8</v>
      </c>
      <c r="U133" s="10">
        <f t="shared" si="9"/>
        <v>3.5209659145195375E-4</v>
      </c>
      <c r="V133" s="10">
        <f t="shared" si="10"/>
        <v>5.7726873236901529E-4</v>
      </c>
      <c r="W133" s="10">
        <f t="shared" si="11"/>
        <v>3.5156988034633157E-8</v>
      </c>
      <c r="X133" s="148">
        <f t="shared" si="12"/>
        <v>1.1415004241670565</v>
      </c>
      <c r="Z133" s="107"/>
      <c r="AS133" s="13"/>
      <c r="AT133" s="13"/>
    </row>
    <row r="134" spans="1:46" x14ac:dyDescent="0.2">
      <c r="A134" s="97">
        <f>'Raw Data'!A134</f>
        <v>50091.828125</v>
      </c>
      <c r="B134" s="107">
        <f>'Raw Data'!E134</f>
        <v>0.92022542525876094</v>
      </c>
      <c r="C134" s="107">
        <f t="shared" si="1"/>
        <v>7.9774574741239057E-2</v>
      </c>
      <c r="D134" s="87">
        <f t="shared" si="2"/>
        <v>2.3792107008656638E-3</v>
      </c>
      <c r="E134" s="80">
        <f>(2*Table!$AC$16*0.147)/A134</f>
        <v>2.1806007333523537E-3</v>
      </c>
      <c r="F134" s="80">
        <f t="shared" si="3"/>
        <v>4.3612014667047073E-3</v>
      </c>
      <c r="G134" s="97">
        <f>IF((('Raw Data'!C134)/('Raw Data'!C$136)*100)&lt;0,0,('Raw Data'!C134)/('Raw Data'!C$136)*100)</f>
        <v>100</v>
      </c>
      <c r="H134" s="97">
        <f t="shared" si="4"/>
        <v>0.25854650779690758</v>
      </c>
      <c r="I134" s="23">
        <f t="shared" si="5"/>
        <v>3.894022411794662E-2</v>
      </c>
      <c r="J134" s="80">
        <f>'Raw Data'!F134/I134</f>
        <v>6.1099050012122104E-2</v>
      </c>
      <c r="K134" s="110">
        <f t="shared" si="6"/>
        <v>47.298292477443141</v>
      </c>
      <c r="L134" s="97">
        <f>A134*Table!$AC$9/$AC$16</f>
        <v>9437.766247267682</v>
      </c>
      <c r="M134" s="97">
        <f>A134*Table!$AD$9/$AC$16</f>
        <v>3235.805570491777</v>
      </c>
      <c r="N134" s="97">
        <f>ABS(A134*Table!$AE$9/$AC$16)</f>
        <v>4086.6726625565711</v>
      </c>
      <c r="O134" s="97">
        <f>($L134*(Table!$AC$10/Table!$AC$9)/(Table!$AC$12-Table!$AC$14))</f>
        <v>20244.028844418026</v>
      </c>
      <c r="P134" s="97">
        <f>$N134*(Table!$AE$10/Table!$AE$9)/(Table!$AC$12-Table!$AC$13)</f>
        <v>33552.320710645079</v>
      </c>
      <c r="Q134" s="97">
        <f>'Raw Data'!C134</f>
        <v>1.3082054948499426</v>
      </c>
      <c r="R134" s="97">
        <f>'Raw Data'!C134/'Raw Data'!I$30*100</f>
        <v>16.166380104274999</v>
      </c>
      <c r="S134" s="38">
        <f t="shared" si="7"/>
        <v>9.9936461741737051E-2</v>
      </c>
      <c r="T134" s="38">
        <f t="shared" si="8"/>
        <v>0</v>
      </c>
      <c r="U134" s="10">
        <f t="shared" si="9"/>
        <v>3.2273487930871956E-4</v>
      </c>
      <c r="V134" s="10">
        <f t="shared" si="10"/>
        <v>4.9823165779792542E-4</v>
      </c>
      <c r="W134" s="10">
        <f t="shared" si="11"/>
        <v>5.9399978771117727E-8</v>
      </c>
      <c r="X134" s="148">
        <f t="shared" si="12"/>
        <v>1.1415004835670353</v>
      </c>
      <c r="Z134" s="107"/>
      <c r="AS134" s="13"/>
      <c r="AT134" s="13"/>
    </row>
    <row r="135" spans="1:46" x14ac:dyDescent="0.2">
      <c r="A135" s="97">
        <f>'Raw Data'!A135</f>
        <v>54784.2734375</v>
      </c>
      <c r="B135" s="107">
        <f>'Raw Data'!E135</f>
        <v>0.92022542525876094</v>
      </c>
      <c r="C135" s="107">
        <f t="shared" si="1"/>
        <v>7.9774574741239057E-2</v>
      </c>
      <c r="D135" s="87">
        <f t="shared" si="2"/>
        <v>0</v>
      </c>
      <c r="E135" s="80">
        <f>(2*Table!$AC$16*0.147)/A135</f>
        <v>1.9938254227091128E-3</v>
      </c>
      <c r="F135" s="80">
        <f t="shared" si="3"/>
        <v>3.9876508454182256E-3</v>
      </c>
      <c r="G135" s="97">
        <f>IF((('Raw Data'!C135)/('Raw Data'!C$136)*100)&lt;0,0,('Raw Data'!C135)/('Raw Data'!C$136)*100)</f>
        <v>100</v>
      </c>
      <c r="H135" s="97">
        <f t="shared" si="4"/>
        <v>0</v>
      </c>
      <c r="I135" s="23">
        <f t="shared" si="5"/>
        <v>3.8889024541449935E-2</v>
      </c>
      <c r="J135" s="80">
        <f>'Raw Data'!F135/I135</f>
        <v>0</v>
      </c>
      <c r="K135" s="110">
        <f t="shared" si="6"/>
        <v>51.729048134257809</v>
      </c>
      <c r="L135" s="97">
        <f>A135*Table!$AC$9/$AC$16</f>
        <v>10321.866581496839</v>
      </c>
      <c r="M135" s="97">
        <f>A135*Table!$AD$9/$AC$16</f>
        <v>3538.9256850846305</v>
      </c>
      <c r="N135" s="97">
        <f>ABS(A135*Table!$AE$9/$AC$16)</f>
        <v>4469.4993370249522</v>
      </c>
      <c r="O135" s="97">
        <f>($L135*(Table!$AC$10/Table!$AC$9)/(Table!$AC$12-Table!$AC$14))</f>
        <v>22140.425957736679</v>
      </c>
      <c r="P135" s="97">
        <f>$N135*(Table!$AE$10/Table!$AE$9)/(Table!$AC$12-Table!$AC$13)</f>
        <v>36695.39685570568</v>
      </c>
      <c r="Q135" s="97">
        <f>'Raw Data'!C135</f>
        <v>1.3082054948499426</v>
      </c>
      <c r="R135" s="97">
        <f>'Raw Data'!C135/'Raw Data'!I$30*100</f>
        <v>16.166380104274999</v>
      </c>
      <c r="S135" s="38">
        <f t="shared" si="7"/>
        <v>0</v>
      </c>
      <c r="T135" s="38">
        <f t="shared" si="8"/>
        <v>0</v>
      </c>
      <c r="U135" s="10">
        <f t="shared" si="9"/>
        <v>2.9509162191807155E-4</v>
      </c>
      <c r="V135" s="10">
        <f t="shared" si="10"/>
        <v>4.2822298925326635E-4</v>
      </c>
      <c r="W135" s="10">
        <f t="shared" si="11"/>
        <v>0</v>
      </c>
      <c r="X135" s="148">
        <f t="shared" si="12"/>
        <v>1.1415004835670353</v>
      </c>
      <c r="AS135" s="13"/>
      <c r="AT135" s="13"/>
    </row>
    <row r="136" spans="1:46" x14ac:dyDescent="0.2">
      <c r="A136" s="97">
        <f>'Raw Data'!A136</f>
        <v>59484.26953125</v>
      </c>
      <c r="B136" s="107">
        <f>'Raw Data'!E136</f>
        <v>0.92022542525876094</v>
      </c>
      <c r="C136" s="107">
        <f t="shared" si="1"/>
        <v>7.9774574741239057E-2</v>
      </c>
      <c r="D136" s="87">
        <f t="shared" si="2"/>
        <v>0</v>
      </c>
      <c r="E136" s="80">
        <f>(2*Table!$AC$16*0.147)/A136</f>
        <v>1.8362884507970806E-3</v>
      </c>
      <c r="F136" s="80">
        <f t="shared" si="3"/>
        <v>3.6725769015941612E-3</v>
      </c>
      <c r="G136" s="97">
        <f>IF((('Raw Data'!C136)/('Raw Data'!C$136)*100)&lt;0,0,('Raw Data'!C136)/('Raw Data'!C$136)*100)</f>
        <v>100</v>
      </c>
      <c r="H136" s="97">
        <f t="shared" si="4"/>
        <v>0</v>
      </c>
      <c r="I136" s="23">
        <f t="shared" si="5"/>
        <v>3.5746226501048639E-2</v>
      </c>
      <c r="J136" s="80">
        <f>'Raw Data'!F136/I136</f>
        <v>0</v>
      </c>
      <c r="K136" s="110">
        <f t="shared" si="6"/>
        <v>56.166933478156459</v>
      </c>
      <c r="L136" s="97">
        <f>A136*Table!$AC$9/$AC$16</f>
        <v>11207.389553131919</v>
      </c>
      <c r="M136" s="97">
        <f>A136*Table!$AD$9/$AC$16</f>
        <v>3842.5335610738011</v>
      </c>
      <c r="N136" s="97">
        <f>ABS(A136*Table!$AE$9/$AC$16)</f>
        <v>4852.9420315602847</v>
      </c>
      <c r="O136" s="97">
        <f>($L136*(Table!$AC$10/Table!$AC$9)/(Table!$AC$12-Table!$AC$14))</f>
        <v>24039.874631342602</v>
      </c>
      <c r="P136" s="97">
        <f>$N136*(Table!$AE$10/Table!$AE$9)/(Table!$AC$12-Table!$AC$13)</f>
        <v>39843.530636783937</v>
      </c>
      <c r="Q136" s="97">
        <f>'Raw Data'!C136</f>
        <v>1.3082054948499426</v>
      </c>
      <c r="R136" s="97">
        <f>'Raw Data'!C136/'Raw Data'!I$30*100</f>
        <v>16.166380104274999</v>
      </c>
      <c r="S136" s="38">
        <f t="shared" si="7"/>
        <v>0</v>
      </c>
      <c r="T136" s="38">
        <f t="shared" si="8"/>
        <v>0</v>
      </c>
      <c r="U136" s="10">
        <f t="shared" si="9"/>
        <v>2.7177571871807234E-4</v>
      </c>
      <c r="V136" s="10">
        <f t="shared" si="10"/>
        <v>3.7258306391133565E-4</v>
      </c>
      <c r="W136" s="10">
        <f t="shared" si="11"/>
        <v>0</v>
      </c>
      <c r="X136" s="148">
        <f t="shared" si="12"/>
        <v>1.1415004835670353</v>
      </c>
      <c r="AS136" s="13"/>
      <c r="AT136" s="13"/>
    </row>
    <row r="137" spans="1:46" x14ac:dyDescent="0.2">
      <c r="A137" s="97"/>
      <c r="B137" s="107"/>
      <c r="C137" s="107"/>
      <c r="D137" s="105"/>
      <c r="E137" s="105"/>
      <c r="F137" s="105"/>
      <c r="G137" s="105"/>
      <c r="H137" s="105"/>
      <c r="I137" s="105"/>
      <c r="J137" s="80"/>
      <c r="K137" s="127"/>
      <c r="L137" s="97"/>
      <c r="M137" s="97"/>
      <c r="N137" s="97"/>
      <c r="O137" s="97"/>
      <c r="P137" s="97"/>
      <c r="Q137" s="97"/>
      <c r="AS137" s="13"/>
      <c r="AT137" s="13"/>
    </row>
    <row r="138" spans="1:46" x14ac:dyDescent="0.2">
      <c r="A138" s="97"/>
      <c r="B138" s="107"/>
      <c r="C138" s="107"/>
      <c r="D138" s="105"/>
      <c r="E138" s="105"/>
      <c r="F138" s="105"/>
      <c r="G138" s="105"/>
      <c r="H138" s="105"/>
      <c r="I138" s="105"/>
      <c r="J138" s="80"/>
      <c r="K138" s="127"/>
      <c r="L138" s="97"/>
      <c r="M138" s="97"/>
      <c r="N138" s="97"/>
      <c r="O138" s="97"/>
      <c r="P138" s="97"/>
      <c r="Q138" s="97"/>
      <c r="AS138" s="13"/>
      <c r="AT138" s="13"/>
    </row>
    <row r="139" spans="1:46" x14ac:dyDescent="0.2">
      <c r="A139" s="97"/>
      <c r="B139" s="107"/>
      <c r="C139" s="107"/>
      <c r="D139" s="105"/>
      <c r="E139" s="105"/>
      <c r="F139" s="105"/>
      <c r="G139" s="105"/>
      <c r="H139" s="105"/>
      <c r="I139" s="105"/>
      <c r="J139" s="80"/>
      <c r="K139" s="127"/>
      <c r="L139" s="97"/>
      <c r="M139" s="97"/>
      <c r="N139" s="97"/>
      <c r="O139" s="97"/>
      <c r="P139" s="97"/>
      <c r="Q139" s="97"/>
      <c r="AS139" s="13"/>
      <c r="AT139" s="13"/>
    </row>
    <row r="140" spans="1:46" x14ac:dyDescent="0.2">
      <c r="A140" s="97"/>
      <c r="B140" s="107"/>
      <c r="C140" s="107"/>
      <c r="D140" s="105"/>
      <c r="E140" s="105"/>
      <c r="F140" s="105"/>
      <c r="G140" s="105"/>
      <c r="H140" s="105"/>
      <c r="I140" s="105"/>
      <c r="J140" s="80"/>
      <c r="K140" s="127"/>
      <c r="L140" s="97"/>
      <c r="M140" s="97"/>
      <c r="N140" s="97"/>
      <c r="O140" s="97"/>
      <c r="P140" s="97"/>
      <c r="Q140" s="97"/>
      <c r="AS140" s="13"/>
      <c r="AT140" s="13"/>
    </row>
    <row r="141" spans="1:46" x14ac:dyDescent="0.2">
      <c r="A141" s="97"/>
      <c r="B141" s="107"/>
      <c r="C141" s="107"/>
      <c r="D141" s="105"/>
      <c r="E141" s="105"/>
      <c r="F141" s="105"/>
      <c r="G141" s="105"/>
      <c r="H141" s="105"/>
      <c r="I141" s="105"/>
      <c r="J141" s="80"/>
      <c r="K141" s="127"/>
      <c r="L141" s="97"/>
      <c r="M141" s="97"/>
      <c r="N141" s="97"/>
      <c r="O141" s="97"/>
      <c r="P141" s="97"/>
      <c r="Q141" s="97"/>
      <c r="AS141" s="13"/>
      <c r="AT141" s="13"/>
    </row>
    <row r="142" spans="1:46" x14ac:dyDescent="0.2">
      <c r="A142" s="97"/>
      <c r="B142" s="107"/>
      <c r="C142" s="107"/>
      <c r="D142" s="105"/>
      <c r="E142" s="105"/>
      <c r="F142" s="105"/>
      <c r="G142" s="105"/>
      <c r="H142" s="105"/>
      <c r="I142" s="105"/>
      <c r="J142" s="80"/>
      <c r="K142" s="127"/>
      <c r="L142" s="97"/>
      <c r="M142" s="97"/>
      <c r="N142" s="97"/>
      <c r="O142" s="97"/>
      <c r="P142" s="97"/>
      <c r="Q142" s="97"/>
      <c r="AS142" s="13"/>
      <c r="AT142" s="13"/>
    </row>
    <row r="143" spans="1:46" x14ac:dyDescent="0.2">
      <c r="J143" s="80"/>
      <c r="AS143" s="13"/>
      <c r="AT143" s="13"/>
    </row>
    <row r="144" spans="1:46" x14ac:dyDescent="0.2">
      <c r="J144" s="80"/>
      <c r="AS144" s="13"/>
      <c r="AT144" s="13"/>
    </row>
    <row r="145" spans="10:46" x14ac:dyDescent="0.2">
      <c r="J145" s="80"/>
      <c r="AS145" s="13"/>
      <c r="AT145" s="13"/>
    </row>
    <row r="146" spans="10:46" x14ac:dyDescent="0.2">
      <c r="J146" s="80"/>
      <c r="AS146" s="13"/>
      <c r="AT146" s="13"/>
    </row>
    <row r="147" spans="10:46" x14ac:dyDescent="0.2">
      <c r="J147" s="80"/>
      <c r="AS147" s="13"/>
      <c r="AT147" s="13"/>
    </row>
    <row r="148" spans="10:46" x14ac:dyDescent="0.2">
      <c r="J148" s="80"/>
      <c r="AS148" s="13"/>
      <c r="AT148" s="13"/>
    </row>
    <row r="149" spans="10:46" x14ac:dyDescent="0.2">
      <c r="J149" s="80"/>
      <c r="AS149" s="13"/>
      <c r="AT149" s="13"/>
    </row>
    <row r="150" spans="10:46" x14ac:dyDescent="0.2">
      <c r="J150" s="80"/>
      <c r="AS150" s="13"/>
      <c r="AT150" s="13"/>
    </row>
    <row r="151" spans="10:46" x14ac:dyDescent="0.2">
      <c r="J151" s="80"/>
      <c r="AS151" s="13"/>
      <c r="AT151" s="13"/>
    </row>
    <row r="152" spans="10:46" x14ac:dyDescent="0.2">
      <c r="J152" s="80"/>
      <c r="AS152" s="13"/>
      <c r="AT152" s="13"/>
    </row>
    <row r="153" spans="10:46" x14ac:dyDescent="0.2">
      <c r="J153" s="80"/>
      <c r="AS153" s="13"/>
      <c r="AT153" s="13"/>
    </row>
    <row r="154" spans="10:46" x14ac:dyDescent="0.2">
      <c r="J154" s="80"/>
      <c r="AS154" s="13"/>
      <c r="AT154" s="13"/>
    </row>
    <row r="155" spans="10:46" x14ac:dyDescent="0.2">
      <c r="J155" s="80"/>
      <c r="AS155" s="13"/>
      <c r="AT155" s="13"/>
    </row>
    <row r="156" spans="10:46" x14ac:dyDescent="0.2">
      <c r="J156" s="80"/>
      <c r="AS156" s="13"/>
      <c r="AT156" s="13"/>
    </row>
    <row r="157" spans="10:46" x14ac:dyDescent="0.2">
      <c r="J157" s="80"/>
      <c r="AS157" s="13"/>
      <c r="AT157" s="13"/>
    </row>
    <row r="158" spans="10:46" x14ac:dyDescent="0.2">
      <c r="J158" s="80"/>
      <c r="AS158" s="13"/>
      <c r="AT158" s="13"/>
    </row>
    <row r="159" spans="10:46" x14ac:dyDescent="0.2">
      <c r="J159" s="80"/>
      <c r="AS159" s="13"/>
      <c r="AT159" s="13"/>
    </row>
    <row r="160" spans="10:46" x14ac:dyDescent="0.2">
      <c r="J160" s="80"/>
      <c r="AS160" s="13"/>
      <c r="AT160" s="13"/>
    </row>
    <row r="161" spans="10:46" x14ac:dyDescent="0.2">
      <c r="J161" s="80"/>
      <c r="AS161" s="13"/>
      <c r="AT161" s="13"/>
    </row>
    <row r="162" spans="10:46" x14ac:dyDescent="0.2">
      <c r="J162" s="80"/>
    </row>
    <row r="163" spans="10:46" x14ac:dyDescent="0.2">
      <c r="J163" s="80"/>
    </row>
    <row r="164" spans="10:46" x14ac:dyDescent="0.2">
      <c r="J164" s="80"/>
    </row>
    <row r="165" spans="10:46" x14ac:dyDescent="0.2">
      <c r="J165" s="80"/>
    </row>
    <row r="166" spans="10:46" x14ac:dyDescent="0.2">
      <c r="J166" s="80"/>
    </row>
    <row r="167" spans="10:46" x14ac:dyDescent="0.2">
      <c r="J167" s="80"/>
    </row>
    <row r="168" spans="10:46" x14ac:dyDescent="0.2">
      <c r="J168" s="80"/>
    </row>
    <row r="169" spans="10:46" x14ac:dyDescent="0.2">
      <c r="J169" s="80"/>
    </row>
    <row r="170" spans="10:46" x14ac:dyDescent="0.2">
      <c r="J170" s="80"/>
    </row>
    <row r="171" spans="10:46" x14ac:dyDescent="0.2">
      <c r="J171" s="80"/>
    </row>
    <row r="172" spans="10:46" x14ac:dyDescent="0.2">
      <c r="J172" s="80"/>
    </row>
    <row r="173" spans="10:46" x14ac:dyDescent="0.2">
      <c r="J173" s="80"/>
    </row>
    <row r="174" spans="10:46" x14ac:dyDescent="0.2">
      <c r="J174" s="80"/>
    </row>
    <row r="175" spans="10:46" x14ac:dyDescent="0.2">
      <c r="J175" s="80"/>
    </row>
    <row r="176" spans="10:46" x14ac:dyDescent="0.2">
      <c r="J176" s="80"/>
    </row>
    <row r="177" spans="10:10" x14ac:dyDescent="0.2">
      <c r="J177" s="80"/>
    </row>
    <row r="178" spans="10:10" x14ac:dyDescent="0.2">
      <c r="J178" s="80"/>
    </row>
    <row r="179" spans="10:10" x14ac:dyDescent="0.2">
      <c r="J179" s="80"/>
    </row>
    <row r="180" spans="10:10" x14ac:dyDescent="0.2">
      <c r="J180" s="80"/>
    </row>
    <row r="181" spans="10:10" x14ac:dyDescent="0.2">
      <c r="J181" s="80"/>
    </row>
    <row r="182" spans="10:10" x14ac:dyDescent="0.2">
      <c r="J182" s="80"/>
    </row>
    <row r="183" spans="10:10" x14ac:dyDescent="0.2">
      <c r="J183" s="80"/>
    </row>
    <row r="184" spans="10:10" x14ac:dyDescent="0.2">
      <c r="J184" s="80"/>
    </row>
    <row r="185" spans="10:10" x14ac:dyDescent="0.2">
      <c r="J185" s="80"/>
    </row>
    <row r="186" spans="10:10" x14ac:dyDescent="0.2">
      <c r="J186" s="80"/>
    </row>
    <row r="187" spans="10:10" x14ac:dyDescent="0.2">
      <c r="J187" s="80"/>
    </row>
    <row r="188" spans="10:10" x14ac:dyDescent="0.2">
      <c r="J188" s="80"/>
    </row>
    <row r="189" spans="10:10" x14ac:dyDescent="0.2">
      <c r="J189" s="80"/>
    </row>
    <row r="190" spans="10:10" x14ac:dyDescent="0.2">
      <c r="J190" s="80"/>
    </row>
  </sheetData>
  <mergeCells count="3">
    <mergeCell ref="AR4:AT4"/>
    <mergeCell ref="AN4:AP4"/>
    <mergeCell ref="A5:P5"/>
  </mergeCells>
  <printOptions horizontalCentered="1"/>
  <pageMargins left="0.5" right="0.5" top="0.1" bottom="0.25" header="0" footer="0"/>
  <pageSetup scale="3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Data</vt:lpstr>
      <vt:lpstr>Compilation</vt:lpstr>
      <vt:lpstr>Compilation 2</vt:lpstr>
      <vt:lpstr>Table</vt:lpstr>
      <vt:lpstr>Compilation!Print_Area</vt:lpstr>
      <vt:lpstr>'Compilation 2'!Print_Area</vt:lpstr>
      <vt:lpstr>'Raw Data'!Print_Area</vt:lpstr>
      <vt:lpstr>Table!Print_Area</vt:lpstr>
      <vt:lpstr>'Raw Data'!Print_Titles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Morris, Kristi D</cp:lastModifiedBy>
  <dcterms:created xsi:type="dcterms:W3CDTF">2015-12-04T15:26:19Z</dcterms:created>
  <dcterms:modified xsi:type="dcterms:W3CDTF">2015-12-04T21:42:01Z</dcterms:modified>
</cp:coreProperties>
</file>