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5.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6.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30" yWindow="-30" windowWidth="11460" windowHeight="5505" tabRatio="811"/>
  </bookViews>
  <sheets>
    <sheet name="TITLE PAGE" sheetId="13" r:id="rId1"/>
    <sheet name="LOCATION" sheetId="4" r:id="rId2"/>
    <sheet name="LEASEHOLDER Provided Data" sheetId="12" r:id="rId3"/>
    <sheet name="METOCEAN" sheetId="6" r:id="rId4"/>
    <sheet name="GEOTECH" sheetId="7" r:id="rId5"/>
    <sheet name="STRUCTURE" sheetId="9" r:id="rId6"/>
    <sheet name="OPTIONAL NTL INFO" sheetId="14" r:id="rId7"/>
    <sheet name="ASSESSMENT RESULTS" sheetId="8" r:id="rId8"/>
    <sheet name="Factors" sheetId="5" r:id="rId9"/>
    <sheet name="Equations" sheetId="11" r:id="rId10"/>
    <sheet name="Zone Wind Speeds" sheetId="10" r:id="rId11"/>
  </sheets>
  <definedNames>
    <definedName name="_xlnm.Print_Area" localSheetId="7">'ASSESSMENT RESULTS'!$A$1:$C$83</definedName>
    <definedName name="_xlnm.Print_Area" localSheetId="9">Equations!$A$1:$I$50</definedName>
    <definedName name="_xlnm.Print_Area" localSheetId="4">GEOTECH!$A$1:$D$37</definedName>
    <definedName name="_xlnm.Print_Area" localSheetId="2">'LEASEHOLDER Provided Data'!$A$1:$I$62</definedName>
    <definedName name="_xlnm.Print_Area" localSheetId="1">LOCATION!$A$1:$I$51</definedName>
    <definedName name="_xlnm.Print_Area" localSheetId="3">METOCEAN!$A$1:$G$58</definedName>
    <definedName name="_xlnm.Print_Area" localSheetId="6">'OPTIONAL NTL INFO'!$A$1:$G$12</definedName>
    <definedName name="_xlnm.Print_Area" localSheetId="5">STRUCTURE!$A$1:$H$41</definedName>
    <definedName name="_xlnm.Print_Area" localSheetId="0">'TITLE PAGE'!$A$1:$G$29</definedName>
    <definedName name="_xlnm.Print_Titles" localSheetId="7">'ASSESSMENT RESULTS'!$2:$2</definedName>
    <definedName name="_xlnm.Print_Titles" localSheetId="8">Factors!#REF!</definedName>
    <definedName name="_xlnm.Print_Titles" localSheetId="4">GEOTECH!$2:$4</definedName>
    <definedName name="_xlnm.Print_Titles" localSheetId="2">'LEASEHOLDER Provided Data'!$1:$2</definedName>
  </definedNames>
  <calcPr calcId="145621" fullCalcOnLoad="1"/>
</workbook>
</file>

<file path=xl/calcChain.xml><?xml version="1.0" encoding="utf-8"?>
<calcChain xmlns="http://schemas.openxmlformats.org/spreadsheetml/2006/main">
  <c r="G26" i="9" l="1"/>
  <c r="G32" i="9"/>
  <c r="G31" i="9"/>
  <c r="G29" i="9"/>
  <c r="G28" i="9"/>
  <c r="A29" i="7"/>
  <c r="B48" i="4"/>
  <c r="B45" i="4"/>
  <c r="B39" i="8"/>
  <c r="C27" i="6"/>
  <c r="G36" i="5"/>
  <c r="H36" i="5" s="1"/>
  <c r="F40" i="5"/>
  <c r="F45" i="5"/>
  <c r="G37" i="5"/>
  <c r="H37" i="5" s="1"/>
  <c r="E21" i="12"/>
  <c r="D36" i="12" s="1"/>
  <c r="B57" i="8"/>
  <c r="C23" i="8"/>
  <c r="B23" i="8"/>
  <c r="C44" i="8"/>
  <c r="G48" i="4"/>
  <c r="C78" i="8"/>
  <c r="D33" i="7"/>
  <c r="C77" i="8"/>
  <c r="C75" i="8"/>
  <c r="C74" i="8"/>
  <c r="C73" i="8"/>
  <c r="C72" i="8"/>
  <c r="C71" i="8"/>
  <c r="C68" i="8"/>
  <c r="D18" i="7"/>
  <c r="C67" i="8" s="1"/>
  <c r="C66" i="8"/>
  <c r="C65" i="8"/>
  <c r="C64" i="8"/>
  <c r="C63" i="8"/>
  <c r="C62" i="8"/>
  <c r="D16" i="7"/>
  <c r="C61" i="8" s="1"/>
  <c r="D15" i="7"/>
  <c r="C60" i="8"/>
  <c r="F34" i="4"/>
  <c r="C4" i="6"/>
  <c r="B12" i="11"/>
  <c r="B13" i="11" s="1"/>
  <c r="B14" i="11"/>
  <c r="C14" i="6"/>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C11" i="6" s="1"/>
  <c r="C7" i="6"/>
  <c r="C8" i="6"/>
  <c r="E12" i="4"/>
  <c r="F11" i="11"/>
  <c r="H15" i="11"/>
  <c r="I15" i="11"/>
  <c r="H17" i="11"/>
  <c r="I17" i="11" s="1"/>
  <c r="H19" i="11"/>
  <c r="I19" i="11"/>
  <c r="D19" i="7"/>
  <c r="D25" i="7"/>
  <c r="D24" i="7"/>
  <c r="D36" i="7"/>
  <c r="D30" i="7"/>
  <c r="C4" i="10"/>
  <c r="C5" i="10"/>
  <c r="C6" i="10"/>
  <c r="C10" i="10"/>
  <c r="C11" i="10"/>
  <c r="C12" i="10"/>
  <c r="C16" i="10"/>
  <c r="C17" i="10"/>
  <c r="C18" i="10"/>
  <c r="C22" i="10"/>
  <c r="C23" i="10"/>
  <c r="C24" i="10"/>
  <c r="B4" i="11"/>
  <c r="B5" i="11"/>
  <c r="B6" i="11"/>
  <c r="B8" i="11"/>
  <c r="B9" i="11"/>
  <c r="B10" i="11"/>
  <c r="B21" i="11"/>
  <c r="B22" i="11"/>
  <c r="B23" i="11"/>
  <c r="N4" i="5"/>
  <c r="N5" i="5"/>
  <c r="P5" i="5"/>
  <c r="N6" i="5"/>
  <c r="N152" i="5" s="1"/>
  <c r="N7" i="5"/>
  <c r="P7" i="5"/>
  <c r="N8" i="5"/>
  <c r="P8" i="5"/>
  <c r="C9" i="6" s="1"/>
  <c r="N9" i="5"/>
  <c r="N10" i="5"/>
  <c r="N11" i="5"/>
  <c r="N12" i="5"/>
  <c r="N13" i="5"/>
  <c r="N14" i="5"/>
  <c r="N15" i="5"/>
  <c r="T18" i="5"/>
  <c r="V15" i="5" s="1"/>
  <c r="V19" i="5"/>
  <c r="N16" i="5"/>
  <c r="N17" i="5"/>
  <c r="N18" i="5"/>
  <c r="N19" i="5"/>
  <c r="P19" i="5"/>
  <c r="N20" i="5"/>
  <c r="P20" i="5"/>
  <c r="N21" i="5"/>
  <c r="P21" i="5"/>
  <c r="V21" i="5"/>
  <c r="G48" i="6" s="1"/>
  <c r="N22" i="5"/>
  <c r="P22" i="5"/>
  <c r="N23" i="5"/>
  <c r="P23" i="5"/>
  <c r="N24" i="5"/>
  <c r="P24" i="5"/>
  <c r="N25" i="5"/>
  <c r="P25" i="5"/>
  <c r="N26" i="5"/>
  <c r="N27" i="5"/>
  <c r="N28" i="5"/>
  <c r="N29" i="5"/>
  <c r="N30" i="5"/>
  <c r="N31" i="5"/>
  <c r="N32" i="5"/>
  <c r="N33" i="5"/>
  <c r="N34" i="5"/>
  <c r="N35" i="5"/>
  <c r="N36" i="5"/>
  <c r="N37" i="5"/>
  <c r="N38" i="5"/>
  <c r="N39" i="5"/>
  <c r="N40" i="5"/>
  <c r="F41" i="5"/>
  <c r="N41" i="5"/>
  <c r="F42" i="5"/>
  <c r="N42" i="5"/>
  <c r="F43" i="5"/>
  <c r="N43" i="5"/>
  <c r="F44"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6" i="5"/>
  <c r="N127" i="5"/>
  <c r="N128" i="5"/>
  <c r="N129" i="5"/>
  <c r="N130" i="5"/>
  <c r="N131" i="5"/>
  <c r="N132" i="5"/>
  <c r="N133" i="5"/>
  <c r="N134" i="5"/>
  <c r="N135" i="5"/>
  <c r="N136" i="5"/>
  <c r="N137" i="5"/>
  <c r="N138" i="5"/>
  <c r="N139" i="5"/>
  <c r="N140" i="5"/>
  <c r="N141" i="5"/>
  <c r="N142" i="5"/>
  <c r="N143" i="5"/>
  <c r="N144" i="5"/>
  <c r="N145" i="5"/>
  <c r="N146" i="5"/>
  <c r="N147" i="5"/>
  <c r="N148" i="5"/>
  <c r="N149" i="5"/>
  <c r="N150" i="5"/>
  <c r="N151" i="5"/>
  <c r="L152" i="5"/>
  <c r="L153" i="5"/>
  <c r="B4" i="8"/>
  <c r="B5" i="8"/>
  <c r="B6" i="8"/>
  <c r="B7" i="8"/>
  <c r="B8" i="8"/>
  <c r="B9" i="8"/>
  <c r="B10" i="8"/>
  <c r="B11" i="8"/>
  <c r="B12" i="8"/>
  <c r="B13" i="8"/>
  <c r="B14" i="8"/>
  <c r="B15" i="8"/>
  <c r="D25" i="4"/>
  <c r="B16" i="8"/>
  <c r="C21" i="8"/>
  <c r="C24" i="8"/>
  <c r="G9" i="9"/>
  <c r="G7" i="9"/>
  <c r="G5" i="9" s="1"/>
  <c r="G6" i="9"/>
  <c r="G8" i="9"/>
  <c r="B21" i="7"/>
  <c r="G10" i="9"/>
  <c r="B26" i="8"/>
  <c r="C26" i="8"/>
  <c r="B27" i="8"/>
  <c r="C27" i="8"/>
  <c r="B28" i="8"/>
  <c r="C9" i="7"/>
  <c r="B29" i="8"/>
  <c r="C29" i="8"/>
  <c r="B30" i="8"/>
  <c r="B31" i="8"/>
  <c r="C31" i="8"/>
  <c r="B32" i="8"/>
  <c r="C32" i="8"/>
  <c r="A35" i="8"/>
  <c r="B35" i="8"/>
  <c r="C35" i="8"/>
  <c r="A36" i="8"/>
  <c r="B36" i="8"/>
  <c r="C36" i="8"/>
  <c r="A37" i="8"/>
  <c r="B37" i="8"/>
  <c r="C37" i="8"/>
  <c r="A38" i="8"/>
  <c r="B38" i="8"/>
  <c r="C38" i="8"/>
  <c r="A39" i="8"/>
  <c r="C39" i="8"/>
  <c r="C40" i="8"/>
  <c r="A43" i="8"/>
  <c r="A44" i="8"/>
  <c r="B44" i="8"/>
  <c r="B46" i="8"/>
  <c r="B47" i="8"/>
  <c r="C29" i="6"/>
  <c r="B48" i="8"/>
  <c r="B52" i="8"/>
  <c r="A56" i="8"/>
  <c r="B56" i="8"/>
  <c r="C56" i="8"/>
  <c r="C57" i="8"/>
  <c r="B15" i="7"/>
  <c r="A60" i="8" s="1"/>
  <c r="B60" i="8"/>
  <c r="A61" i="8"/>
  <c r="A62" i="8"/>
  <c r="B62" i="8"/>
  <c r="A63" i="8"/>
  <c r="B63" i="8"/>
  <c r="A64" i="8"/>
  <c r="A65" i="8"/>
  <c r="B65" i="8"/>
  <c r="A66" i="8"/>
  <c r="B66" i="8"/>
  <c r="A67" i="8"/>
  <c r="C18" i="7"/>
  <c r="B67" i="8" s="1"/>
  <c r="A68" i="8"/>
  <c r="B28" i="7"/>
  <c r="A71" i="8"/>
  <c r="B71" i="8"/>
  <c r="A72" i="8"/>
  <c r="C29" i="7"/>
  <c r="A73" i="8"/>
  <c r="B73" i="8"/>
  <c r="A74" i="8"/>
  <c r="B74" i="8"/>
  <c r="A75" i="8"/>
  <c r="B75" i="8"/>
  <c r="A76" i="8"/>
  <c r="A77" i="8"/>
  <c r="F49" i="4"/>
  <c r="B77" i="8"/>
  <c r="A78" i="8"/>
  <c r="B81" i="8"/>
  <c r="C81" i="8"/>
  <c r="C82" i="8"/>
  <c r="C83" i="8"/>
  <c r="F9" i="14"/>
  <c r="E6" i="9"/>
  <c r="E10" i="9"/>
  <c r="F12" i="9"/>
  <c r="A13" i="9"/>
  <c r="A14" i="9"/>
  <c r="A15" i="9"/>
  <c r="A16" i="9"/>
  <c r="B17" i="9"/>
  <c r="C20" i="9"/>
  <c r="A22" i="9"/>
  <c r="E22" i="9"/>
  <c r="G22" i="9"/>
  <c r="G25" i="9"/>
  <c r="H25" i="9"/>
  <c r="H26" i="9"/>
  <c r="E27" i="9"/>
  <c r="F27" i="9"/>
  <c r="G27" i="9"/>
  <c r="H27" i="9"/>
  <c r="C40" i="6"/>
  <c r="E28" i="9"/>
  <c r="C39" i="6"/>
  <c r="F28" i="9"/>
  <c r="C33" i="6"/>
  <c r="E29" i="9"/>
  <c r="C32" i="6"/>
  <c r="F29" i="9"/>
  <c r="E33" i="9"/>
  <c r="F33" i="9"/>
  <c r="G33" i="9"/>
  <c r="H33" i="9"/>
  <c r="C52" i="6"/>
  <c r="E34" i="9"/>
  <c r="C48" i="6"/>
  <c r="F34" i="9"/>
  <c r="G35" i="9"/>
  <c r="H35" i="9"/>
  <c r="G37" i="9"/>
  <c r="B5" i="7"/>
  <c r="B7" i="7"/>
  <c r="B10" i="7"/>
  <c r="C10" i="7"/>
  <c r="D10" i="7"/>
  <c r="C11" i="7"/>
  <c r="A13" i="7"/>
  <c r="A15" i="7"/>
  <c r="C15" i="7"/>
  <c r="A16" i="7"/>
  <c r="C16" i="7"/>
  <c r="A17" i="7"/>
  <c r="B17" i="7"/>
  <c r="A18" i="7"/>
  <c r="A19" i="7"/>
  <c r="B19" i="7"/>
  <c r="A21" i="7"/>
  <c r="A22" i="7"/>
  <c r="A23" i="7"/>
  <c r="C23" i="7"/>
  <c r="E23" i="7" s="1"/>
  <c r="A24" i="7"/>
  <c r="C24" i="7"/>
  <c r="A25" i="7"/>
  <c r="C25" i="7"/>
  <c r="A26" i="7"/>
  <c r="A28" i="7"/>
  <c r="C28" i="7"/>
  <c r="A30" i="7"/>
  <c r="A31" i="7"/>
  <c r="C31" i="7"/>
  <c r="A32" i="7"/>
  <c r="C32" i="7"/>
  <c r="A33" i="7"/>
  <c r="B33" i="7"/>
  <c r="A34" i="7"/>
  <c r="B34" i="7"/>
  <c r="A35" i="7"/>
  <c r="A36" i="7"/>
  <c r="B36" i="7"/>
  <c r="C36" i="7"/>
  <c r="A37" i="7"/>
  <c r="C37" i="7"/>
  <c r="C6" i="6"/>
  <c r="C15" i="6"/>
  <c r="F18" i="6"/>
  <c r="B19" i="6"/>
  <c r="E19" i="6"/>
  <c r="F19" i="6"/>
  <c r="B20" i="6"/>
  <c r="E20" i="6"/>
  <c r="F20" i="6"/>
  <c r="B21" i="6"/>
  <c r="E21" i="6"/>
  <c r="F21" i="6"/>
  <c r="C34" i="6"/>
  <c r="E39" i="6"/>
  <c r="E40" i="6"/>
  <c r="C41" i="6"/>
  <c r="E41" i="6"/>
  <c r="E42" i="6"/>
  <c r="F42" i="6"/>
  <c r="E43" i="6"/>
  <c r="F43" i="6"/>
  <c r="E44" i="6"/>
  <c r="F44" i="6"/>
  <c r="C49" i="6"/>
  <c r="C50" i="6"/>
  <c r="C51" i="6"/>
  <c r="G51" i="6"/>
  <c r="G52" i="6"/>
  <c r="C53" i="6"/>
  <c r="C54" i="6"/>
  <c r="G54" i="6"/>
  <c r="C55" i="6"/>
  <c r="G55" i="6"/>
  <c r="C56" i="6"/>
  <c r="G56" i="6"/>
  <c r="C57" i="6"/>
  <c r="C58" i="6"/>
  <c r="G58" i="6"/>
  <c r="C59" i="6"/>
  <c r="G59" i="6"/>
  <c r="C17" i="4"/>
  <c r="F32" i="4"/>
  <c r="F33" i="4"/>
  <c r="F37" i="4"/>
  <c r="F38" i="4"/>
  <c r="B39" i="4"/>
  <c r="E39" i="4"/>
  <c r="F39" i="4"/>
  <c r="G39" i="4"/>
  <c r="D42" i="4"/>
  <c r="F42" i="4"/>
  <c r="D43" i="4"/>
  <c r="F43" i="4"/>
  <c r="B44" i="4"/>
  <c r="F44" i="4"/>
  <c r="F45" i="4"/>
  <c r="F48" i="4"/>
  <c r="D49" i="4"/>
  <c r="H6" i="12"/>
  <c r="I6" i="12"/>
  <c r="H8" i="12"/>
  <c r="H9" i="12"/>
  <c r="E29" i="12"/>
  <c r="F37" i="12"/>
  <c r="E41" i="12"/>
  <c r="F41" i="12" s="1"/>
  <c r="F42" i="12"/>
  <c r="F43" i="12"/>
  <c r="F44" i="12"/>
  <c r="D49" i="12"/>
  <c r="F49" i="12" s="1"/>
  <c r="F53" i="12"/>
  <c r="B58" i="12"/>
  <c r="F58" i="12"/>
  <c r="C10" i="6" l="1"/>
  <c r="C12" i="6"/>
  <c r="B50" i="8" s="1"/>
  <c r="B49" i="8"/>
  <c r="B22" i="8"/>
  <c r="D24" i="4"/>
  <c r="H37" i="9"/>
  <c r="C22" i="8"/>
  <c r="B6" i="7"/>
  <c r="F50" i="5"/>
  <c r="G50" i="5" s="1"/>
  <c r="F49" i="5"/>
  <c r="G49" i="5" s="1"/>
  <c r="F47" i="5"/>
  <c r="F52" i="5"/>
  <c r="G52" i="5" s="1"/>
  <c r="F51" i="5"/>
  <c r="G51" i="5" s="1"/>
  <c r="F59" i="5" s="1"/>
  <c r="E9" i="12" s="1"/>
  <c r="B25" i="8"/>
  <c r="B53" i="8"/>
  <c r="E29" i="4"/>
  <c r="A25" i="8"/>
  <c r="D6" i="7"/>
  <c r="D23" i="4"/>
  <c r="F53" i="5"/>
  <c r="G53" i="5" s="1"/>
  <c r="F48" i="5"/>
  <c r="F55" i="5"/>
  <c r="G55" i="5" s="1"/>
  <c r="F54" i="5"/>
  <c r="G54" i="5" s="1"/>
  <c r="E7" i="12"/>
  <c r="F56" i="5"/>
  <c r="G56" i="5" s="1"/>
  <c r="I21" i="11"/>
  <c r="B43" i="11"/>
  <c r="B34" i="11"/>
  <c r="B29" i="11"/>
  <c r="B39" i="11"/>
  <c r="B31" i="11"/>
  <c r="B40" i="11"/>
  <c r="B17" i="11" s="1"/>
  <c r="B35" i="11"/>
  <c r="B30" i="11"/>
  <c r="B46" i="11"/>
  <c r="B45" i="11"/>
  <c r="B37" i="11"/>
  <c r="B41" i="11"/>
  <c r="B18" i="11" s="1"/>
  <c r="F25" i="6" s="1"/>
  <c r="B36" i="11"/>
  <c r="B27" i="11"/>
  <c r="B47" i="11"/>
  <c r="B28" i="11"/>
  <c r="B42" i="11"/>
  <c r="B19" i="11" s="1"/>
  <c r="F26" i="6" s="1"/>
  <c r="B33" i="11"/>
  <c r="B48" i="11"/>
  <c r="B49" i="11"/>
  <c r="G49" i="6"/>
  <c r="F24" i="6"/>
  <c r="G57" i="6"/>
  <c r="G53" i="6"/>
  <c r="G50" i="6"/>
  <c r="B16" i="11"/>
  <c r="F29" i="6" s="1"/>
  <c r="C13" i="6" s="1"/>
  <c r="B51" i="8" s="1"/>
  <c r="B20" i="11"/>
  <c r="F35" i="6" s="1"/>
  <c r="B58" i="8" l="1"/>
  <c r="A24" i="8"/>
  <c r="B24" i="8" s="1"/>
  <c r="B12" i="12"/>
  <c r="B18" i="8" s="1"/>
  <c r="E12" i="12"/>
  <c r="B17" i="8"/>
  <c r="B21" i="8"/>
  <c r="F23" i="4"/>
  <c r="A21" i="8"/>
  <c r="F58" i="5"/>
  <c r="E8" i="12" s="1"/>
</calcChain>
</file>

<file path=xl/sharedStrings.xml><?xml version="1.0" encoding="utf-8"?>
<sst xmlns="http://schemas.openxmlformats.org/spreadsheetml/2006/main" count="1667" uniqueCount="782">
  <si>
    <t xml:space="preserve">The suitability may be best evaluated based on the characterization of the information.  Pile driving records are of minimal use for a mat rig; surface samples have limited use for independent leg units and new records give more confidence than old records. </t>
  </si>
  <si>
    <t xml:space="preserve">The rig type is important since Independent leg rigs are treated somewhat differently particularly wrt foundations, punchthru questions, settlement, risk etc. Flag is set here and used throughout. </t>
  </si>
  <si>
    <t>Explanation may be required or Explanation from another worksheet</t>
  </si>
  <si>
    <t>If range of Penetration is given - take the deepest penetration. Although this is not always conservative it generally gives worse results.</t>
  </si>
  <si>
    <t xml:space="preserve">Loc 3:  </t>
  </si>
  <si>
    <t xml:space="preserve">Loc 4:  </t>
  </si>
  <si>
    <t xml:space="preserve">How Many Major Pipelines = or &gt;12"  , 200 yards of the jack-up? </t>
  </si>
  <si>
    <t xml:space="preserve">How Many Major Hub Structures (throughput &gt;10,000 bopd or equivalent) are within 2 miles? </t>
  </si>
  <si>
    <t>How Many Critical Facilities (production &gt;50,000 bopd or equivalent) within 2 miles?</t>
  </si>
  <si>
    <t>How Many Major Hub Structures (throughput &gt;50,000 bopd or equivalent) are within 2 miles?</t>
  </si>
  <si>
    <t xml:space="preserve">The GoM Annex alls for the stakeholders to agree a Survival Case. Since the Leaseholder provided information may be filled in at a different time: the Leaseholder's minimum requirements are recorded (and transferred to the Location and Assessment Results worksheets - to provide the results of the minimum accepted return period for the Drilling Contractor and Leaseholder Survival Case. </t>
  </si>
  <si>
    <t xml:space="preserve">Is the Location in the area that Int-Met requires Site-Specific Data? </t>
  </si>
  <si>
    <t xml:space="preserve">Year in which Geotech data was obtained at site?  Explanation if appropriate: </t>
  </si>
  <si>
    <t xml:space="preserve">Loc 1: Mudslide:  </t>
  </si>
  <si>
    <t>Airgap Compliance with Int-Met incl 3% and 4 ft settlement</t>
  </si>
  <si>
    <t>Loc 2:</t>
  </si>
  <si>
    <t>Loc 5:</t>
  </si>
  <si>
    <t xml:space="preserve">Loc 6: </t>
  </si>
  <si>
    <t xml:space="preserve">Loc 7: </t>
  </si>
  <si>
    <t xml:space="preserve">Loc 8: </t>
  </si>
  <si>
    <t xml:space="preserve">Loc 9: </t>
  </si>
  <si>
    <t xml:space="preserve">Leaseholder 3 :  </t>
  </si>
  <si>
    <t xml:space="preserve">Leaseholder 4: </t>
  </si>
  <si>
    <t>Leaseholder 5:</t>
  </si>
  <si>
    <t xml:space="preserve">Leaseholder 6: </t>
  </si>
  <si>
    <t>Leaseholder 7:</t>
  </si>
  <si>
    <t>Leaseholder 8:</t>
  </si>
  <si>
    <t>Leaseholder 9:</t>
  </si>
  <si>
    <t xml:space="preserve">Geotech 1:   </t>
  </si>
  <si>
    <t>Geotech 2:</t>
  </si>
  <si>
    <t xml:space="preserve">Geotech 6: </t>
  </si>
  <si>
    <t xml:space="preserve">Consequence of movement is important if there is not a reliable downhole storm packer or if there is a high consequence that has not been detailed in the other questions. </t>
  </si>
  <si>
    <t>Leaseholder/Operator Provided Information Worksheet incl.
Infrastructure Proximity Information
Survivability Assumptions</t>
  </si>
  <si>
    <t xml:space="preserve">This information is considered appropriate by soils analysts to calculate the overturning safety factor. </t>
  </si>
  <si>
    <t xml:space="preserve">This screening criteria for scour was arrived at in discussion with drilling contractors: it only serves as an initial screening gate to draw attention to the problem. Explanations may change any concerns. </t>
  </si>
  <si>
    <t>The information required in this section is an obligation of the NTL.</t>
  </si>
  <si>
    <t xml:space="preserve">Geotech information may be valid at a greater distance than 1000 ft if tied back with shallow seismic information. </t>
  </si>
  <si>
    <t>Airgap based on Site Specific data  Total (ft)</t>
  </si>
  <si>
    <t>Contingency Case (ft)</t>
  </si>
  <si>
    <t>Assessment Case (ft)</t>
  </si>
  <si>
    <t>Winter Storm Case (ft)</t>
  </si>
  <si>
    <t>Contingency  1-min mean (kts)</t>
  </si>
  <si>
    <t>Designation</t>
  </si>
  <si>
    <t>The data for the GOM Annex cases is also reported together with the winter data from reference OTC 17879</t>
  </si>
  <si>
    <t xml:space="preserve">This is the airgap specified for the operation on the Location Worksheet. </t>
  </si>
  <si>
    <t xml:space="preserve">Penetration was input in the Location worksheet. </t>
  </si>
  <si>
    <t xml:space="preserve">An explanation space is offered. </t>
  </si>
  <si>
    <t xml:space="preserve">The McClelland Reference: is a useful set of charts showing the GoM soils. While site-specific data is much more relevant this can occasionally be a useful reference and is used on occasion by Marine Warranty Surveyors when no other info is available.  It is very old data and should not be relied upon. </t>
  </si>
  <si>
    <t>The screening is currently set at 1000 ft. This is not suggested as a safe target for soils information which is properly directly on the site specific location, however, it is a useful indicator.</t>
  </si>
  <si>
    <t>(See Leaseholder Provided Data  worksheet)</t>
  </si>
  <si>
    <t>Optional Questions</t>
  </si>
  <si>
    <t xml:space="preserve">The value selected on the Leaseholder Data worksheet transfers to this location and  the Assessment Results to state the Leaseholder's Survival Case.  This and above question are asked independently because 2 different responders are filling out the sheet and GOM Annex requires an agreed minimum between stakeholders. </t>
  </si>
  <si>
    <t>Note: Estimates and Calculations are subject to many variable factors. The stated "Structural Factor" is intended to be an inexact comparison of chosen storm to adjusted MOM storm conditions by those with sufficient experience to make an engineering judgement about the values.</t>
  </si>
  <si>
    <t>(See Location worksheet)</t>
  </si>
  <si>
    <t>Provided for information only</t>
  </si>
  <si>
    <t>Selected Airgap Compliance Method</t>
  </si>
  <si>
    <t>Drilling Contractor</t>
  </si>
  <si>
    <t>Note: Below Yellow area is for OPTIONAL Comments</t>
  </si>
  <si>
    <t xml:space="preserve"> Proposed Air Gap:</t>
  </si>
  <si>
    <t>API 2 Int- Met 1st Edition, May 2007</t>
  </si>
  <si>
    <t>API RP 95J 1st Edition June 2006</t>
  </si>
  <si>
    <t>OTC 17879 - Metocean Criteria for Jack-ups in the Gulf of Mexico - 2006</t>
  </si>
  <si>
    <t xml:space="preserve">Incorporated References: </t>
  </si>
  <si>
    <t>LEASE  Area</t>
  </si>
  <si>
    <t>Block No</t>
  </si>
  <si>
    <t>Location Area</t>
  </si>
  <si>
    <t>Location</t>
  </si>
  <si>
    <t>Lease Area #</t>
  </si>
  <si>
    <t>Potential Mudslide Area</t>
  </si>
  <si>
    <t>Waterdepth</t>
  </si>
  <si>
    <t>Airgap</t>
  </si>
  <si>
    <t>Zone</t>
  </si>
  <si>
    <t>Degrees (decimal)</t>
  </si>
  <si>
    <t>95-97</t>
  </si>
  <si>
    <t>90.5-94</t>
  </si>
  <si>
    <t>86.5-89.5</t>
  </si>
  <si>
    <t>82.4-85.5</t>
  </si>
  <si>
    <t>Transition East-Central</t>
  </si>
  <si>
    <t>85.5-86.5</t>
  </si>
  <si>
    <t>89.5-90.5</t>
  </si>
  <si>
    <t>Transition WestCentral-West</t>
  </si>
  <si>
    <t>Transition Central-WestCentral</t>
  </si>
  <si>
    <t>Decision of Zone Below</t>
  </si>
  <si>
    <t>94-95</t>
  </si>
  <si>
    <t>Distance Over Guides</t>
  </si>
  <si>
    <t>Arrangements at Location</t>
  </si>
  <si>
    <t xml:space="preserve">Table For API Int-Met Data for Applicable Region - </t>
  </si>
  <si>
    <t>API INT-MET Region</t>
  </si>
  <si>
    <t>1-Min Mean Wind (knots)</t>
  </si>
  <si>
    <t xml:space="preserve">Alaminos Canyon </t>
  </si>
  <si>
    <t xml:space="preserve">Mississippi Canyon </t>
  </si>
  <si>
    <t xml:space="preserve">Amery Terrace </t>
  </si>
  <si>
    <t xml:space="preserve">Eugene Island </t>
  </si>
  <si>
    <t xml:space="preserve">Apalachicola </t>
  </si>
  <si>
    <t xml:space="preserve">Green Canyon </t>
  </si>
  <si>
    <t xml:space="preserve">Atwater Valley </t>
  </si>
  <si>
    <t xml:space="preserve">Garden Banks </t>
  </si>
  <si>
    <t xml:space="preserve">Bay Marchand </t>
  </si>
  <si>
    <t xml:space="preserve">East Breaks </t>
  </si>
  <si>
    <t xml:space="preserve">Brazos </t>
  </si>
  <si>
    <t xml:space="preserve">West Cameron </t>
  </si>
  <si>
    <t xml:space="preserve">Breton Sound </t>
  </si>
  <si>
    <t xml:space="preserve">South Timbalier </t>
  </si>
  <si>
    <t xml:space="preserve">Campeche Escarpment </t>
  </si>
  <si>
    <t xml:space="preserve">High Island </t>
  </si>
  <si>
    <t xml:space="preserve">Chandeleur </t>
  </si>
  <si>
    <t xml:space="preserve">Ship Shoal </t>
  </si>
  <si>
    <t xml:space="preserve">Charlotte Harbor </t>
  </si>
  <si>
    <t xml:space="preserve">Viosca Knoll </t>
  </si>
  <si>
    <t xml:space="preserve">Corpus Christi </t>
  </si>
  <si>
    <t xml:space="preserve">South Marsh Island </t>
  </si>
  <si>
    <t xml:space="preserve">DeSoto Canyon </t>
  </si>
  <si>
    <t xml:space="preserve">Vermilion </t>
  </si>
  <si>
    <t xml:space="preserve">Destin Dome </t>
  </si>
  <si>
    <t xml:space="preserve">Main Pass </t>
  </si>
  <si>
    <t xml:space="preserve">Dry Tortugas </t>
  </si>
  <si>
    <t xml:space="preserve">East Cameron </t>
  </si>
  <si>
    <t xml:space="preserve">West Delta </t>
  </si>
  <si>
    <t xml:space="preserve">South Pass </t>
  </si>
  <si>
    <t xml:space="preserve">Grand Isle </t>
  </si>
  <si>
    <t xml:space="preserve">Ewing Bank </t>
  </si>
  <si>
    <t xml:space="preserve">Florida Middle Ground </t>
  </si>
  <si>
    <t xml:space="preserve">Florida Plain </t>
  </si>
  <si>
    <t xml:space="preserve">Galveston </t>
  </si>
  <si>
    <t xml:space="preserve">Gainesville </t>
  </si>
  <si>
    <t xml:space="preserve">Matagorda Island </t>
  </si>
  <si>
    <t xml:space="preserve">South Pelto </t>
  </si>
  <si>
    <t xml:space="preserve">Mustang Island </t>
  </si>
  <si>
    <t xml:space="preserve">North Padre Island </t>
  </si>
  <si>
    <t xml:space="preserve">Henderson </t>
  </si>
  <si>
    <t xml:space="preserve">Sabine Pass (LA) </t>
  </si>
  <si>
    <t xml:space="preserve">Howell Hook </t>
  </si>
  <si>
    <t xml:space="preserve">Mobile </t>
  </si>
  <si>
    <t xml:space="preserve">Keathley Canyon </t>
  </si>
  <si>
    <t xml:space="preserve">Key West </t>
  </si>
  <si>
    <t xml:space="preserve">Sabine Pass (TX) </t>
  </si>
  <si>
    <t xml:space="preserve">Lloyd Ridge </t>
  </si>
  <si>
    <t xml:space="preserve">Lund </t>
  </si>
  <si>
    <t xml:space="preserve">Lund South </t>
  </si>
  <si>
    <t xml:space="preserve">Miami </t>
  </si>
  <si>
    <t xml:space="preserve">Pensacola </t>
  </si>
  <si>
    <t xml:space="preserve">Port Isabel </t>
  </si>
  <si>
    <t xml:space="preserve">Pulley Ridge </t>
  </si>
  <si>
    <t xml:space="preserve">Rankin </t>
  </si>
  <si>
    <t xml:space="preserve">Sigsbee Escarpment </t>
  </si>
  <si>
    <t xml:space="preserve">South Padre Island </t>
  </si>
  <si>
    <t xml:space="preserve">St. Petersburg </t>
  </si>
  <si>
    <t xml:space="preserve">Tarpon Springs </t>
  </si>
  <si>
    <t xml:space="preserve">The Elbow </t>
  </si>
  <si>
    <t xml:space="preserve">Tortugas Valley </t>
  </si>
  <si>
    <t xml:space="preserve">Vernon Basin </t>
  </si>
  <si>
    <t xml:space="preserve">Walker Ridge </t>
  </si>
  <si>
    <t>Feet</t>
  </si>
  <si>
    <t>January</t>
  </si>
  <si>
    <t>February</t>
  </si>
  <si>
    <t>March</t>
  </si>
  <si>
    <t>June</t>
  </si>
  <si>
    <t>July</t>
  </si>
  <si>
    <t>August</t>
  </si>
  <si>
    <t>September</t>
  </si>
  <si>
    <t>October</t>
  </si>
  <si>
    <t>November</t>
  </si>
  <si>
    <t>December</t>
  </si>
  <si>
    <t>Days</t>
  </si>
  <si>
    <t>Location Assessment Worksheet</t>
  </si>
  <si>
    <t xml:space="preserve">Location Name: </t>
  </si>
  <si>
    <t>Water Depth:</t>
  </si>
  <si>
    <t>Latitude</t>
  </si>
  <si>
    <t>Longitude</t>
  </si>
  <si>
    <t>UTM-N (Grid)</t>
  </si>
  <si>
    <t>UTM-E (Grid)</t>
  </si>
  <si>
    <t>Planned date for Arrival at Location</t>
  </si>
  <si>
    <t>Month</t>
  </si>
  <si>
    <t>#</t>
  </si>
  <si>
    <t xml:space="preserve">April </t>
  </si>
  <si>
    <t xml:space="preserve">May </t>
  </si>
  <si>
    <t>1st</t>
  </si>
  <si>
    <t>2nd</t>
  </si>
  <si>
    <t>3rd</t>
  </si>
  <si>
    <t>4th</t>
  </si>
  <si>
    <t>5th</t>
  </si>
  <si>
    <t>6th</t>
  </si>
  <si>
    <t>7th</t>
  </si>
  <si>
    <t>8th</t>
  </si>
  <si>
    <t>9th</t>
  </si>
  <si>
    <t>10th</t>
  </si>
  <si>
    <t>11th</t>
  </si>
  <si>
    <t>12th</t>
  </si>
  <si>
    <t>13th</t>
  </si>
  <si>
    <t>14th</t>
  </si>
  <si>
    <t>15th</t>
  </si>
  <si>
    <t>16th</t>
  </si>
  <si>
    <t>17th</t>
  </si>
  <si>
    <t>18th</t>
  </si>
  <si>
    <t>19th</t>
  </si>
  <si>
    <t>20th</t>
  </si>
  <si>
    <t>21th</t>
  </si>
  <si>
    <t>22th</t>
  </si>
  <si>
    <t>23th</t>
  </si>
  <si>
    <t>24th</t>
  </si>
  <si>
    <t>25th</t>
  </si>
  <si>
    <t>26th</t>
  </si>
  <si>
    <t>27th</t>
  </si>
  <si>
    <t>28th</t>
  </si>
  <si>
    <t>29th</t>
  </si>
  <si>
    <t>30th</t>
  </si>
  <si>
    <t>31th</t>
  </si>
  <si>
    <t>Planned date for Departure from Location</t>
  </si>
  <si>
    <t xml:space="preserve">Rig Type: </t>
  </si>
  <si>
    <t>Rig Type</t>
  </si>
  <si>
    <t>Independent Leg</t>
  </si>
  <si>
    <t>Mat Supported</t>
  </si>
  <si>
    <t>Mudslide</t>
  </si>
  <si>
    <t>Main Pass</t>
  </si>
  <si>
    <t>South Pass</t>
  </si>
  <si>
    <t>West Delta</t>
  </si>
  <si>
    <t>Mississippi Canyon</t>
  </si>
  <si>
    <t>Viosca Knoll</t>
  </si>
  <si>
    <t>1 Hr</t>
  </si>
  <si>
    <t>1 Min mean</t>
  </si>
  <si>
    <t>meters/sec</t>
  </si>
  <si>
    <t>Yes</t>
  </si>
  <si>
    <t xml:space="preserve"> </t>
  </si>
  <si>
    <t>Return Period</t>
  </si>
  <si>
    <t>Wind Speed</t>
  </si>
  <si>
    <t>Wind Speed Types</t>
  </si>
  <si>
    <t>knots</t>
  </si>
  <si>
    <t>feet/sec</t>
  </si>
  <si>
    <t>Value</t>
  </si>
  <si>
    <t>Operator:</t>
  </si>
  <si>
    <t>[deg-Grid]</t>
  </si>
  <si>
    <t>OCS Designation:</t>
  </si>
  <si>
    <t>West</t>
  </si>
  <si>
    <t>West Central</t>
  </si>
  <si>
    <t>Central</t>
  </si>
  <si>
    <t>East</t>
  </si>
  <si>
    <t>Wind/Current Speed Units</t>
  </si>
  <si>
    <t>Factor for Current</t>
  </si>
  <si>
    <t>Factor to get knots</t>
  </si>
  <si>
    <t>Multiplier to get to 1 min wind</t>
  </si>
  <si>
    <t>How Many Critical Facilities within 2 miles = or &gt;10,000 bopd going through facility?</t>
  </si>
  <si>
    <t>Factor for Wind to get knots</t>
  </si>
  <si>
    <t>Waterdepth (ft)</t>
  </si>
  <si>
    <t>Current Speed - Assessment Level</t>
  </si>
  <si>
    <t>Current Speed - Winter Storm</t>
  </si>
  <si>
    <t>Current Speed - Contingency Study</t>
  </si>
  <si>
    <t>Surface (kts)</t>
  </si>
  <si>
    <t>Mid-Depth (kts)</t>
  </si>
  <si>
    <t>Bottom of Profile (kts)</t>
  </si>
  <si>
    <t>Elevation above Mudline (ft)</t>
  </si>
  <si>
    <t>Note: See OTC 17879 for Explanation</t>
  </si>
  <si>
    <t>Contingency- Surface</t>
  </si>
  <si>
    <t>Contingency- MidDepth</t>
  </si>
  <si>
    <t>Assessment- MidDepth</t>
  </si>
  <si>
    <t>Winter-MidDepth</t>
  </si>
  <si>
    <t>Winter-Off Bottom</t>
  </si>
  <si>
    <t>Winter Storm- Surface</t>
  </si>
  <si>
    <t>Assessment- Off Bottom</t>
  </si>
  <si>
    <t>Contingency- Off Bottom</t>
  </si>
  <si>
    <t>Off Bottom Distance</t>
  </si>
  <si>
    <t>Result</t>
  </si>
  <si>
    <t>API RP95J Airgap Compliant?</t>
  </si>
  <si>
    <t>10 Yr - Surface</t>
  </si>
  <si>
    <t>10 Yr - MidDepth</t>
  </si>
  <si>
    <t>10 Yr- Off-Bottom</t>
  </si>
  <si>
    <t>100 Yr - Surface</t>
  </si>
  <si>
    <t>100 Yr - MidDepth</t>
  </si>
  <si>
    <t>100 Yr- Off-Bottom</t>
  </si>
  <si>
    <t>50 Yr- Off-Bottom</t>
  </si>
  <si>
    <t>50 Yr - MidDepth</t>
  </si>
  <si>
    <t>50 Yr - Surface</t>
  </si>
  <si>
    <t>Central Zone Information</t>
  </si>
  <si>
    <t>Contingency</t>
  </si>
  <si>
    <t>Assessment</t>
  </si>
  <si>
    <t>Winter</t>
  </si>
  <si>
    <t>Int-Met East</t>
  </si>
  <si>
    <t>C.E. 100yr</t>
  </si>
  <si>
    <t>Hmax 100 yr</t>
  </si>
  <si>
    <t>Hmax 50 yr</t>
  </si>
  <si>
    <t>Hmax 25yr</t>
  </si>
  <si>
    <t>Hmax 10yr</t>
  </si>
  <si>
    <t>Int-Met Central</t>
  </si>
  <si>
    <t>Int-Met West Central</t>
  </si>
  <si>
    <t xml:space="preserve">Int-Met West    </t>
  </si>
  <si>
    <t>Summary of Equations</t>
  </si>
  <si>
    <t>West Zone Information</t>
  </si>
  <si>
    <t>West Central Zone Information</t>
  </si>
  <si>
    <t>East Zone Information</t>
  </si>
  <si>
    <t xml:space="preserve">Principal Particulars: </t>
  </si>
  <si>
    <t>No of Legs</t>
  </si>
  <si>
    <t>Model</t>
  </si>
  <si>
    <t>#1</t>
  </si>
  <si>
    <t>#2</t>
  </si>
  <si>
    <t>#3</t>
  </si>
  <si>
    <t>Wind Speed (kts)</t>
  </si>
  <si>
    <t>Wave Height (ft)</t>
  </si>
  <si>
    <t>Wave Period (secs)</t>
  </si>
  <si>
    <t xml:space="preserve">Air Gap (ft) </t>
  </si>
  <si>
    <t>Rig Heading:</t>
  </si>
  <si>
    <t>Surge Ht (ft)</t>
  </si>
  <si>
    <t>Region</t>
  </si>
  <si>
    <t>Block</t>
  </si>
  <si>
    <t>Value (kts)</t>
  </si>
  <si>
    <t>Far West</t>
  </si>
  <si>
    <t>Trans. West West-Central</t>
  </si>
  <si>
    <t>West-Central</t>
  </si>
  <si>
    <t>Trans West-Central Central</t>
  </si>
  <si>
    <t>Trans Central East</t>
  </si>
  <si>
    <t>Transition Modifiers</t>
  </si>
  <si>
    <t>Transition Distances</t>
  </si>
  <si>
    <t>Absolute</t>
  </si>
  <si>
    <t>% of Distance from East</t>
  </si>
  <si>
    <t>Hmax 100 yr (ft)</t>
  </si>
  <si>
    <t>C.E. 100yr (ft)</t>
  </si>
  <si>
    <t>Decides for Transition Zones what % of each answer to take either side.</t>
  </si>
  <si>
    <t xml:space="preserve">Tide (ft) </t>
  </si>
  <si>
    <t>If Other: Describe</t>
  </si>
  <si>
    <t>10-Yr Site Specific (ft)</t>
  </si>
  <si>
    <t>No</t>
  </si>
  <si>
    <t>Incl. in C.E.</t>
  </si>
  <si>
    <t>Surface Current (kts)</t>
  </si>
  <si>
    <t>Anything Else</t>
  </si>
  <si>
    <t>100 Year Crest Elevation (ft) 
Incl (Surge &amp; Tide)</t>
  </si>
  <si>
    <t>Metocean Worksheet</t>
  </si>
  <si>
    <t>Wave Heights</t>
  </si>
  <si>
    <t>No of Chords/leg (1-4)</t>
  </si>
  <si>
    <t>Cantilever         (Yes/No)</t>
  </si>
  <si>
    <t>meters</t>
  </si>
  <si>
    <t>Select from Potential Issues Below:  Note "numeric" to all that apply</t>
  </si>
  <si>
    <t>50 yr Site Specific</t>
  </si>
  <si>
    <t>100 yr Site Specific</t>
  </si>
  <si>
    <t>10 Year Hmax Int-Met (ft)</t>
  </si>
  <si>
    <t>100 Year Hmax Int-Met (ft)</t>
  </si>
  <si>
    <t>Int- Met Values (accounting for transition)</t>
  </si>
  <si>
    <t>1-Min Mean (knots)</t>
  </si>
  <si>
    <t>(ft)</t>
  </si>
  <si>
    <t xml:space="preserve">Value </t>
  </si>
  <si>
    <t xml:space="preserve"> Site Specific Current</t>
  </si>
  <si>
    <t>GOM Annex Current</t>
  </si>
  <si>
    <t>Case</t>
  </si>
  <si>
    <t xml:space="preserve">
Case</t>
  </si>
  <si>
    <t>Waterdepth on Location (ft)</t>
  </si>
  <si>
    <t>10-Yr Int Met</t>
  </si>
  <si>
    <t>50-Yr Int Met</t>
  </si>
  <si>
    <t>100-Yr Int Met</t>
  </si>
  <si>
    <t>10-Yr Site Specific</t>
  </si>
  <si>
    <t>What is the basis of Soils Assumptions</t>
  </si>
  <si>
    <t>Surface Sample</t>
  </si>
  <si>
    <t>Pile Driving Records</t>
  </si>
  <si>
    <t>None</t>
  </si>
  <si>
    <t>Previous Rig Records</t>
  </si>
  <si>
    <t>On Arrival at Location</t>
  </si>
  <si>
    <t>ft</t>
  </si>
  <si>
    <t>See to right</t>
  </si>
  <si>
    <t>Pre-Peak</t>
  </si>
  <si>
    <t>Peak</t>
  </si>
  <si>
    <t>Post Peak</t>
  </si>
  <si>
    <t>Hurricane Season</t>
  </si>
  <si>
    <t xml:space="preserve">Sliding resistance only checked if this is a High or Medium Consequence Location. </t>
  </si>
  <si>
    <t xml:space="preserve">The sliding calculation is only required (for a mat jack-up) if soil shear strength is &lt;100 psf AND this is a High or Medium Consequence location. </t>
  </si>
  <si>
    <t xml:space="preserve">The overturning calculation is only required (for a mat jack-up) if soil shear strength is &lt;100 psf AND this is a High or Medium Consequence location. </t>
  </si>
  <si>
    <t xml:space="preserve">* Note: "Calculated" means a rigorous calculation based on structural model, hydrodynamic model etc.  Medium and High Consequence locations require "Calculated" results be recorded in the Structure Factor of Safety.
* Note: "Estimated" means ratios to known conditions - Suitable only for clearly acceptable conditions based on Engineering judgment. </t>
  </si>
  <si>
    <t>COMPARISON OF Benchmark Information to GoM Annex Cases</t>
  </si>
  <si>
    <t>Estimated/Calculated  Amount of Structural Overload compared to calculated Design Conditions</t>
  </si>
  <si>
    <t xml:space="preserve">Proximity Consequence Summation for this Location and any Mitigating Factors . </t>
  </si>
  <si>
    <t>Rev:  10  Password: "password"</t>
  </si>
  <si>
    <t>Have you supplied USCG with read access to the rig's GPS Tracking Information ?</t>
  </si>
  <si>
    <t>Have you reviewed and updated your USCG Marine Operating Manual to minimize the possibility of adverse consequences of any tropical storm (as suggested in the NTL) ?</t>
  </si>
  <si>
    <t xml:space="preserve">Have you supplied the appropriate bottom survey data (shallow hazards survey and/or bottom Mesotech scan) for best positioning of the jack-up on location to satisfy NTL 2008-G10?    
Note: Guidance to requirements for shallow hazards is in NTL 2008-G05.  </t>
  </si>
  <si>
    <t>Have you supplied Geotech (Soils) data sufficient to determine soil characteristics over depth and foundation strength of the proposed location 
(in satisfaction of the NTL 2008-G10) ?</t>
  </si>
  <si>
    <t>What are your (Leaseholder/Operator) minimum requirements for the Survival Case       
 at this location (GoM Annex) ? .</t>
  </si>
  <si>
    <t xml:space="preserve">What is the basis of Soils Assumptions ?
Has a Borehole Log been Provided?    </t>
  </si>
  <si>
    <t>Optional Explanation of Suitability of the soil data for evaluating fitness for purpose</t>
  </si>
  <si>
    <t>Borehole Information Proviced</t>
  </si>
  <si>
    <t xml:space="preserve">Name of person completing Leaseholder Information: 
Phone:  
Email:  </t>
  </si>
  <si>
    <t xml:space="preserve">Is the Geotech (soil) information supplied sufficient to determine the soil characteristics over depth and also sufficient to determine the foundation strength at the location to satisfy NTL 2008-G10? </t>
  </si>
  <si>
    <t xml:space="preserve">Are you anticipating Punchthru Conditions going onto location?  </t>
  </si>
  <si>
    <t>Were soils supplied good for a L-D curve</t>
  </si>
  <si>
    <r>
      <t xml:space="preserve">API RP 95 J Information:  LEASEHOLDER SUPPLIED INFORMATION - </t>
    </r>
    <r>
      <rPr>
        <b/>
        <sz val="10"/>
        <color indexed="10"/>
        <rFont val="Arial"/>
        <family val="2"/>
      </rPr>
      <t>HAZARD INFORMATION ONLY: NOT AS ONLY PENETRATION DATA</t>
    </r>
  </si>
  <si>
    <t xml:space="preserve">What is the preloading methodology? (Single leg? Multiple leg? etc). </t>
  </si>
  <si>
    <t>What is the minimum holding time after settlement has stopped at maximum preload? (hrs)</t>
  </si>
  <si>
    <t>Classification - In Class?</t>
  </si>
  <si>
    <t xml:space="preserve">Classification? </t>
  </si>
  <si>
    <t>Note 1: Historically, jack-ups in GoM have been shown to survive a Structural factor of &gt;1.5  over the design storm and in many cases &gt;2 when foundations are sufficient.
Note 2: When calculation is required,  the calculation needs to be according to good engineering practice and is not tied to a requirement to the requirements of SNAME 5-5A although this is a good guide. It can be formulated based on "pushover analyses".</t>
  </si>
  <si>
    <t>Report Source: Author/Company</t>
  </si>
  <si>
    <t>1-Min Wind for Site-Specric Return Period (kts)</t>
  </si>
  <si>
    <t>Crest Elevation = or &gt; 100-year (ft)</t>
  </si>
  <si>
    <t xml:space="preserve">Site-Specific Hmax (ft) </t>
  </si>
  <si>
    <t>Tide  = or &gt; 100-year (ft)</t>
  </si>
  <si>
    <t>Surge = or &gt; 100-year (ft)</t>
  </si>
  <si>
    <t>Do your anticipated preloading procedures minimize the potential for further settlement from potential hurricane loading ?</t>
  </si>
  <si>
    <t xml:space="preserve">Date on which Checksheet completed  </t>
  </si>
  <si>
    <t>Green Flag warning - Explanation is probably not required.</t>
  </si>
  <si>
    <t>Generally a response from another "cell" - No input needed</t>
  </si>
  <si>
    <t>Responses for Assessment Results  - from another "cell" - No input needed</t>
  </si>
  <si>
    <t xml:space="preserve"> Checksheet completed by:
Phone:
Email:   </t>
  </si>
  <si>
    <t xml:space="preserve">NOTE: This Checksheet does not constitute a rigorous engineering approach to safety. It merely provides a draft Checksheet for Permitting with whatever benefits/limitations that apply to that process. It in no-way confirms that the jack-up is suitable for the location.  This is a Draft Checksheet and further calculations/information is required after suitable explanations are provided as requested herein.
The User of this document should check accuracy and interpolation of any industry curves (e.g. API 95J, API 2 Int-Met, GoM Annex etc) to verify correctness and accuracy. prior to using. </t>
  </si>
  <si>
    <t>Does the jack-up meet the Structural and Foundation requirements of the SNAME GoM Annex (Assessment and Contingency  cases)?</t>
  </si>
  <si>
    <t>Zone determined based on Longitude; incorporates the transition areas between Zones.</t>
  </si>
  <si>
    <t>This question determines which checks are to be carried out. The cell automatically turns Green if API 95J is to be complied with. The check is made on the Metocean Worksheet and compliance verified.  The alternate methods of compliance are Site specific (data is compared to Int-Met for verification), or Int-Met data including a 4 ft settlement compliance and a 3-5% contingency factor (API 95J).  Site Specific handled on the Metocean worksheet.</t>
  </si>
  <si>
    <t xml:space="preserve"> Punchthrough going on location is considered a major issue when at a High or Medium Consequence location and (for example) the well is not shut in or the platform is significant.  </t>
  </si>
  <si>
    <t xml:space="preserve">Sliding is a consideration for mat units on High or Medium Consequence locations only. Soil expert's Rule of Thumb that if the soil strength is below 100 psf on clay that the rig has a propensity to slide in a storm. Calculations may prove otherwise.  </t>
  </si>
  <si>
    <t xml:space="preserve">Scour is a consideration for mat units on High and Medium Consequence locations only. This flag and requirement for explanation is that if soil is sand and there is high current or a breaking wave there may be a propensity to scour. Calculations may prove otherwise. </t>
  </si>
  <si>
    <t>Note: This information is worksheet is part of the "requirements" of the NTL. The questions are  do not at this time form part of the evaluation process - except to note the answers.</t>
  </si>
  <si>
    <t>Has data been supplied that allows a geotechnical professional to give a high confidence prediction of expected penetration and final soil beneath the spucan 
(e.g. a load-penetration curve)</t>
  </si>
  <si>
    <t xml:space="preserve">Certain areas of the GOM are outside the area of applicability of Bulletin 2 Int-Met. &gt; 86 deg and &lt;89.5 deg in waterdepths &gt;230 ft: are intended to be excluded. Barrier islands and other features may not get checked by this routine. </t>
  </si>
  <si>
    <t>Table For Site Specific Data: Survival Case</t>
  </si>
  <si>
    <t>Return Period for Site-Specific (yrs)</t>
  </si>
  <si>
    <t xml:space="preserve"> (ft)</t>
  </si>
  <si>
    <t>Site-Specific Soils both Mat and Independent Leg Jack-ups</t>
  </si>
  <si>
    <t>Are you Relying on Mc Clelland Reference 1979? Or other similar reference; and Explanation if appropriate</t>
  </si>
  <si>
    <t xml:space="preserve">Consequence &amp; Mudslide Potential: </t>
  </si>
  <si>
    <t>Survivability Selected on Location worksheet</t>
  </si>
  <si>
    <t>( from Location worksheet)</t>
  </si>
  <si>
    <t xml:space="preserve">Is there a plan for the cantilever to be skidded in for a storm?
   Is there a plan for the conductor to be supported during the storm? </t>
  </si>
  <si>
    <t>Well Conductor Support Question</t>
  </si>
  <si>
    <t>Skid Cantilever In Question</t>
  </si>
  <si>
    <r>
      <t xml:space="preserve">Survival Case 
</t>
    </r>
    <r>
      <rPr>
        <b/>
        <sz val="10"/>
        <rFont val="Arial"/>
        <family val="2"/>
      </rPr>
      <t>as defined by GoM Annex</t>
    </r>
  </si>
  <si>
    <t xml:space="preserve">Further Explanation if Needed: </t>
  </si>
  <si>
    <t xml:space="preserve">Analysis Method: </t>
  </si>
  <si>
    <t xml:space="preserve">Airgap Compliance with API Int-Met With 3-5% crest elevation +4ft settlement  </t>
  </si>
  <si>
    <t xml:space="preserve">Max Airgap in Factors!p6 =62 not 62.5; Structures Tab - G26to G34 formula AE11 changed to AE14. Change G36 to a fill in field. </t>
  </si>
  <si>
    <t>Survival Case: Method Used (Calculated/ Estimated) and resulting  % of design allowable to which the jack-up was loaded</t>
  </si>
  <si>
    <t xml:space="preserve">Response to question about Preloading Methodology:   </t>
  </si>
  <si>
    <t xml:space="preserve">Answer to question as to whether the preloading procedures have been reviewed to minimze further settlement in a hurricane: </t>
  </si>
  <si>
    <t>Non-Hurricane</t>
  </si>
  <si>
    <t>Item</t>
  </si>
  <si>
    <t>Old Geotech</t>
  </si>
  <si>
    <t>Recent Geotech</t>
  </si>
  <si>
    <t>Description of Soil at the Location</t>
  </si>
  <si>
    <t>Day</t>
  </si>
  <si>
    <t>Date</t>
  </si>
  <si>
    <t>Day Number</t>
  </si>
  <si>
    <t>Date On</t>
  </si>
  <si>
    <t>Date Off</t>
  </si>
  <si>
    <t>/</t>
  </si>
  <si>
    <t>Pre-Peak End</t>
  </si>
  <si>
    <t>Is start before peak</t>
  </si>
  <si>
    <t>Is start before hurricane season</t>
  </si>
  <si>
    <t>Is end before hurricane season</t>
  </si>
  <si>
    <t>Is end before peak</t>
  </si>
  <si>
    <t>Is start after end of hurricane season</t>
  </si>
  <si>
    <t>Is start after end of peak</t>
  </si>
  <si>
    <t>Is end after end of hurricane season</t>
  </si>
  <si>
    <t>Is in Hurricane season</t>
  </si>
  <si>
    <t>Is in Peak</t>
  </si>
  <si>
    <t>Is end after end of peak</t>
  </si>
  <si>
    <t>Pre-Peak Ramp end</t>
  </si>
  <si>
    <t>Peak end</t>
  </si>
  <si>
    <t>Post-Peak Ramp end</t>
  </si>
  <si>
    <t>Post-Peak end (End season)</t>
  </si>
  <si>
    <t>Pre-Peak start (Season start)</t>
  </si>
  <si>
    <t>Start and End Date</t>
  </si>
  <si>
    <t>JJS Input Data Location</t>
  </si>
  <si>
    <t>Were soils data supplied for the Location?</t>
  </si>
  <si>
    <t>SP Check</t>
  </si>
  <si>
    <t>MP</t>
  </si>
  <si>
    <t>WD</t>
  </si>
  <si>
    <t>MC</t>
  </si>
  <si>
    <t>VK</t>
  </si>
  <si>
    <t>Type of Soil</t>
  </si>
  <si>
    <t>Sand</t>
  </si>
  <si>
    <t>Cohesive (Clay)</t>
  </si>
  <si>
    <t>Is Sand layer strong enough to prevent additional penetration in a storm?</t>
  </si>
  <si>
    <t>Dates on Location</t>
  </si>
  <si>
    <t>High Level Overview of Threat</t>
  </si>
  <si>
    <t>Y</t>
  </si>
  <si>
    <t>NTL 2008-G10 June 1, 2008-Dec 1, 2013 -Guidelines for Jack-Up Drilling Rig Fitness Requirements for Hurricane Season</t>
  </si>
  <si>
    <t>Locations where API 2 Int -Met does not Apply</t>
  </si>
  <si>
    <t>Grand Isle</t>
  </si>
  <si>
    <t>Bay Marchand</t>
  </si>
  <si>
    <t>Breton Sound</t>
  </si>
  <si>
    <t>Mobile</t>
  </si>
  <si>
    <t>Chandeleur Area</t>
  </si>
  <si>
    <t>NTL 2008-G10 Requirements:</t>
  </si>
  <si>
    <t>Have you reviewed and updated your USCG Marine Operating Manual?</t>
  </si>
  <si>
    <t>API RP 95 J Information</t>
  </si>
  <si>
    <t xml:space="preserve">Yes </t>
  </si>
  <si>
    <t>Answer here</t>
  </si>
  <si>
    <t>Airgap Compliance with API 95J?</t>
  </si>
  <si>
    <t>Settlement Amount</t>
  </si>
  <si>
    <t>API 95J</t>
  </si>
  <si>
    <t xml:space="preserve">Site-Specific  </t>
  </si>
  <si>
    <t>Selected Method of Compliance with Airgap</t>
  </si>
  <si>
    <t>Airgap Compliance with Site Specific Values</t>
  </si>
  <si>
    <t>Answer (to the right)</t>
  </si>
  <si>
    <t>Penetration Assumed (ft)</t>
  </si>
  <si>
    <t>Note: 30 CFR 250.417 requires submission of information to show that site-specific soil and oceanographic conditions will support the drilling unit</t>
  </si>
  <si>
    <t>Explanation (if any)</t>
  </si>
  <si>
    <t>To be filled in: Used in Calculating other entries</t>
  </si>
  <si>
    <t>To be filled in for Info only</t>
  </si>
  <si>
    <t>30 CFR 250.417 What must I provide if I plan to use a mobile offshore drilling unit (MODU)? -</t>
  </si>
  <si>
    <t xml:space="preserve">Recommended Practice for Site Specific Assessment of Mobile Jack-up Units - Gulf of Mexico Annex (SNAME 5-5A) Rev 0 August 2006. </t>
  </si>
  <si>
    <t>Note that there is a ramping period from 1 Aug to 14 Aug before the peak and 7 Oct to 21 Oct after the peak.  These ramping periods have been assumed to be within the "Peak Hurricane Season"</t>
  </si>
  <si>
    <t>Explain (if any)</t>
  </si>
  <si>
    <t>Airgap (ft)</t>
  </si>
  <si>
    <t>API 95J Airgap (ft)</t>
  </si>
  <si>
    <t xml:space="preserve">Note: It may be necessary in the future to characterize Offshore Terminals close by, and Offshore Wind farms </t>
  </si>
  <si>
    <t>Airgap compliance</t>
  </si>
  <si>
    <t>General Information</t>
  </si>
  <si>
    <t>Structural Information</t>
  </si>
  <si>
    <t>What is the year  the site Geotechnical Information was obtained at the proposed site?  (YYYY)</t>
  </si>
  <si>
    <t>Soils Information for Mat Rig</t>
  </si>
  <si>
    <t>Total Leg Length:</t>
  </si>
  <si>
    <t>Distance over Guides</t>
  </si>
  <si>
    <t>Leg Length Check</t>
  </si>
  <si>
    <t>Length (ft)</t>
  </si>
  <si>
    <t>Breadth    (ft)</t>
  </si>
  <si>
    <t>Depth   (ft)</t>
  </si>
  <si>
    <t xml:space="preserve">Rig Type (Builder) </t>
  </si>
  <si>
    <t>Zone:</t>
  </si>
  <si>
    <t>GoM Annex</t>
  </si>
  <si>
    <t>Note: 30 CFR 250.417 requires submission of maximum environmental and operating conditions: Fill in Closest match in #1, #2 and/or #3</t>
  </si>
  <si>
    <t xml:space="preserve">GEOTECH (SOILS) WORKSHEET </t>
  </si>
  <si>
    <t>GoM Annex Wind</t>
  </si>
  <si>
    <t>GoM Annex Wave</t>
  </si>
  <si>
    <t>Waterdepth/Region</t>
  </si>
  <si>
    <t>GoM Values</t>
  </si>
  <si>
    <t>50 Year Hmax Int-Met (ft)</t>
  </si>
  <si>
    <t>10 Year - see below</t>
  </si>
  <si>
    <t>Other: Specified</t>
  </si>
  <si>
    <t xml:space="preserve">  </t>
  </si>
  <si>
    <t xml:space="preserve">   </t>
  </si>
  <si>
    <t xml:space="preserve">No </t>
  </si>
  <si>
    <t>Block Area</t>
  </si>
  <si>
    <t>Rig Heading</t>
  </si>
  <si>
    <t>Latitude:</t>
  </si>
  <si>
    <t>Longitude:</t>
  </si>
  <si>
    <t>Rig Name</t>
  </si>
  <si>
    <t>Operator</t>
  </si>
  <si>
    <t>Water Depth</t>
  </si>
  <si>
    <t>Location Name</t>
  </si>
  <si>
    <t>Part of Season</t>
  </si>
  <si>
    <t>Jack-up Owner</t>
  </si>
  <si>
    <t>Hurricane Threat</t>
  </si>
  <si>
    <t>In Class</t>
  </si>
  <si>
    <t>Structural Outstandings</t>
  </si>
  <si>
    <t>Basis of Geotech Assumptions</t>
  </si>
  <si>
    <t>Action/Modification</t>
  </si>
  <si>
    <t>NTL 2008-G10 Requirements</t>
  </si>
  <si>
    <t>Soils information for Independent Leg Units</t>
  </si>
  <si>
    <t>B</t>
  </si>
  <si>
    <t>C</t>
  </si>
  <si>
    <t>D</t>
  </si>
  <si>
    <t>E</t>
  </si>
  <si>
    <t xml:space="preserve">F </t>
  </si>
  <si>
    <t>G</t>
  </si>
  <si>
    <t>H</t>
  </si>
  <si>
    <t>I</t>
  </si>
  <si>
    <t>J</t>
  </si>
  <si>
    <t>K</t>
  </si>
  <si>
    <t>L</t>
  </si>
  <si>
    <t>M</t>
  </si>
  <si>
    <t>N</t>
  </si>
  <si>
    <t>O</t>
  </si>
  <si>
    <t>P</t>
  </si>
  <si>
    <t>Q</t>
  </si>
  <si>
    <t>R</t>
  </si>
  <si>
    <t>S</t>
  </si>
  <si>
    <t>T</t>
  </si>
  <si>
    <t>U</t>
  </si>
  <si>
    <t>W</t>
  </si>
  <si>
    <t xml:space="preserve">V </t>
  </si>
  <si>
    <t>X</t>
  </si>
  <si>
    <t>Z</t>
  </si>
  <si>
    <t>AA</t>
  </si>
  <si>
    <t>AB</t>
  </si>
  <si>
    <t>AC</t>
  </si>
  <si>
    <t>AF</t>
  </si>
  <si>
    <t>AG</t>
  </si>
  <si>
    <t>AK</t>
  </si>
  <si>
    <t>AL</t>
  </si>
  <si>
    <t>AM</t>
  </si>
  <si>
    <t>AN</t>
  </si>
  <si>
    <t>AO</t>
  </si>
  <si>
    <t>AP</t>
  </si>
  <si>
    <t>AQ</t>
  </si>
  <si>
    <t>AR</t>
  </si>
  <si>
    <t>AS</t>
  </si>
  <si>
    <t>AT</t>
  </si>
  <si>
    <t>AU</t>
  </si>
  <si>
    <t>AV</t>
  </si>
  <si>
    <t>AW</t>
  </si>
  <si>
    <t>AX</t>
  </si>
  <si>
    <r>
      <t>The top pull-down boxes will convert   1-hr to 1-min windspeed using: V</t>
    </r>
    <r>
      <rPr>
        <vertAlign val="subscript"/>
        <sz val="10"/>
        <rFont val="Arial"/>
        <family val="2"/>
      </rPr>
      <t>1-min</t>
    </r>
    <r>
      <rPr>
        <sz val="10"/>
        <rFont val="Arial"/>
      </rPr>
      <t>=V</t>
    </r>
    <r>
      <rPr>
        <vertAlign val="subscript"/>
        <sz val="10"/>
        <rFont val="Arial"/>
        <family val="2"/>
      </rPr>
      <t>1-hr</t>
    </r>
    <r>
      <rPr>
        <sz val="10"/>
        <rFont val="Arial"/>
      </rPr>
      <t>((1.007+0.004331 V</t>
    </r>
    <r>
      <rPr>
        <vertAlign val="subscript"/>
        <sz val="10"/>
        <rFont val="Arial"/>
        <family val="2"/>
      </rPr>
      <t>1-hr</t>
    </r>
    <r>
      <rPr>
        <sz val="10"/>
        <rFont val="Arial"/>
      </rPr>
      <t>) where V in m/sec; V</t>
    </r>
    <r>
      <rPr>
        <vertAlign val="subscript"/>
        <sz val="10"/>
        <rFont val="Arial"/>
        <family val="2"/>
      </rPr>
      <t>1-min</t>
    </r>
    <r>
      <rPr>
        <sz val="10"/>
        <rFont val="Arial"/>
      </rPr>
      <t>=V</t>
    </r>
    <r>
      <rPr>
        <vertAlign val="subscript"/>
        <sz val="10"/>
        <rFont val="Arial"/>
        <family val="2"/>
      </rPr>
      <t>1-hr</t>
    </r>
    <r>
      <rPr>
        <sz val="10"/>
        <rFont val="Arial"/>
      </rPr>
      <t>((1.007+0.002228 V</t>
    </r>
    <r>
      <rPr>
        <vertAlign val="subscript"/>
        <sz val="10"/>
        <rFont val="Arial"/>
        <family val="2"/>
      </rPr>
      <t>1-hr)</t>
    </r>
    <r>
      <rPr>
        <sz val="10"/>
        <rFont val="Arial"/>
      </rPr>
      <t xml:space="preserve"> where V in knots; V</t>
    </r>
    <r>
      <rPr>
        <vertAlign val="subscript"/>
        <sz val="10"/>
        <rFont val="Arial"/>
        <family val="2"/>
      </rPr>
      <t>1-min</t>
    </r>
    <r>
      <rPr>
        <sz val="10"/>
        <rFont val="Arial"/>
      </rPr>
      <t>=V</t>
    </r>
    <r>
      <rPr>
        <vertAlign val="subscript"/>
        <sz val="10"/>
        <rFont val="Arial"/>
        <family val="2"/>
      </rPr>
      <t>1-hr</t>
    </r>
    <r>
      <rPr>
        <sz val="10"/>
        <rFont val="Arial"/>
      </rPr>
      <t>(1.007+0.001320 V</t>
    </r>
    <r>
      <rPr>
        <vertAlign val="subscript"/>
        <sz val="10"/>
        <rFont val="Arial"/>
        <family val="2"/>
      </rPr>
      <t>1-hr</t>
    </r>
    <r>
      <rPr>
        <sz val="10"/>
        <rFont val="Arial"/>
      </rPr>
      <t>) where V in ft/sec. This may not always be the appropriate figure but  the user can input the 1-min mean wind speed directly in that case so no conversion will take place.  The bottom figure makes the conversion from ft/sec or meters/sec to knots.</t>
    </r>
  </si>
  <si>
    <t>Leg length is used to ensure sufficient leg at location incl. reserve. For a mat jackup the leg length is measured to the bottom of the mat to ensure leg length calculation is correct on "Structure Worksheet"</t>
  </si>
  <si>
    <t>Reserve of Leg (ft)</t>
  </si>
  <si>
    <t>The location is in the Int-Met boundaries but in non-applicable area of API Int-Met?</t>
  </si>
  <si>
    <t>Critical Facilities are defined as those with production &gt; 50000 bopd. Major Hub Structures have a throughput of &gt;50000 bopd.</t>
  </si>
  <si>
    <t>The value selected here or specified value recorded is transferred to the Assessment Results to state the Drilling Contractor's Survival Case.  Pre-Ivan standards point to an accpetable 10-year return period without consideration of  High or Medium Consequence locations.</t>
  </si>
  <si>
    <t xml:space="preserve">The Consequences from Infrastructure is copied from the Leaseholder Provided data (sheet).  The color is determined Green=Low, Yellow = Medium or  Red= High Consequences. </t>
  </si>
  <si>
    <t xml:space="preserve">                          How will you comply w/ Airgap Requirement?</t>
  </si>
  <si>
    <t>10-Yr Site Seasonal</t>
  </si>
  <si>
    <t>50-Yr Site Seasonal</t>
  </si>
  <si>
    <t>100-Yr Site Seasonal</t>
  </si>
  <si>
    <t>50-Yr Site Specific</t>
  </si>
  <si>
    <t>100-Yr Site Specific</t>
  </si>
  <si>
    <t>HIGH CONSEQUENCE</t>
  </si>
  <si>
    <t xml:space="preserve">If this Number of High Consequence items is =1 or more the location is designated as HIGH Consequence based on the given criteria. </t>
  </si>
  <si>
    <t>Total Number of High Consequence Items</t>
  </si>
  <si>
    <t xml:space="preserve">The leaseholder here may explain how the site should be designated differently than determined by the criteria set out because of mitigating factors.  In order to do that it is required to give the explanation and then ensure that the Total Number of High Consequence Items is set to 0 over-riding the summation in the box. </t>
  </si>
  <si>
    <t>Information on Calculation Requirements for High Consequence</t>
  </si>
  <si>
    <t xml:space="preserve">Note: for Low Consequence locations engineering judgment estimates can be made from previous studies, knowledge of rig design values etc. but for High and Medium Consequence sites a calculation is required for the site conditions. </t>
  </si>
  <si>
    <t>MEDIUM CONSEQUENCE</t>
  </si>
  <si>
    <t>Total Number of Medium Consequence Items</t>
  </si>
  <si>
    <t xml:space="preserve">If this Number of Medium Consequence items is =1 or more the location is designated as MEDIUM Consequence based on the given criteria. </t>
  </si>
  <si>
    <t xml:space="preserve">The leaseholder here may explain how the site was designated differently than determined by the criteria set out because of mitigating factors. In order to do that it is required to give the explanation and then ensure that the Total Number of Medium Consequence Items is set to 0 over-riding the summation in the box. </t>
  </si>
  <si>
    <t>Information on Calculation Requirements for Medium Consequence</t>
  </si>
  <si>
    <t>LOW CONSEQUENCE</t>
  </si>
  <si>
    <t xml:space="preserve">Consequence Summation for this Location from Above and Further Explanation of any consequence of movement </t>
  </si>
  <si>
    <t xml:space="preserve">The results of the foregoing tabulation of high and medium Consequence situations is summarized and an explanation of the consequences of any movement stated: (e.g. Movement could shear conductor but fluids held by SSV; cantilever retracted so no damage to platform valves if live): </t>
  </si>
  <si>
    <t xml:space="preserve">The distance between  the information source and the required site has been set at a max of 1000 ft as a screening tool. Depending on the site and Consequence level, the distance may need to be decreased for the site specific location or for future revisions. </t>
  </si>
  <si>
    <t>Leaseholder: 1</t>
  </si>
  <si>
    <t xml:space="preserve">Drawing #, Revision &amp; Date for Infrastructure Chart (if Submitted)  </t>
  </si>
  <si>
    <t xml:space="preserve">Drawing #,  Revision &amp; Date for Infrastructure Chart (if Submitted)  </t>
  </si>
  <si>
    <t>Description of Critical Items: LEASEHOLDER SUPPLIED INFORMATION</t>
  </si>
  <si>
    <t>SUMMARY INFORMATION: LEASEHOLDER SUPPLIED INFORMATION</t>
  </si>
  <si>
    <t>NTL 2008-G10 Requirements: LEASEHOLDER SUPPLIED INFORMATION</t>
  </si>
  <si>
    <t>Overall Information:  LEASEHOLDER SUPPLIED INFORMATION</t>
  </si>
  <si>
    <t>Overall Information - Independent Leg Units Only:  LEASEHOLDER SUPPLIED INFORMATION</t>
  </si>
  <si>
    <t>Airgap Compliance with Int-Met and no Contingency or Settlement</t>
  </si>
  <si>
    <t>Year the Site Geotechnical Information was obtained at the proposed site  (YYYY)</t>
  </si>
  <si>
    <t xml:space="preserve"> Leaseholder Provided Data sheet</t>
  </si>
  <si>
    <t xml:space="preserve">Scour was previously screened as important if the soil was sand and there is a potential for high currents or a breaking wave.  This may be an insufficient criteria for owners. </t>
  </si>
  <si>
    <t>AY</t>
  </si>
  <si>
    <t>AZ</t>
  </si>
  <si>
    <t>BA</t>
  </si>
  <si>
    <t>BB</t>
  </si>
  <si>
    <t>Criteria Selection Geotech</t>
  </si>
  <si>
    <t>Mesotech Supplied?</t>
  </si>
  <si>
    <t>Jackkup here before</t>
  </si>
  <si>
    <t>Jackup history</t>
  </si>
  <si>
    <t>Airgap Compliance</t>
  </si>
  <si>
    <t>Punchthru going ON</t>
  </si>
  <si>
    <t>Survival Case</t>
  </si>
  <si>
    <t>&lt; 4 ft settlement</t>
  </si>
  <si>
    <t>Tie Seismic?</t>
  </si>
  <si>
    <t>Load -Pen Curve</t>
  </si>
  <si>
    <t>Is Punchthrough expected on  Location during storm?</t>
  </si>
  <si>
    <t>Geotech &gt; mat width</t>
  </si>
  <si>
    <t>Struct. Case#4</t>
  </si>
  <si>
    <t>Str. Case #5</t>
  </si>
  <si>
    <t>Sand under can</t>
  </si>
  <si>
    <t>How many Offshore Terminals or similar structures within 2 miles (e.g. LNG Offloading/ LOOP Facility)?</t>
  </si>
  <si>
    <t xml:space="preserve">NTL 2008-G10 Information:  (Currently Considered Optional) </t>
  </si>
  <si>
    <t>NTL 2008-G10 Optional Information:</t>
  </si>
  <si>
    <t>Assessment- Surface</t>
  </si>
  <si>
    <t>FROM OPTIONAL NTL WORKSHEET</t>
  </si>
  <si>
    <t>Geotech good enough?</t>
  </si>
  <si>
    <t>Overall Information - Independent Leg Units Only</t>
  </si>
  <si>
    <t xml:space="preserve">What is the proposed depth below mudline of your storm packer? (feet) </t>
  </si>
  <si>
    <t xml:space="preserve">Days on Location </t>
  </si>
  <si>
    <t xml:space="preserve">On Location during Hurricane Season? </t>
  </si>
  <si>
    <t xml:space="preserve">On Location during PEAK Hurricane Season? </t>
  </si>
  <si>
    <t xml:space="preserve">Year Jack-Up was built </t>
  </si>
  <si>
    <t xml:space="preserve">Maximum Design Water Depth (feet) </t>
  </si>
  <si>
    <t>McClelland Engineers 1979 - Strength Characteristics of the Near Seafloor Continental Shelf Deposits of Northern Central Gulf of Mexico.</t>
  </si>
  <si>
    <t xml:space="preserve">Max.  Design Water Depth (feet) </t>
  </si>
  <si>
    <t>Don't Know</t>
  </si>
  <si>
    <t>Comments</t>
  </si>
  <si>
    <t>The Waterdepth is used throughout and is used in deriving the metocean values from Int-Met, as well as determining some areas of Int-Met validity; the airgap etc. The lowest waterdepth limit is 40 ft. below which neither API 95J nor Int-Met are valid, though much of the rest of the spreadsheet is useable</t>
  </si>
  <si>
    <t>Calculated</t>
  </si>
  <si>
    <t xml:space="preserve">The OCS location (Location Area and Blockonly - not Longitude) is compared to the mudslide map. If the location is within the mudslide area a flag advises that a mudslide expert report is needed to further determine the Consequence of a mudslide on that location. An Explanation is requested to explain to action / and report. </t>
  </si>
  <si>
    <t>(Results from Structure worksheet)</t>
  </si>
  <si>
    <t xml:space="preserve">Leaseholder Data </t>
  </si>
  <si>
    <t>(Result from Leaseholder Data worksheet)</t>
  </si>
  <si>
    <t xml:space="preserve"> (Result from Longitude value)</t>
  </si>
  <si>
    <t xml:space="preserve">A calculated Load-Penetration curve is a first step to understanding the basis of the potential settlement issue.  The submission of the Load-Penetration curve is to look at the </t>
  </si>
  <si>
    <t>Leaseholder 10:</t>
  </si>
  <si>
    <t>Leaseholder 11:</t>
  </si>
  <si>
    <t xml:space="preserve">Leaseholder 12: </t>
  </si>
  <si>
    <t>Leaseholder 13:</t>
  </si>
  <si>
    <t xml:space="preserve">If Consequence Level was downgraded either from High or Medium to a lower Value, the explanation is as follows: </t>
  </si>
  <si>
    <t>If there are mitigating factors that would downgrade the consequences e.g. 12" pipeline flow is reduced or pipeline is abandoned:   Please Explain : or type NONE</t>
  </si>
  <si>
    <t>NONE</t>
  </si>
  <si>
    <t xml:space="preserve">If there are mitigating factors that would downgrade the consequences e.g. Critical facility is not on line:   Please Explain: or type NONE  </t>
  </si>
  <si>
    <t xml:space="preserve">Geotech 10: </t>
  </si>
  <si>
    <t>Geotech 3:</t>
  </si>
  <si>
    <t>Geotech 4: this is ind leg</t>
  </si>
  <si>
    <t>Geotech 7:</t>
  </si>
  <si>
    <t xml:space="preserve">Geotech 8:  </t>
  </si>
  <si>
    <t xml:space="preserve">Geotech 9: </t>
  </si>
  <si>
    <t xml:space="preserve">    </t>
  </si>
  <si>
    <t>Proposed depth below mudline of storm packer? (feet)</t>
  </si>
  <si>
    <t xml:space="preserve">Airgap Compliance with Site-Specific Data? </t>
  </si>
  <si>
    <t>Optional Worksheet: on NTL G10 Information</t>
  </si>
  <si>
    <t>Dates for  Season</t>
  </si>
  <si>
    <t xml:space="preserve">Coord. </t>
  </si>
  <si>
    <t>Soil&lt;100 psf</t>
  </si>
  <si>
    <t>Overall Information - Mat Units Only</t>
  </si>
  <si>
    <t xml:space="preserve">How Far Away from the Center of the Rig was the geotechnical information?  (ft)        </t>
  </si>
  <si>
    <t xml:space="preserve">Medium Risk </t>
  </si>
  <si>
    <t>Has there been a jack-up operating at this location before?</t>
  </si>
  <si>
    <t>Jack-up Checksheet</t>
  </si>
  <si>
    <t>Jack-up Name:</t>
  </si>
  <si>
    <t>Jack-up Owner:</t>
  </si>
  <si>
    <t xml:space="preserve">                                                Jack-up Checksheet</t>
  </si>
  <si>
    <t>Jack-up Rig Information Worksheet - and Pre-Structural Evaluation</t>
  </si>
  <si>
    <t>Jack-up Checklist</t>
  </si>
  <si>
    <t>Maximum Design Operating Waterdepth  (ft)</t>
  </si>
  <si>
    <t>Jack-up Checksheet: Minerals Management Service</t>
  </si>
  <si>
    <t>Mat Jack-up Only</t>
  </si>
  <si>
    <t>Independent Leg Jack-up Only</t>
  </si>
  <si>
    <t>ASSESSMENT RESULTS</t>
  </si>
  <si>
    <t>NTL 2008-G05 Shallow Hazards Program - April 1, 2008, to  March 31, 2013</t>
  </si>
  <si>
    <t>Criteria Selection Operator</t>
  </si>
  <si>
    <t xml:space="preserve">Date on which Leaseholder Information completed  </t>
  </si>
  <si>
    <t>Approximate Methods not Allowed - Formal Calcuation Required.</t>
  </si>
  <si>
    <t>Sufficient</t>
  </si>
  <si>
    <t>Scour Ind Leg Units</t>
  </si>
  <si>
    <t>Sand &lt;150 ft</t>
  </si>
  <si>
    <t xml:space="preserve">Operator minimum required  Survival Storm (Full Population) was: </t>
  </si>
  <si>
    <t>"Number of Items"</t>
  </si>
  <si>
    <t>Rigorous Calculations Required: Approximate Methods not allowed</t>
  </si>
  <si>
    <t>What Return Period was selected by Drilling Contractor for the  Survival  Case?</t>
  </si>
  <si>
    <t>N/A</t>
  </si>
  <si>
    <t xml:space="preserve">The selected Survival Case used for Calculation (drilling contractor) was:     </t>
  </si>
  <si>
    <t xml:space="preserve">The Soil at location is described as: </t>
  </si>
  <si>
    <t>password</t>
  </si>
  <si>
    <t>Airgap Compliance with API  Int-Met without Contingency</t>
  </si>
  <si>
    <t>Str Method</t>
  </si>
  <si>
    <t xml:space="preserve">Airgap Compliance with Site Specific Data? </t>
  </si>
  <si>
    <t>Structure Factor 1</t>
  </si>
  <si>
    <t>Structure Factor 2</t>
  </si>
  <si>
    <t>Estimated *</t>
  </si>
  <si>
    <t>Calculated *</t>
  </si>
  <si>
    <t>No Info *</t>
  </si>
  <si>
    <t>Description of Soil at Location</t>
  </si>
  <si>
    <t>Strength below Spud Can Sufficient</t>
  </si>
  <si>
    <t xml:space="preserve">Reserve of Leg at this Location </t>
  </si>
  <si>
    <t xml:space="preserve">              Jack-up Checksheet</t>
  </si>
  <si>
    <r>
      <t>If jack-up is working in an area (2 mi) where H</t>
    </r>
    <r>
      <rPr>
        <vertAlign val="subscript"/>
        <sz val="10"/>
        <rFont val="Arial"/>
        <family val="2"/>
      </rPr>
      <t>2</t>
    </r>
    <r>
      <rPr>
        <sz val="10"/>
        <rFont val="Arial"/>
      </rPr>
      <t>S is expected - type "1", otherwise type "0".</t>
    </r>
  </si>
  <si>
    <t xml:space="preserve">How Many Major Pipelines (= or &gt; 10" diam.) are &lt;200 yards of the jack-up? </t>
  </si>
  <si>
    <t>10 yr Site Specific</t>
  </si>
  <si>
    <t>Basis of Soil Information and year obtained. and Suitability</t>
  </si>
  <si>
    <t>Does the Jack-Up meet the requirements of the Contingency curve with NO settlement?</t>
  </si>
  <si>
    <t>Red Flag warning - or requiring Explanation</t>
  </si>
  <si>
    <t>GoM Annex Information  &amp;  Survival Case Selection</t>
  </si>
  <si>
    <t>Maximum Environmental Information:  (may be contained in Marine Operating Manual) referred herein as "Benchmark" Cases (Optional)</t>
  </si>
  <si>
    <t xml:space="preserve">It is important to note who completed the Checksheet /or approved it so that if questions arise there is an opportunity to have further dialog. </t>
  </si>
  <si>
    <t xml:space="preserve">The location (Lot and Block) is used to screen for applicability of Bulletin 2 Int-Met since some areas are excluded; and to check if the jackup is in the Mudslide Zone. </t>
  </si>
  <si>
    <t>The basis of the soil assumption was selected on the Leaseholder Provided Data worksheet and is repeated here for review with the Geotech information.</t>
  </si>
  <si>
    <t>m/sec</t>
  </si>
  <si>
    <t>Wind Speed 1 Min Mean</t>
  </si>
  <si>
    <t>25 Year Hmax Int-Met (ft)</t>
  </si>
  <si>
    <t>1-min Wind 10 Yr (kts)</t>
  </si>
  <si>
    <t>1-min Wind 50 Yr (kts)</t>
  </si>
  <si>
    <t>1-min Wind 100 Yr (kts)</t>
  </si>
  <si>
    <t>Assessment 1-min mean  (kts)</t>
  </si>
  <si>
    <t>Winter Storm 1-min mean  (kts)</t>
  </si>
  <si>
    <t>If input is ft/sec or m/sec the conversion to knots takes place based on this pull-down menu</t>
  </si>
  <si>
    <t>There are 3 possible compliance gates for airgap: API 95J, Int-Met with and without contingencies; and Site Specific data</t>
  </si>
  <si>
    <t xml:space="preserve">Overview of the anticipation that life-safety issues have been complied with. The survivability is for an abandoned jack-up and asked about below. </t>
  </si>
  <si>
    <t>Soil Proviced is sufficient</t>
  </si>
  <si>
    <t>The longitude together with the waterdepth  determines the Int-Met values.  No check is made as to whether the OCS Block is compatible with this value</t>
  </si>
  <si>
    <t>The reserve of leg is calculated on the Structure Worksheet and copied here. Cell is Green if the leg length is sufficient, Red if it is not.  The requirement includes a 6 ft reserve.</t>
  </si>
  <si>
    <t xml:space="preserve">This question determines whether the responder is of the opinion that the information supplied is sufficient for the location.  It may be that the responder intends to take soil measurements on location or there may be other appropriate explanations. </t>
  </si>
  <si>
    <t>It has generally been agreed that more than 4 ft of settlement in a demanning situation is the extreme case. For survivability it has been agreed that more than 6 ft of settlement would likely result in further deterioration and ultimate demise of the jack-up. (6 ft was the reported settlement on the GSF High Island 2 after Hurricane Rita).</t>
  </si>
  <si>
    <t xml:space="preserve">It is important to note who completed the Checksheet / or approved it, so that if questions arise there is an opportunity to have further dialog. </t>
  </si>
  <si>
    <t>API Int-Met w/Contingency</t>
  </si>
  <si>
    <t>API Int-Met w/o Contingency</t>
  </si>
  <si>
    <t>With Contingency contains figures of 5%: API 95J recommends 3%-5% and a 4 ft settlement. If neither of those applies the number without Contingency is used.</t>
  </si>
  <si>
    <t>Contingency Factor on Wave</t>
  </si>
  <si>
    <t>Contingency 3%-5%</t>
  </si>
  <si>
    <t xml:space="preserve">This figure contains the airgap with no contingency for wave or settlement. </t>
  </si>
  <si>
    <t xml:space="preserve">This figure is ignored if Site Specific data is not used. </t>
  </si>
  <si>
    <t>The numbers for Int-Met data for the applicable region are given alongside the Site Specific numbers for logical comparison.</t>
  </si>
  <si>
    <t>Int- Met Wind Speed</t>
  </si>
  <si>
    <t>Optional 1:</t>
  </si>
  <si>
    <t xml:space="preserve">Optional 2: </t>
  </si>
  <si>
    <t xml:space="preserve">Optional 3: </t>
  </si>
  <si>
    <t>Structure 1:</t>
  </si>
  <si>
    <t>The Survival case used here is the Drilling Contractor's survival case. It has been assumed that the drilling contractor will be completing the calculations. On the Assessment Results worksheet if the Leaseholder requirement is higher -it is noted. If another Specified Survival case is used then the details are noted.  The return period should be noted.</t>
  </si>
  <si>
    <t>Note: Assessment Case compliance is reported since this is expected to be a manned condition with demanning underway.</t>
  </si>
  <si>
    <t>This information is provided for comparative purposes only.</t>
  </si>
  <si>
    <t>Rev: 11
Optional page N/A added to options Yes/No.  - Reporting of optional issues delete from Assessment page. 
Structural question after establishing class -removed since structure is USCG issue.
Add comment to characterize estimate and calculations in Structural Factor. 
Location:: Brackets around scour issue  (Max bearing area of spud can + 5ft on sand)  for clarity
Location: note added to explain answer after mat rig on &lt;100 psf shear strength.
Metociean: Max W.D. Rating removed from metocean page - irrelevant
Genotech: Remove requirement for FofS of 1.2 in Survival storm on sand - FofS for Survival is 1.0.</t>
  </si>
  <si>
    <t xml:space="preserve">An option is provided based to associate the site specific data with a different return period event. Based on the stakeholders' view of risk a return period can be selected as any value and thus its value is recorded here. </t>
  </si>
  <si>
    <t>Sufficient Airgap for API  95J?</t>
  </si>
  <si>
    <t xml:space="preserve">If Airgap is insufficient (negative number) then depending on the method of airgap compliance it may be possible to decrease the requirement by going to site specific data, or possibly to Int-Met compliance if API 95J is not achieved. (It may be prudent in some locations to use a lower airgap since some risks increase with higher airgap). </t>
  </si>
  <si>
    <t xml:space="preserve">This location provides a flag if the jack-up is in the highest seasonal risk area and time; If it is possible to mitigate the risk by drilling at an alternative time - an opportunity has been provided for commenting on this: if not, the questions proceed.  The comment may be a simple "NO". </t>
  </si>
  <si>
    <t>API 95J calls for information on the location if a jack-up has operated there before. Such information may include location, penetrations and footprint dimensions. Any anomalies left by the previous rig's operations should be provided.</t>
  </si>
  <si>
    <t xml:space="preserve">This information is requested because the surface soils may have changed for surface soils (mat rigs) and measurement techniques may have changed.  No specific requirements are made other than provision of the date when the information was obtained at site.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</si>
</sst>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5" formatCode="0.0"/>
    <numFmt numFmtId="170" formatCode="[$-409]d\-mmm;@"/>
    <numFmt numFmtId="172" formatCode="0\ &quot;feet&quot;"/>
    <numFmt numFmtId="174" formatCode="[$-409]d\-mmm\-yy;@"/>
  </numFmts>
  <fonts count="42" x14ac:knownFonts="1">
    <font>
      <sz val="10"/>
      <name val="Arial"/>
    </font>
    <font>
      <sz val="10"/>
      <name val="Arial"/>
    </font>
    <font>
      <sz val="8"/>
      <name val="Tahoma"/>
      <family val="2"/>
    </font>
    <font>
      <sz val="10"/>
      <color indexed="10"/>
      <name val="Arial"/>
    </font>
    <font>
      <sz val="8"/>
      <name val="Arial"/>
    </font>
    <font>
      <u/>
      <sz val="10"/>
      <color indexed="12"/>
      <name val="Arial"/>
    </font>
    <font>
      <b/>
      <sz val="10"/>
      <name val="Arial"/>
      <family val="2"/>
    </font>
    <font>
      <sz val="10"/>
      <name val="Times New Roman"/>
      <family val="1"/>
    </font>
    <font>
      <b/>
      <sz val="12"/>
      <name val="Arial"/>
      <family val="2"/>
    </font>
    <font>
      <b/>
      <i/>
      <sz val="10"/>
      <name val="Arial"/>
      <family val="2"/>
    </font>
    <font>
      <i/>
      <sz val="10"/>
      <name val="Arial"/>
      <family val="2"/>
    </font>
    <font>
      <b/>
      <sz val="10"/>
      <color indexed="10"/>
      <name val="Arial"/>
      <family val="2"/>
    </font>
    <font>
      <sz val="10"/>
      <name val="Arial"/>
      <family val="2"/>
    </font>
    <font>
      <sz val="12"/>
      <name val="Times New Roman"/>
      <family val="1"/>
    </font>
    <font>
      <sz val="8"/>
      <name val="Arial"/>
      <family val="2"/>
    </font>
    <font>
      <sz val="10"/>
      <color indexed="55"/>
      <name val="Arial"/>
    </font>
    <font>
      <sz val="10"/>
      <color indexed="9"/>
      <name val="Arial"/>
    </font>
    <font>
      <sz val="10"/>
      <color indexed="10"/>
      <name val="Times New Roman"/>
      <family val="1"/>
    </font>
    <font>
      <sz val="10"/>
      <color indexed="12"/>
      <name val="Arial"/>
    </font>
    <font>
      <b/>
      <sz val="10"/>
      <color indexed="12"/>
      <name val="Arial"/>
      <family val="2"/>
    </font>
    <font>
      <sz val="10"/>
      <name val="Arial"/>
    </font>
    <font>
      <sz val="9"/>
      <name val="Courier New"/>
      <family val="3"/>
    </font>
    <font>
      <b/>
      <sz val="9"/>
      <name val="Courier New"/>
      <family val="3"/>
    </font>
    <font>
      <b/>
      <sz val="10"/>
      <name val="Times New Roman"/>
      <family val="1"/>
    </font>
    <font>
      <b/>
      <sz val="10"/>
      <color indexed="61"/>
      <name val="Arial"/>
      <family val="2"/>
    </font>
    <font>
      <b/>
      <sz val="10"/>
      <color indexed="48"/>
      <name val="Arial"/>
      <family val="2"/>
    </font>
    <font>
      <sz val="10"/>
      <color indexed="61"/>
      <name val="Arial"/>
      <family val="2"/>
    </font>
    <font>
      <sz val="18"/>
      <name val="Arial"/>
    </font>
    <font>
      <vertAlign val="subscript"/>
      <sz val="10"/>
      <name val="Arial"/>
      <family val="2"/>
    </font>
    <font>
      <sz val="11"/>
      <name val="Arial"/>
    </font>
    <font>
      <sz val="10"/>
      <name val="Courier New"/>
      <family val="3"/>
    </font>
    <font>
      <sz val="10"/>
      <color indexed="10"/>
      <name val="Arial"/>
      <family val="2"/>
    </font>
    <font>
      <sz val="9"/>
      <name val="Arial"/>
    </font>
    <font>
      <b/>
      <sz val="10"/>
      <name val="Arial"/>
    </font>
    <font>
      <sz val="10"/>
      <color indexed="9"/>
      <name val="Arial"/>
      <family val="2"/>
    </font>
    <font>
      <b/>
      <sz val="10"/>
      <color indexed="9"/>
      <name val="Arial"/>
      <family val="2"/>
    </font>
    <font>
      <b/>
      <sz val="10"/>
      <color indexed="9"/>
      <name val="Arial"/>
    </font>
    <font>
      <b/>
      <sz val="12"/>
      <color indexed="9"/>
      <name val="Arial"/>
      <family val="2"/>
    </font>
    <font>
      <b/>
      <sz val="9"/>
      <color indexed="10"/>
      <name val="Arial"/>
      <family val="2"/>
    </font>
    <font>
      <b/>
      <sz val="10"/>
      <color indexed="12"/>
      <name val="Courier New"/>
      <family val="3"/>
    </font>
    <font>
      <sz val="10"/>
      <color indexed="12"/>
      <name val="Arial"/>
      <family val="2"/>
    </font>
    <font>
      <b/>
      <sz val="14"/>
      <name val="Arial"/>
      <family val="2"/>
    </font>
  </fonts>
  <fills count="1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13"/>
        <bgColor indexed="64"/>
      </patternFill>
    </fill>
    <fill>
      <patternFill patternType="solid">
        <fgColor indexed="45"/>
        <bgColor indexed="64"/>
      </patternFill>
    </fill>
    <fill>
      <patternFill patternType="solid">
        <fgColor indexed="10"/>
        <bgColor indexed="64"/>
      </patternFill>
    </fill>
    <fill>
      <patternFill patternType="solid">
        <fgColor indexed="11"/>
        <bgColor indexed="64"/>
      </patternFill>
    </fill>
    <fill>
      <patternFill patternType="solid">
        <fgColor indexed="65"/>
        <bgColor indexed="64"/>
      </patternFill>
    </fill>
    <fill>
      <patternFill patternType="solid">
        <fgColor indexed="15"/>
        <bgColor indexed="64"/>
      </patternFill>
    </fill>
    <fill>
      <patternFill patternType="solid">
        <fgColor indexed="9"/>
        <bgColor indexed="64"/>
      </patternFill>
    </fill>
    <fill>
      <patternFill patternType="solid">
        <fgColor indexed="14"/>
        <bgColor indexed="64"/>
      </patternFill>
    </fill>
    <fill>
      <patternFill patternType="solid">
        <fgColor indexed="9"/>
        <bgColor indexed="9"/>
      </patternFill>
    </fill>
    <fill>
      <patternFill patternType="solid">
        <fgColor indexed="44"/>
        <bgColor indexed="64"/>
      </patternFill>
    </fill>
    <fill>
      <patternFill patternType="solid">
        <fgColor indexed="15"/>
        <bgColor indexed="9"/>
      </patternFill>
    </fill>
    <fill>
      <patternFill patternType="solid">
        <fgColor indexed="13"/>
        <bgColor indexed="9"/>
      </patternFill>
    </fill>
    <fill>
      <patternFill patternType="solid">
        <fgColor indexed="44"/>
        <bgColor indexed="9"/>
      </patternFill>
    </fill>
  </fills>
  <borders count="95">
    <border>
      <left/>
      <right/>
      <top/>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double">
        <color indexed="64"/>
      </left>
      <right/>
      <top/>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diagonal/>
    </border>
    <border>
      <left style="double">
        <color indexed="64"/>
      </left>
      <right/>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double">
        <color indexed="64"/>
      </left>
      <right style="double">
        <color indexed="64"/>
      </right>
      <top style="double">
        <color indexed="64"/>
      </top>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double">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ashed">
        <color indexed="64"/>
      </right>
      <top style="double">
        <color indexed="64"/>
      </top>
      <bottom style="dashed">
        <color indexed="64"/>
      </bottom>
      <diagonal/>
    </border>
    <border>
      <left style="dashed">
        <color indexed="64"/>
      </left>
      <right style="dashed">
        <color indexed="64"/>
      </right>
      <top style="double">
        <color indexed="64"/>
      </top>
      <bottom style="dashed">
        <color indexed="64"/>
      </bottom>
      <diagonal/>
    </border>
    <border>
      <left style="dashed">
        <color indexed="64"/>
      </left>
      <right style="double">
        <color indexed="64"/>
      </right>
      <top style="double">
        <color indexed="64"/>
      </top>
      <bottom style="dashed">
        <color indexed="64"/>
      </bottom>
      <diagonal/>
    </border>
    <border>
      <left style="double">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uble">
        <color indexed="64"/>
      </right>
      <top style="dashed">
        <color indexed="64"/>
      </top>
      <bottom style="dashed">
        <color indexed="64"/>
      </bottom>
      <diagonal/>
    </border>
    <border>
      <left style="dashed">
        <color indexed="64"/>
      </left>
      <right style="double">
        <color indexed="64"/>
      </right>
      <top style="dashed">
        <color indexed="64"/>
      </top>
      <bottom style="double">
        <color indexed="64"/>
      </bottom>
      <diagonal/>
    </border>
    <border>
      <left style="double">
        <color indexed="64"/>
      </left>
      <right style="dashed">
        <color indexed="64"/>
      </right>
      <top style="dashed">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uble">
        <color indexed="64"/>
      </top>
      <bottom style="double">
        <color indexed="64"/>
      </bottom>
      <diagonal/>
    </border>
    <border>
      <left style="double">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dashed">
        <color indexed="64"/>
      </left>
      <right style="dashed">
        <color indexed="64"/>
      </right>
      <top style="dashed">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double">
        <color indexed="64"/>
      </right>
      <top/>
      <bottom/>
      <diagonal/>
    </border>
    <border>
      <left style="thin">
        <color indexed="64"/>
      </left>
      <right/>
      <top style="double">
        <color indexed="64"/>
      </top>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212">
    <xf numFmtId="0" fontId="0" fillId="0" borderId="0" xfId="0"/>
    <xf numFmtId="0" fontId="0" fillId="0" borderId="1" xfId="0" applyBorder="1"/>
    <xf numFmtId="0" fontId="0" fillId="0" borderId="2" xfId="0" applyBorder="1"/>
    <xf numFmtId="0" fontId="0" fillId="0" borderId="3" xfId="0" applyBorder="1"/>
    <xf numFmtId="0" fontId="0" fillId="0" borderId="0" xfId="0" applyFill="1" applyBorder="1"/>
    <xf numFmtId="0" fontId="0" fillId="2" borderId="4" xfId="0" applyFill="1" applyBorder="1"/>
    <xf numFmtId="0" fontId="0" fillId="2" borderId="5" xfId="0" applyFill="1" applyBorder="1"/>
    <xf numFmtId="0" fontId="0" fillId="0" borderId="6" xfId="0" applyBorder="1"/>
    <xf numFmtId="0" fontId="0" fillId="0" borderId="7" xfId="0" applyBorder="1"/>
    <xf numFmtId="0" fontId="0" fillId="0" borderId="8" xfId="0" applyBorder="1"/>
    <xf numFmtId="0" fontId="0" fillId="3" borderId="4" xfId="0" applyFill="1" applyBorder="1"/>
    <xf numFmtId="0" fontId="0" fillId="3" borderId="5" xfId="0" applyFill="1" applyBorder="1"/>
    <xf numFmtId="0" fontId="0" fillId="0" borderId="9" xfId="0" applyBorder="1"/>
    <xf numFmtId="0" fontId="7" fillId="0" borderId="0" xfId="0" applyFont="1" applyFill="1" applyBorder="1" applyAlignment="1" applyProtection="1"/>
    <xf numFmtId="0" fontId="0" fillId="3" borderId="0" xfId="0" applyFill="1"/>
    <xf numFmtId="0" fontId="0" fillId="0" borderId="0" xfId="0" applyBorder="1" applyAlignment="1">
      <alignment horizontal="center"/>
    </xf>
    <xf numFmtId="0" fontId="0" fillId="0" borderId="0" xfId="0" applyBorder="1"/>
    <xf numFmtId="0" fontId="0" fillId="0" borderId="0" xfId="0" applyFill="1" applyAlignment="1">
      <alignment horizontal="center"/>
    </xf>
    <xf numFmtId="0" fontId="0" fillId="0" borderId="0" xfId="0" applyFill="1"/>
    <xf numFmtId="0" fontId="6" fillId="0" borderId="0" xfId="0" applyFont="1" applyAlignment="1">
      <alignment horizontal="center"/>
    </xf>
    <xf numFmtId="0" fontId="0" fillId="3" borderId="0" xfId="0" applyFill="1" applyBorder="1"/>
    <xf numFmtId="0" fontId="0" fillId="3" borderId="10" xfId="0" applyFill="1" applyBorder="1" applyAlignment="1">
      <alignment horizontal="center"/>
    </xf>
    <xf numFmtId="0" fontId="0" fillId="0" borderId="0" xfId="0" applyFill="1" applyBorder="1" applyAlignment="1">
      <alignment horizontal="center"/>
    </xf>
    <xf numFmtId="0" fontId="0" fillId="4" borderId="4" xfId="0" applyFill="1" applyBorder="1"/>
    <xf numFmtId="0" fontId="0" fillId="0" borderId="0" xfId="0" applyAlignment="1">
      <alignment vertical="center"/>
    </xf>
    <xf numFmtId="0" fontId="6" fillId="5" borderId="11" xfId="0" applyFont="1" applyFill="1" applyBorder="1" applyAlignment="1">
      <alignment horizontal="center" vertical="center"/>
    </xf>
    <xf numFmtId="0" fontId="0" fillId="6" borderId="12" xfId="0" applyFill="1" applyBorder="1" applyAlignment="1">
      <alignment horizontal="center" vertical="center"/>
    </xf>
    <xf numFmtId="0" fontId="0" fillId="6" borderId="12" xfId="0" applyFill="1" applyBorder="1" applyAlignment="1">
      <alignment vertical="center"/>
    </xf>
    <xf numFmtId="0" fontId="6" fillId="3" borderId="4" xfId="0" applyFont="1" applyFill="1" applyBorder="1" applyAlignment="1">
      <alignment vertic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0" fillId="0" borderId="0" xfId="0" applyAlignment="1">
      <alignment horizontal="right"/>
    </xf>
    <xf numFmtId="0" fontId="0" fillId="0" borderId="10" xfId="0" applyBorder="1"/>
    <xf numFmtId="0" fontId="0" fillId="0" borderId="14" xfId="0" applyBorder="1"/>
    <xf numFmtId="0" fontId="0" fillId="0" borderId="15" xfId="0" applyBorder="1"/>
    <xf numFmtId="0" fontId="0" fillId="0" borderId="0" xfId="0" applyBorder="1" applyAlignment="1">
      <alignment horizontal="left"/>
    </xf>
    <xf numFmtId="0" fontId="0" fillId="3" borderId="5" xfId="0" applyFill="1" applyBorder="1" applyAlignment="1">
      <alignment vertical="center"/>
    </xf>
    <xf numFmtId="0" fontId="6" fillId="3" borderId="4"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7" xfId="0" applyFont="1" applyFill="1" applyBorder="1" applyAlignment="1">
      <alignment horizontal="right" vertical="center"/>
    </xf>
    <xf numFmtId="165" fontId="6" fillId="3" borderId="5" xfId="0" applyNumberFormat="1" applyFont="1" applyFill="1" applyBorder="1" applyAlignment="1">
      <alignment horizontal="center" vertical="center"/>
    </xf>
    <xf numFmtId="165" fontId="6" fillId="3" borderId="7" xfId="0" applyNumberFormat="1" applyFont="1" applyFill="1" applyBorder="1" applyAlignment="1">
      <alignment horizontal="center" vertical="center"/>
    </xf>
    <xf numFmtId="0" fontId="12" fillId="6" borderId="16" xfId="0" applyFont="1" applyFill="1" applyBorder="1" applyAlignment="1">
      <alignment vertical="center"/>
    </xf>
    <xf numFmtId="0" fontId="12" fillId="6" borderId="17" xfId="0" applyFont="1" applyFill="1" applyBorder="1" applyAlignment="1">
      <alignment vertical="center"/>
    </xf>
    <xf numFmtId="0" fontId="12" fillId="2" borderId="18" xfId="0" applyFont="1" applyFill="1" applyBorder="1" applyAlignment="1">
      <alignment vertical="center"/>
    </xf>
    <xf numFmtId="0" fontId="12" fillId="2" borderId="19" xfId="0" applyFont="1" applyFill="1" applyBorder="1" applyAlignment="1">
      <alignment vertical="center"/>
    </xf>
    <xf numFmtId="0" fontId="12" fillId="7" borderId="20" xfId="0" applyFont="1" applyFill="1" applyBorder="1" applyAlignment="1">
      <alignment vertical="center"/>
    </xf>
    <xf numFmtId="0" fontId="12" fillId="7" borderId="21" xfId="0" applyFont="1" applyFill="1" applyBorder="1" applyAlignment="1">
      <alignment vertical="center"/>
    </xf>
    <xf numFmtId="0" fontId="12" fillId="8" borderId="20" xfId="0" applyFont="1" applyFill="1" applyBorder="1" applyAlignment="1">
      <alignment vertical="center"/>
    </xf>
    <xf numFmtId="0" fontId="12" fillId="8" borderId="21" xfId="0" applyFont="1" applyFill="1" applyBorder="1" applyAlignment="1">
      <alignment vertical="center"/>
    </xf>
    <xf numFmtId="0" fontId="0" fillId="9" borderId="0" xfId="0" applyFill="1" applyAlignment="1">
      <alignment vertical="center"/>
    </xf>
    <xf numFmtId="0" fontId="0" fillId="9" borderId="6" xfId="0" applyFill="1" applyBorder="1" applyAlignment="1">
      <alignment vertical="center"/>
    </xf>
    <xf numFmtId="0" fontId="0" fillId="9" borderId="7" xfId="0" applyFill="1" applyBorder="1" applyAlignment="1">
      <alignment horizontal="center" vertical="center"/>
    </xf>
    <xf numFmtId="0" fontId="0" fillId="9" borderId="0" xfId="0" applyFill="1" applyAlignment="1">
      <alignment horizontal="center" vertical="center" wrapText="1"/>
    </xf>
    <xf numFmtId="0" fontId="0" fillId="9" borderId="22" xfId="0" applyFill="1" applyBorder="1" applyAlignment="1">
      <alignment horizontal="center" vertical="center"/>
    </xf>
    <xf numFmtId="165" fontId="1" fillId="9" borderId="7" xfId="0" quotePrefix="1" applyNumberFormat="1" applyFont="1" applyFill="1" applyBorder="1" applyAlignment="1">
      <alignment horizontal="center" vertical="center"/>
    </xf>
    <xf numFmtId="0" fontId="0" fillId="9" borderId="22" xfId="0" quotePrefix="1" applyFill="1" applyBorder="1" applyAlignment="1">
      <alignment horizontal="center" vertical="center"/>
    </xf>
    <xf numFmtId="0" fontId="0" fillId="9" borderId="8" xfId="0" applyFill="1" applyBorder="1" applyAlignment="1">
      <alignment vertical="center" wrapText="1"/>
    </xf>
    <xf numFmtId="0" fontId="15" fillId="9" borderId="6" xfId="0" applyFont="1" applyFill="1" applyBorder="1" applyAlignment="1">
      <alignment vertical="center"/>
    </xf>
    <xf numFmtId="165" fontId="15" fillId="9" borderId="7" xfId="0" quotePrefix="1" applyNumberFormat="1" applyFont="1" applyFill="1" applyBorder="1" applyAlignment="1">
      <alignment horizontal="center" vertical="center"/>
    </xf>
    <xf numFmtId="165" fontId="3" fillId="9" borderId="0" xfId="0" quotePrefix="1" applyNumberFormat="1" applyFont="1" applyFill="1" applyAlignment="1">
      <alignment horizontal="center" vertical="center"/>
    </xf>
    <xf numFmtId="0" fontId="0" fillId="9" borderId="6" xfId="0" applyFill="1" applyBorder="1" applyAlignment="1">
      <alignment horizontal="center" vertical="center"/>
    </xf>
    <xf numFmtId="165" fontId="0" fillId="9" borderId="7" xfId="0" applyNumberFormat="1" applyFill="1" applyBorder="1" applyAlignment="1">
      <alignment horizontal="center" vertical="center"/>
    </xf>
    <xf numFmtId="0" fontId="15" fillId="9" borderId="6" xfId="0" applyFont="1" applyFill="1" applyBorder="1" applyAlignment="1">
      <alignment horizontal="center" vertical="center"/>
    </xf>
    <xf numFmtId="0" fontId="0" fillId="9" borderId="8" xfId="0" applyFill="1" applyBorder="1" applyAlignment="1">
      <alignment horizontal="center" vertical="center"/>
    </xf>
    <xf numFmtId="0" fontId="0" fillId="9" borderId="0" xfId="0" applyFill="1" applyAlignment="1">
      <alignment horizontal="center" vertical="center"/>
    </xf>
    <xf numFmtId="0" fontId="1" fillId="9" borderId="0" xfId="0" quotePrefix="1" applyFont="1" applyFill="1" applyAlignment="1">
      <alignment horizontal="center" vertical="center"/>
    </xf>
    <xf numFmtId="165" fontId="0" fillId="9" borderId="0" xfId="0" applyNumberFormat="1" applyFill="1" applyAlignment="1">
      <alignment horizontal="center" vertical="center"/>
    </xf>
    <xf numFmtId="0" fontId="0" fillId="9" borderId="0" xfId="0" applyFill="1" applyBorder="1" applyAlignment="1">
      <alignment vertical="center"/>
    </xf>
    <xf numFmtId="0" fontId="3" fillId="9" borderId="0" xfId="0" applyFont="1" applyFill="1" applyBorder="1" applyAlignment="1">
      <alignment vertical="center"/>
    </xf>
    <xf numFmtId="0" fontId="6" fillId="9" borderId="0" xfId="0" applyFont="1" applyFill="1" applyAlignment="1">
      <alignment vertical="center"/>
    </xf>
    <xf numFmtId="0" fontId="12" fillId="9" borderId="23" xfId="0" applyFont="1" applyFill="1" applyBorder="1" applyAlignment="1">
      <alignment vertical="center"/>
    </xf>
    <xf numFmtId="0" fontId="12" fillId="9" borderId="24" xfId="0" applyFont="1" applyFill="1" applyBorder="1" applyAlignment="1">
      <alignment vertical="center"/>
    </xf>
    <xf numFmtId="0" fontId="0" fillId="9" borderId="24" xfId="0" applyFill="1" applyBorder="1" applyAlignment="1">
      <alignment vertical="center"/>
    </xf>
    <xf numFmtId="0" fontId="0" fillId="9" borderId="25" xfId="0" applyFill="1" applyBorder="1" applyAlignment="1">
      <alignment vertical="center"/>
    </xf>
    <xf numFmtId="0" fontId="12" fillId="9" borderId="18" xfId="0" applyFont="1" applyFill="1" applyBorder="1" applyAlignment="1">
      <alignment vertical="center"/>
    </xf>
    <xf numFmtId="0" fontId="0" fillId="9" borderId="26" xfId="0" applyFill="1" applyBorder="1" applyAlignment="1">
      <alignment vertical="center"/>
    </xf>
    <xf numFmtId="0" fontId="12" fillId="9" borderId="0" xfId="0" applyFont="1" applyFill="1" applyAlignment="1">
      <alignment vertical="center"/>
    </xf>
    <xf numFmtId="0" fontId="12" fillId="9" borderId="16" xfId="0" applyFont="1" applyFill="1" applyBorder="1" applyAlignment="1">
      <alignment vertical="center"/>
    </xf>
    <xf numFmtId="0" fontId="0" fillId="9" borderId="27" xfId="0" applyFill="1" applyBorder="1" applyAlignment="1">
      <alignment vertical="center"/>
    </xf>
    <xf numFmtId="0" fontId="0" fillId="9" borderId="17" xfId="0" applyFill="1" applyBorder="1" applyAlignment="1">
      <alignment vertical="center"/>
    </xf>
    <xf numFmtId="0" fontId="0" fillId="9" borderId="19" xfId="0" applyFill="1" applyBorder="1" applyAlignment="1">
      <alignment vertical="center"/>
    </xf>
    <xf numFmtId="0" fontId="0" fillId="9" borderId="0" xfId="0" applyFill="1"/>
    <xf numFmtId="0" fontId="0" fillId="9" borderId="0" xfId="0" applyFill="1" applyAlignment="1">
      <alignment horizontal="center"/>
    </xf>
    <xf numFmtId="0" fontId="0" fillId="9" borderId="10" xfId="0" applyFill="1" applyBorder="1" applyAlignment="1">
      <alignment horizontal="center" vertical="center"/>
    </xf>
    <xf numFmtId="0" fontId="0" fillId="0" borderId="10" xfId="0" applyFill="1" applyBorder="1" applyAlignment="1">
      <alignment horizontal="center" vertical="center"/>
    </xf>
    <xf numFmtId="0" fontId="0" fillId="9" borderId="0" xfId="0" applyFill="1" applyAlignment="1">
      <alignment horizontal="left" vertical="center"/>
    </xf>
    <xf numFmtId="0" fontId="0" fillId="9" borderId="0" xfId="0" applyFill="1" applyBorder="1" applyAlignment="1">
      <alignment vertical="center" wrapText="1"/>
    </xf>
    <xf numFmtId="0" fontId="0" fillId="9" borderId="0" xfId="0" applyFill="1" applyBorder="1" applyAlignment="1">
      <alignment horizontal="center" vertical="center"/>
    </xf>
    <xf numFmtId="0" fontId="0" fillId="9" borderId="2" xfId="0" applyFill="1" applyBorder="1" applyAlignment="1">
      <alignment vertical="center"/>
    </xf>
    <xf numFmtId="0" fontId="12" fillId="9" borderId="6" xfId="0" applyFont="1" applyFill="1" applyBorder="1" applyAlignment="1">
      <alignment vertical="center"/>
    </xf>
    <xf numFmtId="0" fontId="6" fillId="9" borderId="12" xfId="0" applyFont="1" applyFill="1" applyBorder="1" applyAlignment="1">
      <alignment horizontal="center" vertical="center"/>
    </xf>
    <xf numFmtId="0" fontId="6" fillId="9" borderId="0" xfId="0" applyFont="1" applyFill="1" applyBorder="1" applyAlignment="1">
      <alignment horizontal="center" vertical="center"/>
    </xf>
    <xf numFmtId="0" fontId="0" fillId="9" borderId="21" xfId="0" applyFill="1" applyBorder="1" applyAlignment="1">
      <alignment vertical="center"/>
    </xf>
    <xf numFmtId="0" fontId="12" fillId="9" borderId="20" xfId="0" applyFont="1" applyFill="1" applyBorder="1" applyAlignment="1">
      <alignment vertical="center"/>
    </xf>
    <xf numFmtId="0" fontId="0" fillId="9" borderId="11" xfId="0" applyFill="1" applyBorder="1" applyAlignment="1">
      <alignment vertical="center"/>
    </xf>
    <xf numFmtId="0" fontId="6" fillId="9" borderId="0" xfId="0" applyFont="1" applyFill="1" applyBorder="1" applyAlignment="1">
      <alignment vertical="center"/>
    </xf>
    <xf numFmtId="0" fontId="0" fillId="9" borderId="0" xfId="0" applyFill="1" applyBorder="1" applyAlignment="1">
      <alignment horizontal="right" vertical="center"/>
    </xf>
    <xf numFmtId="0" fontId="0" fillId="0" borderId="28" xfId="0" applyBorder="1" applyAlignment="1">
      <alignment horizontal="right"/>
    </xf>
    <xf numFmtId="0" fontId="6" fillId="3" borderId="21" xfId="0" applyFont="1" applyFill="1" applyBorder="1" applyAlignment="1">
      <alignment horizontal="center" vertical="center" wrapText="1"/>
    </xf>
    <xf numFmtId="0" fontId="0" fillId="9" borderId="10" xfId="0" applyFill="1" applyBorder="1" applyAlignment="1">
      <alignment vertical="center" wrapText="1"/>
    </xf>
    <xf numFmtId="0" fontId="0" fillId="9" borderId="10" xfId="0" applyFill="1" applyBorder="1" applyAlignment="1">
      <alignment horizontal="right" vertical="center" wrapText="1"/>
    </xf>
    <xf numFmtId="0" fontId="0" fillId="9" borderId="10" xfId="0" quotePrefix="1" applyFill="1" applyBorder="1" applyAlignment="1">
      <alignment horizontal="right" vertical="center" wrapText="1"/>
    </xf>
    <xf numFmtId="0" fontId="6" fillId="9" borderId="0" xfId="0" applyFont="1" applyFill="1" applyAlignment="1">
      <alignment horizontal="center" vertical="center"/>
    </xf>
    <xf numFmtId="0" fontId="0" fillId="9" borderId="29" xfId="0" applyFill="1" applyBorder="1" applyAlignment="1">
      <alignment vertical="center"/>
    </xf>
    <xf numFmtId="0" fontId="0" fillId="9" borderId="1" xfId="0" applyFill="1" applyBorder="1" applyAlignment="1">
      <alignment vertical="center"/>
    </xf>
    <xf numFmtId="0" fontId="6" fillId="4" borderId="30" xfId="0" applyFont="1" applyFill="1" applyBorder="1" applyAlignment="1">
      <alignment horizontal="center" vertical="center"/>
    </xf>
    <xf numFmtId="0" fontId="6" fillId="0" borderId="0" xfId="0" applyFont="1" applyFill="1" applyBorder="1" applyAlignment="1">
      <alignment horizontal="center" vertical="center"/>
    </xf>
    <xf numFmtId="0" fontId="12" fillId="9" borderId="0" xfId="0" applyFont="1" applyFill="1" applyBorder="1" applyAlignment="1">
      <alignment vertical="center"/>
    </xf>
    <xf numFmtId="0" fontId="6" fillId="9" borderId="0" xfId="0" applyFont="1" applyFill="1" applyBorder="1" applyAlignment="1">
      <alignment horizontal="right" vertical="center"/>
    </xf>
    <xf numFmtId="0" fontId="6" fillId="3" borderId="11" xfId="0" applyFont="1" applyFill="1" applyBorder="1" applyAlignment="1">
      <alignment horizontal="center" vertical="center"/>
    </xf>
    <xf numFmtId="0" fontId="0" fillId="5" borderId="20" xfId="0" applyFill="1" applyBorder="1"/>
    <xf numFmtId="0" fontId="0" fillId="5" borderId="11" xfId="0" applyFill="1" applyBorder="1"/>
    <xf numFmtId="0" fontId="1" fillId="3" borderId="10" xfId="0" applyFont="1" applyFill="1" applyBorder="1" applyAlignment="1">
      <alignment horizontal="center"/>
    </xf>
    <xf numFmtId="0" fontId="1" fillId="3" borderId="0" xfId="0" applyFont="1" applyFill="1" applyBorder="1" applyAlignment="1">
      <alignment horizontal="center"/>
    </xf>
    <xf numFmtId="0" fontId="0" fillId="0" borderId="10" xfId="0" applyBorder="1" applyAlignment="1">
      <alignment horizontal="center"/>
    </xf>
    <xf numFmtId="0" fontId="1" fillId="0" borderId="0" xfId="0" quotePrefix="1" applyFont="1" applyBorder="1" applyAlignment="1">
      <alignment horizontal="center"/>
    </xf>
    <xf numFmtId="0" fontId="0" fillId="0" borderId="3" xfId="0" applyBorder="1" applyAlignment="1">
      <alignment horizontal="center"/>
    </xf>
    <xf numFmtId="0" fontId="0" fillId="4" borderId="13" xfId="0" applyFill="1" applyBorder="1" applyAlignment="1">
      <alignment horizontal="center"/>
    </xf>
    <xf numFmtId="0" fontId="0" fillId="4" borderId="5" xfId="0" applyFill="1" applyBorder="1" applyAlignment="1">
      <alignment horizontal="center"/>
    </xf>
    <xf numFmtId="0" fontId="0" fillId="9" borderId="6" xfId="0" applyFill="1" applyBorder="1"/>
    <xf numFmtId="0" fontId="0" fillId="9" borderId="7" xfId="0" applyFill="1" applyBorder="1"/>
    <xf numFmtId="0" fontId="1" fillId="9" borderId="7" xfId="0" applyFont="1" applyFill="1" applyBorder="1"/>
    <xf numFmtId="0" fontId="0" fillId="9" borderId="12" xfId="0" applyFill="1" applyBorder="1" applyAlignment="1">
      <alignment horizontal="center"/>
    </xf>
    <xf numFmtId="0" fontId="0" fillId="9" borderId="7" xfId="0" applyFill="1" applyBorder="1" applyAlignment="1">
      <alignment horizontal="center"/>
    </xf>
    <xf numFmtId="0" fontId="0" fillId="9" borderId="8" xfId="0" applyFill="1" applyBorder="1"/>
    <xf numFmtId="0" fontId="0" fillId="9" borderId="31" xfId="0" applyFill="1" applyBorder="1" applyAlignment="1">
      <alignment horizontal="center"/>
    </xf>
    <xf numFmtId="0" fontId="0" fillId="9" borderId="22" xfId="0" applyFill="1" applyBorder="1" applyAlignment="1">
      <alignment horizontal="center"/>
    </xf>
    <xf numFmtId="0" fontId="0" fillId="9" borderId="0" xfId="0" applyFill="1" applyAlignment="1">
      <alignment horizontal="center" wrapText="1"/>
    </xf>
    <xf numFmtId="0" fontId="0" fillId="9" borderId="0" xfId="0" applyFill="1" applyAlignment="1">
      <alignment horizontal="center" vertical="top" wrapText="1"/>
    </xf>
    <xf numFmtId="0" fontId="0" fillId="9" borderId="22" xfId="0" applyFill="1" applyBorder="1"/>
    <xf numFmtId="2" fontId="0" fillId="9" borderId="0" xfId="0" applyNumberFormat="1" applyFill="1" applyAlignment="1">
      <alignment horizontal="center" wrapText="1"/>
    </xf>
    <xf numFmtId="2" fontId="0" fillId="9" borderId="0" xfId="0" applyNumberFormat="1" applyFill="1" applyAlignment="1">
      <alignment horizontal="center"/>
    </xf>
    <xf numFmtId="2" fontId="0" fillId="9" borderId="0" xfId="0" applyNumberFormat="1" applyFill="1" applyAlignment="1">
      <alignment horizontal="left"/>
    </xf>
    <xf numFmtId="0" fontId="6" fillId="0" borderId="0" xfId="0" applyFont="1" applyFill="1"/>
    <xf numFmtId="0" fontId="0" fillId="0" borderId="6" xfId="0" applyFill="1" applyBorder="1"/>
    <xf numFmtId="0" fontId="0" fillId="0" borderId="7" xfId="0" applyFill="1" applyBorder="1"/>
    <xf numFmtId="0" fontId="0" fillId="0" borderId="12" xfId="0" applyFill="1" applyBorder="1" applyAlignment="1">
      <alignment horizontal="center"/>
    </xf>
    <xf numFmtId="0" fontId="0" fillId="0" borderId="7" xfId="0" applyFill="1" applyBorder="1" applyAlignment="1">
      <alignment horizontal="center"/>
    </xf>
    <xf numFmtId="0" fontId="6" fillId="8" borderId="32" xfId="0" applyFont="1" applyFill="1" applyBorder="1"/>
    <xf numFmtId="0" fontId="6" fillId="8" borderId="33" xfId="0" applyFont="1" applyFill="1" applyBorder="1"/>
    <xf numFmtId="0" fontId="0" fillId="0" borderId="34" xfId="0" applyFill="1" applyBorder="1"/>
    <xf numFmtId="0" fontId="0" fillId="0" borderId="35" xfId="0" applyFill="1" applyBorder="1"/>
    <xf numFmtId="0" fontId="6" fillId="5" borderId="36" xfId="0" applyFont="1" applyFill="1" applyBorder="1"/>
    <xf numFmtId="0" fontId="6" fillId="5" borderId="30" xfId="0" applyFont="1" applyFill="1" applyBorder="1"/>
    <xf numFmtId="0" fontId="0" fillId="9" borderId="37" xfId="0" applyFill="1" applyBorder="1"/>
    <xf numFmtId="0" fontId="0" fillId="9" borderId="38" xfId="0" applyFill="1" applyBorder="1"/>
    <xf numFmtId="0" fontId="0" fillId="9" borderId="34" xfId="0" applyFill="1" applyBorder="1"/>
    <xf numFmtId="0" fontId="0" fillId="9" borderId="35" xfId="0" applyFill="1" applyBorder="1"/>
    <xf numFmtId="0" fontId="0" fillId="5" borderId="36" xfId="0" applyFill="1" applyBorder="1"/>
    <xf numFmtId="0" fontId="0" fillId="5" borderId="30" xfId="0" applyFill="1" applyBorder="1"/>
    <xf numFmtId="0" fontId="0" fillId="9" borderId="39" xfId="0" applyFill="1" applyBorder="1"/>
    <xf numFmtId="0" fontId="0" fillId="0" borderId="40" xfId="0" applyBorder="1"/>
    <xf numFmtId="0" fontId="0" fillId="0" borderId="41" xfId="0" applyBorder="1"/>
    <xf numFmtId="0" fontId="0" fillId="0" borderId="42" xfId="0" applyBorder="1"/>
    <xf numFmtId="0" fontId="6" fillId="10" borderId="43" xfId="0" applyFont="1" applyFill="1" applyBorder="1" applyAlignment="1">
      <alignment horizontal="center" vertical="center"/>
    </xf>
    <xf numFmtId="0" fontId="0" fillId="11" borderId="0" xfId="0" applyFill="1" applyBorder="1" applyAlignment="1">
      <alignment vertical="center"/>
    </xf>
    <xf numFmtId="0" fontId="6" fillId="11" borderId="0" xfId="0" applyFont="1" applyFill="1" applyBorder="1" applyAlignment="1">
      <alignment horizontal="left" vertical="center"/>
    </xf>
    <xf numFmtId="0" fontId="20" fillId="0" borderId="0" xfId="0" applyFont="1" applyFill="1" applyBorder="1" applyAlignment="1">
      <alignment vertical="center"/>
    </xf>
    <xf numFmtId="0" fontId="0" fillId="9" borderId="0" xfId="0" applyFill="1" applyAlignment="1">
      <alignment horizontal="right" vertical="center"/>
    </xf>
    <xf numFmtId="0" fontId="6" fillId="9" borderId="12" xfId="0" applyFont="1" applyFill="1" applyBorder="1" applyAlignment="1">
      <alignment horizontal="left" vertical="center"/>
    </xf>
    <xf numFmtId="0" fontId="0" fillId="3" borderId="44" xfId="0" applyFill="1" applyBorder="1"/>
    <xf numFmtId="0" fontId="0" fillId="3" borderId="45" xfId="0" applyFill="1" applyBorder="1"/>
    <xf numFmtId="0" fontId="0" fillId="0" borderId="7" xfId="0" applyBorder="1" applyAlignment="1">
      <alignment horizontal="left"/>
    </xf>
    <xf numFmtId="0" fontId="0" fillId="0" borderId="38" xfId="0" applyBorder="1" applyAlignment="1">
      <alignment horizontal="left"/>
    </xf>
    <xf numFmtId="0" fontId="0" fillId="0" borderId="22" xfId="0" applyBorder="1" applyAlignment="1">
      <alignment horizontal="left"/>
    </xf>
    <xf numFmtId="0" fontId="0" fillId="3" borderId="5" xfId="0" applyFill="1" applyBorder="1" applyAlignment="1">
      <alignment horizontal="left" wrapText="1"/>
    </xf>
    <xf numFmtId="0" fontId="0" fillId="9" borderId="22" xfId="0" applyFill="1" applyBorder="1" applyAlignment="1">
      <alignment horizontal="left"/>
    </xf>
    <xf numFmtId="0" fontId="3" fillId="9" borderId="31" xfId="0" applyFont="1" applyFill="1" applyBorder="1" applyAlignment="1">
      <alignment horizontal="center" vertical="center"/>
    </xf>
    <xf numFmtId="0" fontId="12" fillId="9" borderId="14" xfId="0" applyFont="1" applyFill="1" applyBorder="1" applyAlignment="1">
      <alignment vertical="center"/>
    </xf>
    <xf numFmtId="0" fontId="12" fillId="10" borderId="20" xfId="0" applyFont="1" applyFill="1" applyBorder="1" applyAlignment="1">
      <alignment vertical="center"/>
    </xf>
    <xf numFmtId="0" fontId="12" fillId="10" borderId="21" xfId="0" applyFont="1" applyFill="1" applyBorder="1" applyAlignment="1">
      <alignment vertical="center"/>
    </xf>
    <xf numFmtId="0" fontId="6" fillId="0" borderId="0" xfId="0" applyFont="1" applyFill="1" applyBorder="1" applyAlignment="1">
      <alignment vertical="center"/>
    </xf>
    <xf numFmtId="0" fontId="0" fillId="9" borderId="23" xfId="0" applyFill="1" applyBorder="1" applyAlignment="1">
      <alignment vertical="center"/>
    </xf>
    <xf numFmtId="0" fontId="0" fillId="9" borderId="18" xfId="0" applyFill="1" applyBorder="1" applyAlignment="1">
      <alignment vertical="center"/>
    </xf>
    <xf numFmtId="0" fontId="0" fillId="9" borderId="39" xfId="0" applyFill="1" applyBorder="1" applyAlignment="1">
      <alignment horizontal="right" vertical="center" wrapText="1"/>
    </xf>
    <xf numFmtId="0" fontId="0" fillId="9" borderId="8" xfId="0" applyFill="1" applyBorder="1" applyAlignment="1">
      <alignment horizontal="right" vertical="center" wrapText="1"/>
    </xf>
    <xf numFmtId="0" fontId="0" fillId="9" borderId="6" xfId="0" applyFill="1" applyBorder="1" applyAlignment="1">
      <alignment horizontal="right" vertical="center" wrapText="1"/>
    </xf>
    <xf numFmtId="0" fontId="12" fillId="9" borderId="6" xfId="0" applyFont="1" applyFill="1" applyBorder="1" applyAlignment="1">
      <alignment horizontal="right" vertical="center"/>
    </xf>
    <xf numFmtId="0" fontId="0" fillId="9" borderId="37" xfId="0" applyFill="1" applyBorder="1" applyAlignment="1">
      <alignment horizontal="right" vertical="center"/>
    </xf>
    <xf numFmtId="0" fontId="12" fillId="9" borderId="46" xfId="0" applyFont="1" applyFill="1" applyBorder="1" applyAlignment="1">
      <alignment horizontal="right" vertical="center"/>
    </xf>
    <xf numFmtId="0" fontId="1" fillId="9" borderId="47" xfId="0" applyFont="1" applyFill="1" applyBorder="1" applyAlignment="1">
      <alignment horizontal="right" vertical="center"/>
    </xf>
    <xf numFmtId="0" fontId="7" fillId="0" borderId="7" xfId="0" applyFont="1" applyFill="1" applyBorder="1" applyAlignment="1" applyProtection="1"/>
    <xf numFmtId="0" fontId="0" fillId="0" borderId="12" xfId="0" applyBorder="1"/>
    <xf numFmtId="0" fontId="0" fillId="0" borderId="31" xfId="0" applyBorder="1"/>
    <xf numFmtId="0" fontId="0" fillId="3" borderId="4" xfId="0" applyFill="1" applyBorder="1" applyAlignment="1">
      <alignment horizontal="center"/>
    </xf>
    <xf numFmtId="0" fontId="7" fillId="0" borderId="6" xfId="0" applyFont="1" applyBorder="1" applyAlignment="1" applyProtection="1">
      <alignment horizontal="center"/>
    </xf>
    <xf numFmtId="0" fontId="7" fillId="8" borderId="4" xfId="0" applyFont="1" applyFill="1" applyBorder="1" applyAlignment="1" applyProtection="1"/>
    <xf numFmtId="0" fontId="0" fillId="8" borderId="13" xfId="0" applyFill="1" applyBorder="1"/>
    <xf numFmtId="0" fontId="0" fillId="8" borderId="5" xfId="0" applyFill="1" applyBorder="1"/>
    <xf numFmtId="0" fontId="7" fillId="0" borderId="1" xfId="0" applyFont="1" applyFill="1" applyBorder="1" applyAlignment="1" applyProtection="1"/>
    <xf numFmtId="0" fontId="0" fillId="3" borderId="48" xfId="0" applyFill="1" applyBorder="1"/>
    <xf numFmtId="0" fontId="0" fillId="3" borderId="49" xfId="0" applyFill="1" applyBorder="1" applyAlignment="1">
      <alignment horizontal="center"/>
    </xf>
    <xf numFmtId="0" fontId="7" fillId="0" borderId="50" xfId="0" applyFont="1" applyFill="1" applyBorder="1" applyAlignment="1" applyProtection="1"/>
    <xf numFmtId="0" fontId="0" fillId="3" borderId="48" xfId="0" applyFill="1" applyBorder="1" applyAlignment="1">
      <alignment horizontal="right"/>
    </xf>
    <xf numFmtId="0" fontId="0" fillId="0" borderId="51" xfId="0" applyFill="1" applyBorder="1"/>
    <xf numFmtId="0" fontId="0" fillId="0" borderId="52" xfId="0" applyFill="1" applyBorder="1"/>
    <xf numFmtId="0" fontId="0" fillId="3" borderId="48" xfId="0" applyFill="1" applyBorder="1" applyAlignment="1">
      <alignment horizontal="left"/>
    </xf>
    <xf numFmtId="0" fontId="0" fillId="4" borderId="13" xfId="0" applyFill="1" applyBorder="1"/>
    <xf numFmtId="0" fontId="0" fillId="4" borderId="5" xfId="0" applyFill="1" applyBorder="1"/>
    <xf numFmtId="3" fontId="0" fillId="0" borderId="12" xfId="0" applyNumberFormat="1" applyBorder="1"/>
    <xf numFmtId="0" fontId="3" fillId="0" borderId="39" xfId="0" quotePrefix="1" applyFont="1" applyBorder="1"/>
    <xf numFmtId="0" fontId="0" fillId="0" borderId="39" xfId="0" applyBorder="1"/>
    <xf numFmtId="0" fontId="0" fillId="12" borderId="39" xfId="0" applyFill="1" applyBorder="1"/>
    <xf numFmtId="0" fontId="0" fillId="3" borderId="53" xfId="0" applyFill="1" applyBorder="1"/>
    <xf numFmtId="0" fontId="0" fillId="3" borderId="51" xfId="0" applyFill="1" applyBorder="1"/>
    <xf numFmtId="0" fontId="0" fillId="0" borderId="9" xfId="0" applyBorder="1" applyAlignment="1">
      <alignment horizontal="right"/>
    </xf>
    <xf numFmtId="0" fontId="0" fillId="0" borderId="9" xfId="0" applyFill="1" applyBorder="1" applyAlignment="1">
      <alignment horizontal="right"/>
    </xf>
    <xf numFmtId="0" fontId="0" fillId="0" borderId="54" xfId="0" applyBorder="1" applyAlignment="1">
      <alignment horizontal="right"/>
    </xf>
    <xf numFmtId="0" fontId="0" fillId="0" borderId="0" xfId="0" applyFill="1" applyBorder="1" applyAlignment="1">
      <alignment horizontal="center" wrapText="1"/>
    </xf>
    <xf numFmtId="0" fontId="0" fillId="0" borderId="3" xfId="0" applyFill="1" applyBorder="1" applyAlignment="1">
      <alignment horizontal="center" wrapText="1"/>
    </xf>
    <xf numFmtId="0" fontId="0" fillId="0" borderId="3" xfId="0" applyFill="1" applyBorder="1" applyAlignment="1">
      <alignment horizontal="center"/>
    </xf>
    <xf numFmtId="0" fontId="6" fillId="0" borderId="44" xfId="0" applyFont="1" applyBorder="1" applyAlignment="1">
      <alignment horizontal="center"/>
    </xf>
    <xf numFmtId="0" fontId="6" fillId="0" borderId="48" xfId="0" applyFont="1" applyBorder="1" applyAlignment="1">
      <alignment horizontal="center"/>
    </xf>
    <xf numFmtId="0" fontId="6" fillId="0" borderId="45" xfId="0" applyFont="1" applyBorder="1" applyAlignment="1">
      <alignment horizontal="center"/>
    </xf>
    <xf numFmtId="0" fontId="0" fillId="3" borderId="14" xfId="0" applyFill="1" applyBorder="1"/>
    <xf numFmtId="0" fontId="0" fillId="3" borderId="45" xfId="0" applyFill="1" applyBorder="1" applyAlignment="1">
      <alignment horizontal="left"/>
    </xf>
    <xf numFmtId="0" fontId="0" fillId="3" borderId="20" xfId="0" applyFill="1" applyBorder="1"/>
    <xf numFmtId="0" fontId="24" fillId="0" borderId="0" xfId="0" applyFont="1"/>
    <xf numFmtId="0" fontId="25" fillId="0" borderId="0" xfId="0" applyFont="1"/>
    <xf numFmtId="0" fontId="24" fillId="9" borderId="0" xfId="0" applyFont="1" applyFill="1"/>
    <xf numFmtId="0" fontId="25" fillId="9" borderId="0" xfId="0" applyFont="1" applyFill="1"/>
    <xf numFmtId="0" fontId="26" fillId="9" borderId="0" xfId="0" applyFont="1" applyFill="1"/>
    <xf numFmtId="165" fontId="12" fillId="3" borderId="5" xfId="0" applyNumberFormat="1" applyFont="1" applyFill="1" applyBorder="1" applyAlignment="1">
      <alignment horizontal="center" vertical="center"/>
    </xf>
    <xf numFmtId="0" fontId="0" fillId="11" borderId="0" xfId="0" applyFill="1" applyBorder="1" applyAlignment="1">
      <alignment vertical="center" wrapText="1"/>
    </xf>
    <xf numFmtId="0" fontId="0" fillId="11" borderId="0" xfId="0" applyFill="1" applyAlignment="1">
      <alignment vertical="center"/>
    </xf>
    <xf numFmtId="0" fontId="0" fillId="0" borderId="0" xfId="0" applyFill="1" applyBorder="1" applyAlignment="1">
      <alignment vertical="center"/>
    </xf>
    <xf numFmtId="170" fontId="0" fillId="11" borderId="0" xfId="0" applyNumberFormat="1" applyFill="1" applyBorder="1" applyAlignment="1">
      <alignment vertical="center"/>
    </xf>
    <xf numFmtId="170" fontId="0" fillId="11" borderId="0" xfId="0" quotePrefix="1" applyNumberFormat="1" applyFill="1" applyBorder="1" applyAlignment="1">
      <alignment horizontal="right" vertical="center"/>
    </xf>
    <xf numFmtId="0" fontId="16" fillId="11" borderId="0" xfId="0" applyFont="1" applyFill="1" applyBorder="1" applyAlignment="1">
      <alignment vertical="center"/>
    </xf>
    <xf numFmtId="0" fontId="6" fillId="0" borderId="0" xfId="0" applyFont="1" applyFill="1" applyBorder="1" applyAlignment="1">
      <alignment horizontal="right" vertical="center"/>
    </xf>
    <xf numFmtId="0" fontId="0" fillId="0" borderId="48" xfId="0" applyFill="1" applyBorder="1"/>
    <xf numFmtId="0" fontId="0" fillId="9" borderId="48" xfId="0" applyFill="1" applyBorder="1" applyAlignment="1">
      <alignment vertical="center"/>
    </xf>
    <xf numFmtId="0" fontId="0" fillId="4" borderId="6" xfId="0" applyFill="1" applyBorder="1" applyAlignment="1">
      <alignment vertical="center" wrapText="1"/>
    </xf>
    <xf numFmtId="0" fontId="6" fillId="9" borderId="55" xfId="0" applyFont="1" applyFill="1" applyBorder="1" applyAlignment="1">
      <alignment vertical="center"/>
    </xf>
    <xf numFmtId="0" fontId="6" fillId="5" borderId="56" xfId="0" applyFont="1" applyFill="1" applyBorder="1" applyAlignment="1">
      <alignment horizontal="center" vertical="center"/>
    </xf>
    <xf numFmtId="0" fontId="0" fillId="0" borderId="24" xfId="0" applyBorder="1" applyAlignment="1">
      <alignment wrapText="1"/>
    </xf>
    <xf numFmtId="0" fontId="0" fillId="0" borderId="20" xfId="0" applyBorder="1"/>
    <xf numFmtId="0" fontId="0" fillId="11" borderId="0" xfId="0" applyFill="1" applyAlignment="1">
      <alignment vertical="center" wrapText="1"/>
    </xf>
    <xf numFmtId="0" fontId="0" fillId="9" borderId="6" xfId="0" applyFill="1" applyBorder="1" applyAlignment="1">
      <alignment horizontal="right" vertical="center"/>
    </xf>
    <xf numFmtId="0" fontId="6" fillId="11" borderId="0" xfId="0" applyFont="1" applyFill="1" applyAlignment="1">
      <alignment vertical="center"/>
    </xf>
    <xf numFmtId="0" fontId="0" fillId="0" borderId="6" xfId="0" applyFill="1" applyBorder="1" applyAlignment="1">
      <alignment vertical="center"/>
    </xf>
    <xf numFmtId="0" fontId="0" fillId="9" borderId="8" xfId="0" applyFill="1" applyBorder="1" applyAlignment="1">
      <alignment horizontal="right" vertical="center"/>
    </xf>
    <xf numFmtId="0" fontId="6" fillId="13" borderId="0" xfId="0" applyFont="1" applyFill="1" applyBorder="1" applyAlignment="1">
      <alignment horizontal="center" vertical="center"/>
    </xf>
    <xf numFmtId="0" fontId="6" fillId="13" borderId="1" xfId="0" applyFont="1" applyFill="1" applyBorder="1" applyAlignment="1">
      <alignment horizontal="center" vertical="center"/>
    </xf>
    <xf numFmtId="0" fontId="0" fillId="13" borderId="0" xfId="0" applyFill="1" applyAlignment="1">
      <alignment vertical="center"/>
    </xf>
    <xf numFmtId="0" fontId="0" fillId="13" borderId="0" xfId="0" applyFill="1" applyBorder="1" applyAlignment="1">
      <alignment vertical="center"/>
    </xf>
    <xf numFmtId="0" fontId="0" fillId="13" borderId="28" xfId="0" applyFill="1" applyBorder="1" applyAlignment="1">
      <alignment horizontal="center" vertical="center"/>
    </xf>
    <xf numFmtId="0" fontId="0" fillId="13" borderId="9" xfId="0" applyFill="1" applyBorder="1" applyAlignment="1">
      <alignment horizontal="center" vertical="center"/>
    </xf>
    <xf numFmtId="0" fontId="0" fillId="13" borderId="7" xfId="0" applyFill="1" applyBorder="1" applyAlignment="1">
      <alignment horizontal="left" vertical="center"/>
    </xf>
    <xf numFmtId="0" fontId="0" fillId="13" borderId="22" xfId="0" applyFill="1" applyBorder="1" applyAlignment="1">
      <alignment horizontal="left" vertical="center"/>
    </xf>
    <xf numFmtId="0" fontId="6" fillId="5" borderId="36" xfId="0" applyFont="1" applyFill="1" applyBorder="1" applyAlignment="1">
      <alignment horizontal="right" vertical="center" wrapText="1"/>
    </xf>
    <xf numFmtId="0" fontId="0" fillId="9" borderId="0" xfId="0" applyFill="1" applyBorder="1" applyAlignment="1">
      <alignment horizontal="left" vertical="center" wrapText="1"/>
    </xf>
    <xf numFmtId="0" fontId="0" fillId="9" borderId="0" xfId="0" applyFill="1" applyBorder="1" applyAlignment="1">
      <alignment horizontal="center" vertical="center" wrapText="1"/>
    </xf>
    <xf numFmtId="0" fontId="0" fillId="9" borderId="46" xfId="0" applyFill="1" applyBorder="1" applyAlignment="1">
      <alignment horizontal="right" vertical="center"/>
    </xf>
    <xf numFmtId="0" fontId="12" fillId="0" borderId="57" xfId="0" applyFont="1" applyFill="1" applyBorder="1" applyAlignment="1">
      <alignment horizontal="left" vertical="center" wrapText="1"/>
    </xf>
    <xf numFmtId="0" fontId="0" fillId="0" borderId="0" xfId="0" applyFill="1" applyBorder="1" applyAlignment="1">
      <alignment horizontal="center" vertical="center" wrapText="1"/>
    </xf>
    <xf numFmtId="0" fontId="0" fillId="11" borderId="0" xfId="0" applyFill="1" applyBorder="1" applyAlignment="1">
      <alignment horizontal="center" vertical="center" wrapText="1"/>
    </xf>
    <xf numFmtId="0" fontId="6" fillId="5" borderId="30" xfId="0" applyFont="1" applyFill="1" applyBorder="1" applyAlignment="1">
      <alignment horizontal="center" vertical="center" wrapText="1"/>
    </xf>
    <xf numFmtId="0" fontId="7" fillId="3" borderId="45" xfId="0" applyFont="1" applyFill="1" applyBorder="1" applyAlignment="1" applyProtection="1"/>
    <xf numFmtId="0" fontId="0" fillId="3" borderId="11" xfId="0" applyFill="1" applyBorder="1"/>
    <xf numFmtId="0" fontId="0" fillId="3" borderId="21" xfId="0" applyFill="1" applyBorder="1"/>
    <xf numFmtId="0" fontId="0" fillId="3" borderId="58" xfId="0" applyFill="1" applyBorder="1" applyAlignment="1">
      <alignment horizontal="center"/>
    </xf>
    <xf numFmtId="0" fontId="0" fillId="3" borderId="59" xfId="0" applyFill="1" applyBorder="1" applyAlignment="1">
      <alignment horizontal="center"/>
    </xf>
    <xf numFmtId="0" fontId="0" fillId="0" borderId="60" xfId="0" applyBorder="1"/>
    <xf numFmtId="0" fontId="0" fillId="0" borderId="61" xfId="0" applyBorder="1" applyAlignment="1">
      <alignment horizontal="center"/>
    </xf>
    <xf numFmtId="0" fontId="0" fillId="0" borderId="62" xfId="0" applyBorder="1" applyAlignment="1">
      <alignment horizontal="center"/>
    </xf>
    <xf numFmtId="0" fontId="0" fillId="0" borderId="62" xfId="0" applyBorder="1"/>
    <xf numFmtId="0" fontId="0" fillId="0" borderId="63" xfId="0" applyBorder="1"/>
    <xf numFmtId="0" fontId="0" fillId="0" borderId="61" xfId="0" applyBorder="1"/>
    <xf numFmtId="0" fontId="0" fillId="0" borderId="61" xfId="0" applyFill="1" applyBorder="1" applyAlignment="1">
      <alignment horizontal="center"/>
    </xf>
    <xf numFmtId="0" fontId="0" fillId="0" borderId="62" xfId="0" applyFill="1" applyBorder="1" applyAlignment="1">
      <alignment horizontal="center"/>
    </xf>
    <xf numFmtId="0" fontId="7" fillId="0" borderId="61" xfId="0" applyFont="1" applyFill="1" applyBorder="1" applyAlignment="1" applyProtection="1"/>
    <xf numFmtId="0" fontId="7" fillId="0" borderId="62" xfId="0" applyFont="1" applyFill="1" applyBorder="1" applyAlignment="1" applyProtection="1"/>
    <xf numFmtId="0" fontId="0" fillId="0" borderId="63" xfId="0" quotePrefix="1" applyBorder="1" applyAlignment="1">
      <alignment horizontal="left"/>
    </xf>
    <xf numFmtId="0" fontId="0" fillId="0" borderId="64" xfId="0" applyBorder="1"/>
    <xf numFmtId="0" fontId="7" fillId="3" borderId="63" xfId="0" applyFont="1" applyFill="1" applyBorder="1" applyAlignment="1" applyProtection="1"/>
    <xf numFmtId="0" fontId="0" fillId="3" borderId="58" xfId="0" applyFill="1" applyBorder="1"/>
    <xf numFmtId="0" fontId="0" fillId="3" borderId="60" xfId="0" applyFill="1" applyBorder="1"/>
    <xf numFmtId="0" fontId="0" fillId="3" borderId="61" xfId="0" applyFill="1" applyBorder="1"/>
    <xf numFmtId="0" fontId="0" fillId="3" borderId="63" xfId="0" applyFill="1" applyBorder="1"/>
    <xf numFmtId="0" fontId="5" fillId="0" borderId="61" xfId="1" applyFont="1" applyBorder="1" applyAlignment="1" applyProtection="1"/>
    <xf numFmtId="0" fontId="0" fillId="0" borderId="65" xfId="0" applyBorder="1"/>
    <xf numFmtId="0" fontId="0" fillId="0" borderId="37" xfId="0" applyBorder="1"/>
    <xf numFmtId="0" fontId="0" fillId="3" borderId="48" xfId="0" applyFill="1" applyBorder="1" applyAlignment="1">
      <alignment wrapText="1"/>
    </xf>
    <xf numFmtId="0" fontId="0" fillId="0" borderId="3" xfId="0" applyFill="1" applyBorder="1"/>
    <xf numFmtId="0" fontId="0" fillId="4" borderId="66" xfId="0" applyFill="1" applyBorder="1" applyAlignment="1">
      <alignment horizontal="center" wrapText="1"/>
    </xf>
    <xf numFmtId="0" fontId="0" fillId="4" borderId="67" xfId="0" applyFill="1" applyBorder="1"/>
    <xf numFmtId="0" fontId="0" fillId="0" borderId="0" xfId="0" applyFill="1" applyBorder="1" applyAlignment="1">
      <alignment horizontal="right"/>
    </xf>
    <xf numFmtId="0" fontId="0" fillId="0" borderId="1" xfId="0" applyFill="1" applyBorder="1"/>
    <xf numFmtId="0" fontId="0" fillId="9" borderId="51" xfId="0" applyFill="1" applyBorder="1"/>
    <xf numFmtId="0" fontId="1" fillId="9" borderId="54" xfId="0" applyFont="1" applyFill="1" applyBorder="1"/>
    <xf numFmtId="0" fontId="0" fillId="4" borderId="68" xfId="0" applyFill="1" applyBorder="1" applyAlignment="1"/>
    <xf numFmtId="0" fontId="0" fillId="4" borderId="69" xfId="0" applyFill="1" applyBorder="1" applyAlignment="1">
      <alignment wrapText="1"/>
    </xf>
    <xf numFmtId="0" fontId="0" fillId="4" borderId="70" xfId="0" applyFill="1" applyBorder="1" applyAlignment="1">
      <alignment wrapText="1"/>
    </xf>
    <xf numFmtId="0" fontId="0" fillId="0" borderId="71" xfId="0" applyBorder="1" applyAlignment="1">
      <alignment wrapText="1"/>
    </xf>
    <xf numFmtId="0" fontId="0" fillId="4" borderId="72" xfId="0" applyFill="1" applyBorder="1" applyAlignment="1">
      <alignment horizontal="center" wrapText="1"/>
    </xf>
    <xf numFmtId="0" fontId="0" fillId="4" borderId="73" xfId="0" applyFill="1" applyBorder="1"/>
    <xf numFmtId="0" fontId="0" fillId="4" borderId="74" xfId="0" applyFill="1" applyBorder="1"/>
    <xf numFmtId="0" fontId="6" fillId="4" borderId="5" xfId="0" applyFont="1" applyFill="1" applyBorder="1" applyAlignment="1">
      <alignment wrapText="1"/>
    </xf>
    <xf numFmtId="0" fontId="0" fillId="5" borderId="27" xfId="0" applyFill="1" applyBorder="1"/>
    <xf numFmtId="0" fontId="0" fillId="5" borderId="17" xfId="0" applyFill="1" applyBorder="1"/>
    <xf numFmtId="0" fontId="0" fillId="0" borderId="23" xfId="0" applyBorder="1"/>
    <xf numFmtId="0" fontId="0" fillId="0" borderId="24" xfId="0" applyBorder="1"/>
    <xf numFmtId="0" fontId="0" fillId="0" borderId="25" xfId="0" applyBorder="1"/>
    <xf numFmtId="0" fontId="0" fillId="0" borderId="24" xfId="0" quotePrefix="1" applyBorder="1" applyAlignment="1">
      <alignment horizontal="right" wrapText="1"/>
    </xf>
    <xf numFmtId="0" fontId="0" fillId="0" borderId="24" xfId="0" applyBorder="1" applyAlignment="1">
      <alignment horizontal="right" wrapText="1"/>
    </xf>
    <xf numFmtId="0" fontId="0" fillId="0" borderId="18" xfId="0" applyBorder="1"/>
    <xf numFmtId="0" fontId="0" fillId="0" borderId="26" xfId="0" applyBorder="1"/>
    <xf numFmtId="0" fontId="0" fillId="0" borderId="26" xfId="0" applyBorder="1" applyAlignment="1">
      <alignment horizontal="right" wrapText="1"/>
    </xf>
    <xf numFmtId="0" fontId="0" fillId="0" borderId="26" xfId="0" applyBorder="1" applyAlignment="1">
      <alignment wrapText="1"/>
    </xf>
    <xf numFmtId="0" fontId="0" fillId="0" borderId="19" xfId="0" applyBorder="1"/>
    <xf numFmtId="0" fontId="0" fillId="9" borderId="24" xfId="0" applyFill="1" applyBorder="1" applyAlignment="1">
      <alignment horizontal="right" vertical="center"/>
    </xf>
    <xf numFmtId="0" fontId="12" fillId="11" borderId="0" xfId="0" applyFont="1" applyFill="1" applyBorder="1" applyAlignment="1">
      <alignment vertical="center"/>
    </xf>
    <xf numFmtId="0" fontId="6" fillId="11" borderId="0" xfId="0" applyFont="1" applyFill="1" applyBorder="1" applyAlignment="1">
      <alignment vertical="center"/>
    </xf>
    <xf numFmtId="0" fontId="6" fillId="11" borderId="0" xfId="0" applyFont="1" applyFill="1" applyBorder="1" applyAlignment="1">
      <alignment horizontal="center" vertical="center"/>
    </xf>
    <xf numFmtId="0" fontId="1" fillId="11" borderId="0" xfId="0" applyFont="1" applyFill="1"/>
    <xf numFmtId="0" fontId="6" fillId="11" borderId="0" xfId="0" applyFont="1" applyFill="1" applyBorder="1" applyAlignment="1">
      <alignment horizontal="left"/>
    </xf>
    <xf numFmtId="0" fontId="1" fillId="11" borderId="0" xfId="0" applyFont="1" applyFill="1" applyAlignment="1">
      <alignment vertical="center"/>
    </xf>
    <xf numFmtId="0" fontId="6" fillId="11" borderId="4" xfId="0" applyFont="1" applyFill="1" applyBorder="1" applyAlignment="1">
      <alignment horizontal="justify" vertical="center"/>
    </xf>
    <xf numFmtId="0" fontId="1" fillId="11" borderId="5" xfId="0" applyFont="1" applyFill="1" applyBorder="1" applyAlignment="1">
      <alignment vertical="center"/>
    </xf>
    <xf numFmtId="0" fontId="1" fillId="11" borderId="6" xfId="0" applyFont="1" applyFill="1" applyBorder="1" applyAlignment="1">
      <alignment horizontal="justify" vertical="center"/>
    </xf>
    <xf numFmtId="0" fontId="1" fillId="11" borderId="6" xfId="0" applyFont="1" applyFill="1" applyBorder="1" applyAlignment="1">
      <alignment vertical="center"/>
    </xf>
    <xf numFmtId="0" fontId="1" fillId="11" borderId="12" xfId="0" applyFont="1" applyFill="1" applyBorder="1" applyAlignment="1">
      <alignment vertical="center"/>
    </xf>
    <xf numFmtId="0" fontId="1" fillId="11" borderId="7" xfId="0" applyFont="1" applyFill="1" applyBorder="1" applyAlignment="1">
      <alignment horizontal="center" vertical="center"/>
    </xf>
    <xf numFmtId="0" fontId="1" fillId="11" borderId="0" xfId="0" applyFont="1" applyFill="1" applyBorder="1" applyAlignment="1">
      <alignment vertical="center"/>
    </xf>
    <xf numFmtId="0" fontId="1" fillId="11" borderId="46" xfId="0" applyFont="1" applyFill="1" applyBorder="1" applyAlignment="1">
      <alignment horizontal="justify" vertical="center"/>
    </xf>
    <xf numFmtId="0" fontId="1" fillId="11" borderId="20" xfId="0" applyFont="1" applyFill="1" applyBorder="1" applyAlignment="1">
      <alignment horizontal="center"/>
    </xf>
    <xf numFmtId="0" fontId="1" fillId="11" borderId="6" xfId="0" applyFont="1" applyFill="1" applyBorder="1" applyAlignment="1">
      <alignment horizontal="left" vertical="center"/>
    </xf>
    <xf numFmtId="0" fontId="1" fillId="11" borderId="0" xfId="0" applyFont="1" applyFill="1" applyAlignment="1">
      <alignment horizontal="justify" vertical="center"/>
    </xf>
    <xf numFmtId="0" fontId="1" fillId="11" borderId="0" xfId="0" applyFont="1" applyFill="1" applyBorder="1" applyAlignment="1">
      <alignment horizontal="left" vertical="center" wrapText="1"/>
    </xf>
    <xf numFmtId="0" fontId="1" fillId="11" borderId="31" xfId="0" applyFont="1" applyFill="1" applyBorder="1" applyAlignment="1">
      <alignment horizontal="center" vertical="center"/>
    </xf>
    <xf numFmtId="170" fontId="0" fillId="4" borderId="12" xfId="0" applyNumberFormat="1" applyFill="1" applyBorder="1" applyAlignment="1">
      <alignment horizontal="center" vertical="center"/>
    </xf>
    <xf numFmtId="170" fontId="0" fillId="4" borderId="7" xfId="0" applyNumberFormat="1" applyFill="1" applyBorder="1" applyAlignment="1">
      <alignment horizontal="center" vertical="center"/>
    </xf>
    <xf numFmtId="0" fontId="0" fillId="5" borderId="36" xfId="0" applyFill="1" applyBorder="1" applyAlignment="1">
      <alignment vertical="center"/>
    </xf>
    <xf numFmtId="0" fontId="0" fillId="4" borderId="8" xfId="0" applyFill="1" applyBorder="1" applyAlignment="1">
      <alignment vertical="center" wrapText="1"/>
    </xf>
    <xf numFmtId="170" fontId="0" fillId="4" borderId="31" xfId="0" applyNumberFormat="1" applyFill="1" applyBorder="1" applyAlignment="1">
      <alignment horizontal="center" vertical="center"/>
    </xf>
    <xf numFmtId="170" fontId="0" fillId="4" borderId="22" xfId="0" applyNumberFormat="1" applyFill="1" applyBorder="1" applyAlignment="1">
      <alignment horizontal="center" vertical="center"/>
    </xf>
    <xf numFmtId="0" fontId="0" fillId="11" borderId="24" xfId="0" applyFill="1" applyBorder="1" applyAlignment="1">
      <alignment vertical="center" wrapText="1"/>
    </xf>
    <xf numFmtId="0" fontId="0" fillId="11" borderId="25" xfId="0" applyFill="1" applyBorder="1" applyAlignment="1">
      <alignment vertical="center" wrapText="1"/>
    </xf>
    <xf numFmtId="0" fontId="6" fillId="5" borderId="20" xfId="0" applyFont="1" applyFill="1" applyBorder="1" applyAlignment="1">
      <alignment horizontal="center" vertical="center"/>
    </xf>
    <xf numFmtId="0" fontId="0" fillId="9" borderId="36" xfId="0" applyFill="1" applyBorder="1" applyAlignment="1">
      <alignment vertical="center"/>
    </xf>
    <xf numFmtId="165" fontId="6" fillId="3" borderId="13" xfId="0" applyNumberFormat="1" applyFont="1" applyFill="1" applyBorder="1" applyAlignment="1">
      <alignment horizontal="center" vertical="center"/>
    </xf>
    <xf numFmtId="165" fontId="6" fillId="3" borderId="12" xfId="0" applyNumberFormat="1" applyFont="1" applyFill="1" applyBorder="1" applyAlignment="1">
      <alignment horizontal="center" vertical="center"/>
    </xf>
    <xf numFmtId="0" fontId="0" fillId="9" borderId="12" xfId="0" applyFill="1" applyBorder="1" applyAlignment="1">
      <alignment horizontal="center" vertical="center"/>
    </xf>
    <xf numFmtId="0" fontId="0" fillId="9" borderId="31" xfId="0" applyFill="1" applyBorder="1" applyAlignment="1">
      <alignment horizontal="center" vertical="center"/>
    </xf>
    <xf numFmtId="0" fontId="6" fillId="3" borderId="43" xfId="0" applyFont="1" applyFill="1" applyBorder="1" applyAlignment="1">
      <alignment horizontal="center" vertical="center"/>
    </xf>
    <xf numFmtId="0" fontId="6" fillId="3" borderId="43" xfId="0" applyFont="1" applyFill="1" applyBorder="1" applyAlignment="1">
      <alignment horizontal="center" vertical="center" wrapText="1"/>
    </xf>
    <xf numFmtId="0" fontId="12" fillId="3" borderId="43" xfId="0" applyFont="1" applyFill="1" applyBorder="1" applyAlignment="1">
      <alignment horizontal="left" vertical="center" wrapText="1"/>
    </xf>
    <xf numFmtId="0" fontId="6" fillId="5" borderId="21" xfId="0" applyFont="1" applyFill="1" applyBorder="1" applyAlignment="1">
      <alignment horizontal="center" vertical="center" wrapText="1"/>
    </xf>
    <xf numFmtId="0" fontId="6" fillId="5" borderId="56" xfId="0" applyFont="1" applyFill="1" applyBorder="1" applyAlignment="1">
      <alignment horizontal="center" vertical="center" wrapText="1"/>
    </xf>
    <xf numFmtId="0" fontId="0" fillId="14" borderId="20" xfId="0" applyFill="1" applyBorder="1" applyAlignment="1">
      <alignment vertical="center"/>
    </xf>
    <xf numFmtId="0" fontId="6" fillId="14" borderId="11" xfId="0" applyFont="1" applyFill="1" applyBorder="1" applyAlignment="1">
      <alignment horizontal="center" vertical="center"/>
    </xf>
    <xf numFmtId="0" fontId="0" fillId="14" borderId="21" xfId="0" applyFill="1" applyBorder="1" applyAlignment="1">
      <alignment vertical="center"/>
    </xf>
    <xf numFmtId="0" fontId="0" fillId="11" borderId="23" xfId="0" applyFill="1" applyBorder="1" applyAlignment="1">
      <alignment vertical="center"/>
    </xf>
    <xf numFmtId="0" fontId="6" fillId="4" borderId="2" xfId="0" applyFont="1" applyFill="1" applyBorder="1"/>
    <xf numFmtId="0" fontId="12" fillId="9" borderId="0" xfId="0" applyFont="1" applyFill="1" applyBorder="1" applyAlignment="1">
      <alignment vertical="center" wrapText="1"/>
    </xf>
    <xf numFmtId="0" fontId="0" fillId="9" borderId="75" xfId="0" applyFill="1" applyBorder="1" applyAlignment="1">
      <alignment horizontal="left" vertical="center"/>
    </xf>
    <xf numFmtId="0" fontId="1" fillId="9" borderId="1" xfId="0" applyFont="1" applyFill="1" applyBorder="1" applyAlignment="1">
      <alignment horizontal="right" vertical="center"/>
    </xf>
    <xf numFmtId="0" fontId="0" fillId="9" borderId="1" xfId="0" applyFill="1" applyBorder="1" applyAlignment="1">
      <alignment horizontal="center" vertical="center"/>
    </xf>
    <xf numFmtId="0" fontId="0" fillId="9" borderId="1" xfId="0" applyFill="1" applyBorder="1" applyAlignment="1">
      <alignment horizontal="left" vertical="center"/>
    </xf>
    <xf numFmtId="172" fontId="19" fillId="9" borderId="1" xfId="0" applyNumberFormat="1" applyFont="1" applyFill="1" applyBorder="1" applyAlignment="1">
      <alignment horizontal="center" vertical="center"/>
    </xf>
    <xf numFmtId="0" fontId="0" fillId="9" borderId="76" xfId="0" applyFill="1" applyBorder="1" applyAlignment="1">
      <alignment vertical="center"/>
    </xf>
    <xf numFmtId="0" fontId="0" fillId="4" borderId="4" xfId="0" applyFill="1" applyBorder="1" applyAlignment="1">
      <alignment vertical="center" wrapText="1"/>
    </xf>
    <xf numFmtId="170" fontId="0" fillId="4" borderId="13" xfId="0" applyNumberFormat="1" applyFill="1" applyBorder="1" applyAlignment="1">
      <alignment horizontal="center" vertical="center"/>
    </xf>
    <xf numFmtId="170" fontId="0" fillId="4" borderId="5" xfId="0" quotePrefix="1" applyNumberFormat="1" applyFill="1" applyBorder="1" applyAlignment="1">
      <alignment horizontal="center" vertical="center"/>
    </xf>
    <xf numFmtId="0" fontId="0" fillId="9" borderId="49" xfId="0" applyFill="1" applyBorder="1" applyAlignment="1">
      <alignment vertical="center" wrapText="1"/>
    </xf>
    <xf numFmtId="0" fontId="0" fillId="9" borderId="27" xfId="0" applyFill="1" applyBorder="1" applyAlignment="1">
      <alignment horizontal="right" vertical="center"/>
    </xf>
    <xf numFmtId="0" fontId="0" fillId="9" borderId="50" xfId="0" applyFill="1" applyBorder="1" applyAlignment="1">
      <alignment vertical="center" wrapText="1"/>
    </xf>
    <xf numFmtId="0" fontId="0" fillId="9" borderId="24" xfId="0" quotePrefix="1" applyFill="1" applyBorder="1" applyAlignment="1">
      <alignment horizontal="right" vertical="center"/>
    </xf>
    <xf numFmtId="0" fontId="0" fillId="9" borderId="75" xfId="0" applyFill="1" applyBorder="1" applyAlignment="1">
      <alignment vertical="center" wrapText="1"/>
    </xf>
    <xf numFmtId="0" fontId="0" fillId="9" borderId="26" xfId="0" applyFill="1" applyBorder="1" applyAlignment="1">
      <alignment horizontal="right" vertical="center"/>
    </xf>
    <xf numFmtId="0" fontId="0" fillId="9" borderId="10" xfId="0" applyFill="1" applyBorder="1" applyAlignment="1">
      <alignment horizontal="right" vertical="center"/>
    </xf>
    <xf numFmtId="0" fontId="0" fillId="9" borderId="45" xfId="0" applyFill="1" applyBorder="1" applyAlignment="1">
      <alignment vertical="center"/>
    </xf>
    <xf numFmtId="0" fontId="0" fillId="9" borderId="11" xfId="0" applyFill="1" applyBorder="1" applyAlignment="1">
      <alignment horizontal="center" vertical="center"/>
    </xf>
    <xf numFmtId="0" fontId="0" fillId="9" borderId="3" xfId="0" applyFill="1" applyBorder="1" applyAlignment="1">
      <alignment vertical="center"/>
    </xf>
    <xf numFmtId="0" fontId="12" fillId="9" borderId="11" xfId="0" applyFont="1" applyFill="1" applyBorder="1" applyAlignment="1">
      <alignment horizontal="center" vertical="center"/>
    </xf>
    <xf numFmtId="0" fontId="6" fillId="9" borderId="11" xfId="0" applyFont="1" applyFill="1" applyBorder="1" applyAlignment="1">
      <alignment vertical="center"/>
    </xf>
    <xf numFmtId="0" fontId="12" fillId="9" borderId="11" xfId="0" applyFont="1" applyFill="1" applyBorder="1" applyAlignment="1">
      <alignment vertical="center"/>
    </xf>
    <xf numFmtId="0" fontId="1" fillId="11" borderId="0" xfId="0" applyFont="1" applyFill="1" applyAlignment="1">
      <alignment horizontal="center" vertical="center"/>
    </xf>
    <xf numFmtId="0" fontId="1" fillId="11" borderId="4" xfId="0" applyFont="1" applyFill="1" applyBorder="1" applyAlignment="1">
      <alignment horizontal="justify" vertical="center"/>
    </xf>
    <xf numFmtId="0" fontId="12" fillId="9" borderId="0" xfId="0" applyFont="1" applyFill="1" applyBorder="1" applyAlignment="1">
      <alignment horizontal="center" vertical="center" wrapText="1"/>
    </xf>
    <xf numFmtId="0" fontId="6" fillId="4" borderId="77" xfId="0" applyFont="1" applyFill="1" applyBorder="1" applyAlignment="1">
      <alignment horizontal="center" vertical="center"/>
    </xf>
    <xf numFmtId="0" fontId="0" fillId="9" borderId="9" xfId="0" applyFill="1" applyBorder="1" applyAlignment="1">
      <alignment horizontal="center" vertical="center"/>
    </xf>
    <xf numFmtId="0" fontId="0" fillId="3" borderId="13" xfId="0" applyFill="1" applyBorder="1" applyAlignment="1">
      <alignment horizontal="center"/>
    </xf>
    <xf numFmtId="0" fontId="0" fillId="3" borderId="5" xfId="0" applyFill="1" applyBorder="1" applyAlignment="1">
      <alignment horizontal="center"/>
    </xf>
    <xf numFmtId="0" fontId="1" fillId="11" borderId="6" xfId="0" applyFont="1" applyFill="1" applyBorder="1" applyAlignment="1">
      <alignment horizontal="center" vertical="center" wrapText="1"/>
    </xf>
    <xf numFmtId="0" fontId="1" fillId="11" borderId="8" xfId="0" applyFont="1" applyFill="1" applyBorder="1" applyAlignment="1">
      <alignment horizontal="center" vertical="center" wrapText="1"/>
    </xf>
    <xf numFmtId="0" fontId="0" fillId="9" borderId="0" xfId="0" quotePrefix="1" applyFill="1" applyBorder="1" applyAlignment="1">
      <alignment horizontal="center" vertical="center" wrapText="1"/>
    </xf>
    <xf numFmtId="0" fontId="0" fillId="6" borderId="31" xfId="0" applyFill="1" applyBorder="1" applyAlignment="1">
      <alignment horizontal="center" vertical="center"/>
    </xf>
    <xf numFmtId="165" fontId="12" fillId="9" borderId="7" xfId="0" quotePrefix="1" applyNumberFormat="1" applyFont="1" applyFill="1" applyBorder="1" applyAlignment="1">
      <alignment horizontal="center" vertical="center"/>
    </xf>
    <xf numFmtId="0" fontId="0" fillId="0" borderId="8" xfId="0" applyFill="1" applyBorder="1" applyAlignment="1">
      <alignment horizontal="right" vertical="center"/>
    </xf>
    <xf numFmtId="0" fontId="16" fillId="9" borderId="0" xfId="0" applyFont="1" applyFill="1" applyBorder="1" applyAlignment="1">
      <alignment vertical="center"/>
    </xf>
    <xf numFmtId="0" fontId="1" fillId="9" borderId="11" xfId="0" applyFont="1" applyFill="1" applyBorder="1" applyAlignment="1">
      <alignment horizontal="right" vertical="center"/>
    </xf>
    <xf numFmtId="0" fontId="6" fillId="9" borderId="7" xfId="0" applyFont="1" applyFill="1" applyBorder="1" applyAlignment="1">
      <alignment horizontal="center" vertical="center" wrapText="1"/>
    </xf>
    <xf numFmtId="0" fontId="6" fillId="9" borderId="78" xfId="0" applyFont="1" applyFill="1" applyBorder="1" applyAlignment="1">
      <alignment vertical="center"/>
    </xf>
    <xf numFmtId="0" fontId="16" fillId="9" borderId="3"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1" fillId="9" borderId="26" xfId="0" applyFont="1" applyFill="1" applyBorder="1" applyAlignment="1">
      <alignment horizontal="right" vertical="center"/>
    </xf>
    <xf numFmtId="0" fontId="0" fillId="6" borderId="13" xfId="0" applyFill="1" applyBorder="1" applyAlignment="1">
      <alignment horizontal="center" vertical="center"/>
    </xf>
    <xf numFmtId="0" fontId="1" fillId="9" borderId="76" xfId="0" applyFont="1" applyFill="1" applyBorder="1" applyAlignment="1">
      <alignment horizontal="right" vertical="center"/>
    </xf>
    <xf numFmtId="0" fontId="0" fillId="9" borderId="12" xfId="0" applyFill="1" applyBorder="1" applyAlignment="1">
      <alignment horizontal="center" vertical="center" wrapText="1"/>
    </xf>
    <xf numFmtId="0" fontId="12" fillId="9" borderId="12" xfId="0" applyFont="1" applyFill="1" applyBorder="1" applyAlignment="1">
      <alignment vertical="center" wrapText="1"/>
    </xf>
    <xf numFmtId="0" fontId="0" fillId="9" borderId="4" xfId="0" applyFill="1" applyBorder="1" applyAlignment="1">
      <alignment horizontal="right" vertical="center" wrapText="1"/>
    </xf>
    <xf numFmtId="0" fontId="4" fillId="9" borderId="13" xfId="0" applyFont="1" applyFill="1" applyBorder="1" applyAlignment="1">
      <alignment vertical="center"/>
    </xf>
    <xf numFmtId="0" fontId="0" fillId="9" borderId="31" xfId="0" applyFill="1" applyBorder="1" applyAlignment="1">
      <alignment horizontal="center" vertical="center" wrapText="1"/>
    </xf>
    <xf numFmtId="0" fontId="12" fillId="9" borderId="6" xfId="0" applyFont="1" applyFill="1" applyBorder="1" applyAlignment="1">
      <alignment horizontal="right" vertical="center" wrapText="1"/>
    </xf>
    <xf numFmtId="0" fontId="14" fillId="9" borderId="12" xfId="0" applyFont="1" applyFill="1" applyBorder="1" applyAlignment="1">
      <alignment vertical="center" wrapText="1"/>
    </xf>
    <xf numFmtId="0" fontId="12" fillId="9" borderId="12" xfId="0" applyFont="1" applyFill="1" applyBorder="1" applyAlignment="1">
      <alignment horizontal="right" vertical="center" wrapText="1"/>
    </xf>
    <xf numFmtId="0" fontId="6" fillId="9" borderId="79" xfId="0" applyFont="1" applyFill="1" applyBorder="1" applyAlignment="1">
      <alignment horizontal="center" vertical="center" wrapText="1"/>
    </xf>
    <xf numFmtId="0" fontId="6" fillId="9" borderId="80" xfId="0" applyFont="1" applyFill="1" applyBorder="1" applyAlignment="1">
      <alignment horizontal="center" vertical="center" wrapText="1"/>
    </xf>
    <xf numFmtId="0" fontId="0" fillId="9" borderId="31" xfId="0" applyFill="1" applyBorder="1" applyAlignment="1">
      <alignment vertical="center" wrapText="1"/>
    </xf>
    <xf numFmtId="0" fontId="1" fillId="11" borderId="8" xfId="0" applyFont="1" applyFill="1" applyBorder="1" applyAlignment="1">
      <alignment horizontal="justify" vertical="center"/>
    </xf>
    <xf numFmtId="0" fontId="1" fillId="11" borderId="4" xfId="0" applyFont="1" applyFill="1" applyBorder="1" applyAlignment="1">
      <alignment horizontal="left" vertical="center"/>
    </xf>
    <xf numFmtId="0" fontId="1" fillId="11" borderId="0" xfId="0" applyFont="1" applyFill="1" applyBorder="1" applyAlignment="1">
      <alignment horizontal="justify" vertical="center"/>
    </xf>
    <xf numFmtId="0" fontId="21" fillId="9" borderId="0" xfId="0" applyFont="1" applyFill="1" applyBorder="1" applyAlignment="1">
      <alignment horizontal="left"/>
    </xf>
    <xf numFmtId="0" fontId="0" fillId="0" borderId="8" xfId="0" applyBorder="1" applyAlignment="1">
      <alignment horizontal="center" vertical="center" wrapText="1"/>
    </xf>
    <xf numFmtId="0" fontId="6" fillId="9" borderId="1" xfId="0" applyFont="1" applyFill="1" applyBorder="1" applyAlignment="1">
      <alignment horizontal="center" vertical="center"/>
    </xf>
    <xf numFmtId="0" fontId="6" fillId="9" borderId="81" xfId="0" applyFont="1" applyFill="1" applyBorder="1" applyAlignment="1">
      <alignment horizontal="left" vertical="center"/>
    </xf>
    <xf numFmtId="0" fontId="1" fillId="9" borderId="11" xfId="0" applyFont="1" applyFill="1" applyBorder="1" applyAlignment="1">
      <alignment horizontal="right" vertical="center" wrapText="1"/>
    </xf>
    <xf numFmtId="0" fontId="6" fillId="9" borderId="11" xfId="0" applyFont="1" applyFill="1" applyBorder="1" applyAlignment="1">
      <alignment horizontal="left" vertical="center"/>
    </xf>
    <xf numFmtId="0" fontId="6" fillId="9" borderId="11" xfId="0" applyFont="1" applyFill="1" applyBorder="1" applyAlignment="1">
      <alignment horizontal="center" vertical="center" wrapText="1"/>
    </xf>
    <xf numFmtId="0" fontId="0" fillId="9" borderId="32" xfId="0" applyFill="1" applyBorder="1" applyAlignment="1">
      <alignment horizontal="right" vertical="center"/>
    </xf>
    <xf numFmtId="0" fontId="0" fillId="0" borderId="47" xfId="0" applyFill="1" applyBorder="1" applyAlignment="1">
      <alignment horizontal="right" vertical="center"/>
    </xf>
    <xf numFmtId="0" fontId="0" fillId="0" borderId="82" xfId="0" applyFill="1" applyBorder="1" applyAlignment="1">
      <alignment horizontal="right" vertical="center"/>
    </xf>
    <xf numFmtId="0" fontId="0" fillId="9" borderId="56" xfId="0" applyFill="1" applyBorder="1" applyAlignment="1">
      <alignment horizontal="left" vertical="center"/>
    </xf>
    <xf numFmtId="0" fontId="6" fillId="9" borderId="31" xfId="0" applyFont="1" applyFill="1" applyBorder="1" applyAlignment="1">
      <alignment horizontal="left" vertical="center"/>
    </xf>
    <xf numFmtId="0" fontId="0" fillId="9" borderId="11" xfId="0" applyFill="1" applyBorder="1" applyAlignment="1">
      <alignment horizontal="right" vertical="center"/>
    </xf>
    <xf numFmtId="0" fontId="0" fillId="9" borderId="11" xfId="0" applyFill="1" applyBorder="1" applyAlignment="1">
      <alignment horizontal="right" vertical="center" wrapText="1"/>
    </xf>
    <xf numFmtId="0" fontId="6" fillId="0" borderId="11" xfId="0" applyFont="1" applyFill="1" applyBorder="1" applyAlignment="1">
      <alignment horizontal="center" vertical="center" wrapText="1"/>
    </xf>
    <xf numFmtId="0" fontId="0" fillId="9" borderId="51" xfId="0" applyFill="1" applyBorder="1" applyAlignment="1">
      <alignment horizontal="center" vertical="center"/>
    </xf>
    <xf numFmtId="0" fontId="8" fillId="9" borderId="0" xfId="0" applyFont="1" applyFill="1" applyAlignment="1">
      <alignment vertical="center"/>
    </xf>
    <xf numFmtId="0" fontId="8" fillId="9" borderId="83" xfId="0" applyFont="1" applyFill="1" applyBorder="1" applyAlignment="1">
      <alignment horizontal="center" vertical="center" wrapText="1"/>
    </xf>
    <xf numFmtId="0" fontId="8" fillId="9" borderId="84" xfId="0" applyFont="1" applyFill="1" applyBorder="1" applyAlignment="1">
      <alignment vertical="center"/>
    </xf>
    <xf numFmtId="0" fontId="8" fillId="9" borderId="3" xfId="0" applyFont="1" applyFill="1" applyBorder="1" applyAlignment="1">
      <alignment vertical="center"/>
    </xf>
    <xf numFmtId="0" fontId="0" fillId="9" borderId="12" xfId="0" applyFill="1" applyBorder="1" applyAlignment="1">
      <alignment vertical="center" wrapText="1"/>
    </xf>
    <xf numFmtId="0" fontId="0" fillId="9" borderId="0" xfId="0" applyFill="1" applyAlignment="1">
      <alignment vertical="center" wrapText="1"/>
    </xf>
    <xf numFmtId="0" fontId="10" fillId="9" borderId="0" xfId="0" applyFont="1" applyFill="1" applyAlignment="1">
      <alignment vertical="center"/>
    </xf>
    <xf numFmtId="0" fontId="6" fillId="9" borderId="0" xfId="0" applyFont="1" applyFill="1" applyBorder="1" applyAlignment="1">
      <alignment horizontal="left" vertical="center"/>
    </xf>
    <xf numFmtId="0" fontId="0" fillId="9" borderId="16" xfId="0" applyFill="1" applyBorder="1" applyAlignment="1">
      <alignment horizontal="left" vertical="center"/>
    </xf>
    <xf numFmtId="0" fontId="6" fillId="9" borderId="6" xfId="0" applyFont="1" applyFill="1" applyBorder="1" applyAlignment="1">
      <alignment horizontal="center" vertical="center"/>
    </xf>
    <xf numFmtId="0" fontId="6" fillId="9" borderId="3" xfId="0" applyFont="1" applyFill="1" applyBorder="1" applyAlignment="1">
      <alignment vertical="center"/>
    </xf>
    <xf numFmtId="0" fontId="13" fillId="9" borderId="0" xfId="0" applyFont="1" applyFill="1" applyAlignment="1">
      <alignment horizontal="justify" vertical="center"/>
    </xf>
    <xf numFmtId="0" fontId="4" fillId="9" borderId="48" xfId="0" applyFont="1" applyFill="1" applyBorder="1" applyAlignment="1">
      <alignment horizontal="center" vertical="center"/>
    </xf>
    <xf numFmtId="0" fontId="4" fillId="6" borderId="31" xfId="0" applyFont="1" applyFill="1" applyBorder="1" applyAlignment="1">
      <alignment vertical="center"/>
    </xf>
    <xf numFmtId="0" fontId="0" fillId="9" borderId="85" xfId="0" applyFill="1" applyBorder="1" applyAlignment="1">
      <alignment horizontal="center" vertical="center" wrapText="1"/>
    </xf>
    <xf numFmtId="170" fontId="0" fillId="11" borderId="0" xfId="0" applyNumberFormat="1" applyFill="1" applyBorder="1" applyAlignment="1">
      <alignment vertical="center" wrapText="1"/>
    </xf>
    <xf numFmtId="0" fontId="18" fillId="11" borderId="0" xfId="0" applyFont="1" applyFill="1" applyBorder="1" applyAlignment="1">
      <alignment vertical="center" wrapText="1"/>
    </xf>
    <xf numFmtId="0" fontId="8" fillId="9" borderId="0" xfId="0" applyFont="1" applyFill="1" applyAlignment="1">
      <alignment horizontal="center" vertical="center" wrapText="1"/>
    </xf>
    <xf numFmtId="0" fontId="8" fillId="9" borderId="0" xfId="0" applyFont="1" applyFill="1" applyAlignment="1">
      <alignment vertical="center" wrapText="1"/>
    </xf>
    <xf numFmtId="0" fontId="6" fillId="9" borderId="0" xfId="0" applyFont="1" applyFill="1" applyAlignment="1">
      <alignment vertical="center" wrapText="1"/>
    </xf>
    <xf numFmtId="0" fontId="10" fillId="9" borderId="0" xfId="0" applyFont="1" applyFill="1" applyAlignment="1">
      <alignment vertical="center" wrapText="1"/>
    </xf>
    <xf numFmtId="0" fontId="0" fillId="9" borderId="6" xfId="0" applyFill="1" applyBorder="1" applyAlignment="1">
      <alignment vertical="center" wrapText="1"/>
    </xf>
    <xf numFmtId="0" fontId="0" fillId="13" borderId="0" xfId="0" applyFill="1" applyAlignment="1">
      <alignment vertical="center" wrapText="1"/>
    </xf>
    <xf numFmtId="0" fontId="0" fillId="13" borderId="1" xfId="0" applyFill="1" applyBorder="1" applyAlignment="1">
      <alignment vertical="center"/>
    </xf>
    <xf numFmtId="0" fontId="0" fillId="13" borderId="54" xfId="0" applyFill="1" applyBorder="1" applyAlignment="1">
      <alignment vertical="center"/>
    </xf>
    <xf numFmtId="0" fontId="6" fillId="13" borderId="0" xfId="0" applyFont="1" applyFill="1" applyAlignment="1">
      <alignment vertical="center"/>
    </xf>
    <xf numFmtId="0" fontId="6" fillId="11" borderId="0" xfId="0" applyFont="1" applyFill="1" applyAlignment="1">
      <alignment vertical="center" wrapText="1"/>
    </xf>
    <xf numFmtId="0" fontId="6" fillId="11" borderId="0" xfId="0" applyFont="1" applyFill="1" applyAlignment="1">
      <alignment wrapText="1"/>
    </xf>
    <xf numFmtId="0" fontId="6" fillId="11" borderId="0" xfId="0" applyFont="1" applyFill="1" applyBorder="1" applyAlignment="1">
      <alignment vertical="center" wrapText="1"/>
    </xf>
    <xf numFmtId="0" fontId="16" fillId="9" borderId="0" xfId="0" applyFont="1" applyFill="1" applyBorder="1" applyAlignment="1">
      <alignment vertical="center" wrapText="1"/>
    </xf>
    <xf numFmtId="0" fontId="0" fillId="9" borderId="0" xfId="0" quotePrefix="1" applyFill="1" applyBorder="1" applyAlignment="1">
      <alignment horizontal="left" vertical="center" wrapText="1"/>
    </xf>
    <xf numFmtId="0" fontId="0" fillId="9" borderId="9" xfId="0" applyFill="1" applyBorder="1" applyAlignment="1">
      <alignment vertical="center" wrapText="1"/>
    </xf>
    <xf numFmtId="0" fontId="4" fillId="0" borderId="12" xfId="0" applyFont="1" applyFill="1" applyBorder="1" applyAlignment="1">
      <alignment horizontal="center" vertical="center" wrapText="1"/>
    </xf>
    <xf numFmtId="0" fontId="1" fillId="9" borderId="0" xfId="0" applyFont="1" applyFill="1" applyBorder="1" applyAlignment="1">
      <alignment vertical="center" wrapText="1"/>
    </xf>
    <xf numFmtId="0" fontId="0" fillId="3" borderId="6" xfId="0" applyFill="1" applyBorder="1" applyAlignment="1">
      <alignment horizontal="right" vertical="center" wrapText="1"/>
    </xf>
    <xf numFmtId="0" fontId="6" fillId="3" borderId="4" xfId="0" applyFont="1" applyFill="1" applyBorder="1" applyAlignment="1">
      <alignment horizontal="center" vertical="center" wrapText="1"/>
    </xf>
    <xf numFmtId="0" fontId="0" fillId="0" borderId="16" xfId="0" applyFill="1" applyBorder="1" applyAlignment="1">
      <alignment wrapText="1"/>
    </xf>
    <xf numFmtId="0" fontId="0" fillId="0" borderId="49" xfId="0" applyFill="1" applyBorder="1"/>
    <xf numFmtId="0" fontId="0" fillId="0" borderId="9" xfId="0" applyFill="1" applyBorder="1"/>
    <xf numFmtId="0" fontId="0" fillId="0" borderId="50" xfId="0" applyFill="1" applyBorder="1"/>
    <xf numFmtId="0" fontId="0" fillId="0" borderId="55" xfId="0" applyFill="1" applyBorder="1"/>
    <xf numFmtId="0" fontId="0" fillId="0" borderId="10" xfId="0" applyFill="1" applyBorder="1"/>
    <xf numFmtId="0" fontId="0" fillId="0" borderId="14" xfId="0" applyFill="1" applyBorder="1"/>
    <xf numFmtId="0" fontId="12" fillId="9" borderId="9" xfId="0" applyFont="1" applyFill="1" applyBorder="1" applyAlignment="1">
      <alignment vertical="center" wrapText="1"/>
    </xf>
    <xf numFmtId="0" fontId="1" fillId="11" borderId="9" xfId="0" applyFont="1" applyFill="1" applyBorder="1" applyAlignment="1">
      <alignment vertical="center" wrapText="1"/>
    </xf>
    <xf numFmtId="0" fontId="0" fillId="9" borderId="86" xfId="0" applyFill="1" applyBorder="1" applyAlignment="1">
      <alignment vertical="center" wrapText="1"/>
    </xf>
    <xf numFmtId="0" fontId="12" fillId="9" borderId="6" xfId="0" applyFont="1" applyFill="1" applyBorder="1" applyAlignment="1">
      <alignment vertical="center" wrapText="1"/>
    </xf>
    <xf numFmtId="0" fontId="12" fillId="11" borderId="9" xfId="0" applyFont="1" applyFill="1" applyBorder="1" applyAlignment="1">
      <alignment vertical="center" wrapText="1"/>
    </xf>
    <xf numFmtId="0" fontId="0" fillId="2" borderId="13"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0" fillId="6" borderId="12" xfId="0" applyFill="1" applyBorder="1" applyAlignment="1" applyProtection="1">
      <alignment vertical="center"/>
      <protection locked="0"/>
    </xf>
    <xf numFmtId="0" fontId="18" fillId="6" borderId="12" xfId="0" applyFont="1" applyFill="1" applyBorder="1" applyAlignment="1" applyProtection="1">
      <alignment vertical="center"/>
      <protection locked="0"/>
    </xf>
    <xf numFmtId="0" fontId="0" fillId="2" borderId="12" xfId="0" applyFill="1" applyBorder="1" applyAlignment="1" applyProtection="1">
      <alignment horizontal="center" vertical="center"/>
      <protection locked="0"/>
    </xf>
    <xf numFmtId="2" fontId="0" fillId="2" borderId="12" xfId="0" applyNumberFormat="1"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0" borderId="0" xfId="0" applyAlignment="1" applyProtection="1">
      <alignment vertical="center"/>
    </xf>
    <xf numFmtId="0" fontId="6" fillId="0" borderId="0" xfId="0" applyFont="1" applyAlignment="1" applyProtection="1">
      <alignment horizontal="center" vertical="center"/>
    </xf>
    <xf numFmtId="0" fontId="1" fillId="11" borderId="0" xfId="0" applyFont="1" applyFill="1" applyAlignment="1" applyProtection="1">
      <alignment vertical="center" wrapText="1"/>
    </xf>
    <xf numFmtId="0" fontId="0" fillId="14" borderId="20" xfId="0" applyFill="1" applyBorder="1" applyAlignment="1" applyProtection="1">
      <alignment vertical="center"/>
    </xf>
    <xf numFmtId="0" fontId="6" fillId="14" borderId="11" xfId="0" applyFont="1" applyFill="1" applyBorder="1" applyAlignment="1" applyProtection="1">
      <alignment horizontal="center" vertical="center"/>
    </xf>
    <xf numFmtId="0" fontId="0" fillId="0" borderId="0" xfId="0" applyAlignment="1" applyProtection="1">
      <alignment vertical="center" wrapText="1"/>
    </xf>
    <xf numFmtId="0" fontId="0" fillId="14" borderId="21" xfId="0" applyFill="1" applyBorder="1" applyAlignment="1" applyProtection="1">
      <alignment vertical="center"/>
    </xf>
    <xf numFmtId="0" fontId="0" fillId="0" borderId="44" xfId="0" applyBorder="1" applyAlignment="1" applyProtection="1">
      <alignment horizontal="right" vertical="center"/>
    </xf>
    <xf numFmtId="0" fontId="0" fillId="0" borderId="45" xfId="0" applyBorder="1" applyAlignment="1" applyProtection="1">
      <alignment vertical="center"/>
    </xf>
    <xf numFmtId="0" fontId="0" fillId="0" borderId="10" xfId="0" applyBorder="1" applyAlignment="1" applyProtection="1">
      <alignment horizontal="right" vertical="center"/>
    </xf>
    <xf numFmtId="0" fontId="0" fillId="0" borderId="3" xfId="0" applyBorder="1" applyAlignment="1" applyProtection="1">
      <alignment vertical="center"/>
    </xf>
    <xf numFmtId="0" fontId="1" fillId="11" borderId="12" xfId="0" applyFont="1" applyFill="1" applyBorder="1" applyAlignment="1" applyProtection="1">
      <alignment vertical="center" wrapText="1"/>
    </xf>
    <xf numFmtId="0" fontId="0" fillId="11" borderId="0" xfId="0" applyFill="1" applyBorder="1" applyAlignment="1" applyProtection="1">
      <alignment vertical="center"/>
    </xf>
    <xf numFmtId="0" fontId="1" fillId="11" borderId="0" xfId="0" applyFont="1" applyFill="1" applyBorder="1" applyAlignment="1" applyProtection="1">
      <alignment vertical="center" wrapText="1"/>
    </xf>
    <xf numFmtId="0" fontId="0" fillId="0" borderId="10" xfId="0" applyBorder="1" applyAlignment="1" applyProtection="1">
      <alignment horizontal="right" vertical="center" wrapText="1"/>
    </xf>
    <xf numFmtId="0" fontId="0" fillId="0" borderId="14" xfId="0" applyBorder="1" applyAlignment="1" applyProtection="1">
      <alignment horizontal="right" vertical="center"/>
    </xf>
    <xf numFmtId="0" fontId="0" fillId="0" borderId="2" xfId="0" applyBorder="1" applyAlignment="1" applyProtection="1">
      <alignment vertical="center"/>
    </xf>
    <xf numFmtId="0" fontId="0" fillId="0" borderId="0" xfId="0" applyBorder="1" applyAlignment="1" applyProtection="1">
      <alignment horizontal="right" vertical="center"/>
    </xf>
    <xf numFmtId="0" fontId="0" fillId="0" borderId="0" xfId="0" applyBorder="1" applyAlignment="1" applyProtection="1">
      <alignment horizontal="center" vertical="center"/>
    </xf>
    <xf numFmtId="0" fontId="0" fillId="0" borderId="0" xfId="0" applyBorder="1" applyAlignment="1" applyProtection="1">
      <alignment vertical="center"/>
    </xf>
    <xf numFmtId="0" fontId="1" fillId="0" borderId="0" xfId="0" applyFont="1" applyBorder="1" applyAlignment="1" applyProtection="1">
      <alignment horizontal="right" vertical="center"/>
    </xf>
    <xf numFmtId="0" fontId="0" fillId="0" borderId="0" xfId="0" applyFill="1" applyBorder="1" applyAlignment="1" applyProtection="1">
      <alignment horizontal="center" vertical="center"/>
    </xf>
    <xf numFmtId="0" fontId="0" fillId="11" borderId="0" xfId="0" applyFill="1" applyBorder="1" applyAlignment="1" applyProtection="1">
      <alignment vertical="center" wrapText="1"/>
    </xf>
    <xf numFmtId="0" fontId="0" fillId="0" borderId="0" xfId="0" quotePrefix="1" applyFill="1" applyBorder="1" applyAlignment="1" applyProtection="1">
      <alignment horizontal="center" vertical="center"/>
    </xf>
    <xf numFmtId="0" fontId="0" fillId="0" borderId="0" xfId="0" applyBorder="1" applyAlignment="1" applyProtection="1">
      <alignment vertical="center" wrapText="1"/>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0" xfId="0" quotePrefix="1" applyAlignment="1" applyProtection="1">
      <alignment horizontal="right" vertical="center"/>
    </xf>
    <xf numFmtId="172" fontId="6" fillId="10" borderId="66" xfId="0" applyNumberFormat="1" applyFont="1" applyFill="1" applyBorder="1" applyAlignment="1" applyProtection="1">
      <alignment horizontal="center" vertical="center"/>
    </xf>
    <xf numFmtId="0" fontId="0" fillId="0" borderId="0" xfId="0" applyFill="1" applyAlignment="1" applyProtection="1">
      <alignment vertical="center"/>
    </xf>
    <xf numFmtId="0" fontId="0" fillId="0" borderId="0" xfId="0" applyFill="1" applyBorder="1" applyAlignment="1" applyProtection="1">
      <alignment horizontal="right" vertical="center"/>
    </xf>
    <xf numFmtId="0" fontId="0" fillId="0" borderId="0" xfId="0" applyFill="1" applyBorder="1" applyAlignment="1" applyProtection="1">
      <alignment vertical="center"/>
    </xf>
    <xf numFmtId="0" fontId="0" fillId="0" borderId="0" xfId="0" applyFill="1" applyBorder="1" applyAlignment="1" applyProtection="1">
      <alignment vertical="center" wrapText="1"/>
    </xf>
    <xf numFmtId="0" fontId="6" fillId="5" borderId="20" xfId="0" applyFont="1" applyFill="1" applyBorder="1" applyAlignment="1" applyProtection="1">
      <alignment horizontal="left" vertical="center"/>
    </xf>
    <xf numFmtId="0" fontId="0" fillId="5" borderId="11" xfId="0" applyFill="1" applyBorder="1" applyAlignment="1" applyProtection="1">
      <alignment vertical="center"/>
    </xf>
    <xf numFmtId="0" fontId="6" fillId="5" borderId="21" xfId="0" applyFont="1" applyFill="1" applyBorder="1" applyAlignment="1" applyProtection="1">
      <alignment horizontal="left" vertical="center"/>
    </xf>
    <xf numFmtId="0" fontId="0" fillId="5" borderId="20" xfId="0" applyFill="1" applyBorder="1" applyAlignment="1" applyProtection="1">
      <alignment horizontal="center" vertical="center"/>
    </xf>
    <xf numFmtId="0" fontId="1" fillId="0" borderId="0" xfId="0" applyFont="1" applyFill="1" applyBorder="1" applyAlignment="1" applyProtection="1">
      <alignment horizontal="right" vertical="center"/>
    </xf>
    <xf numFmtId="0" fontId="1" fillId="11" borderId="6"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0" fillId="6" borderId="24" xfId="0" applyFill="1" applyBorder="1" applyAlignment="1" applyProtection="1">
      <alignment vertical="center"/>
    </xf>
    <xf numFmtId="0" fontId="0" fillId="6" borderId="0" xfId="0" applyFill="1" applyBorder="1" applyAlignment="1" applyProtection="1">
      <alignment vertical="center"/>
    </xf>
    <xf numFmtId="0" fontId="0" fillId="0" borderId="23" xfId="0" applyBorder="1" applyAlignment="1" applyProtection="1">
      <alignment horizontal="left" vertical="center" wrapText="1"/>
    </xf>
    <xf numFmtId="0" fontId="0" fillId="0" borderId="24" xfId="0" applyBorder="1" applyAlignment="1" applyProtection="1">
      <alignment vertical="center"/>
    </xf>
    <xf numFmtId="0" fontId="0" fillId="9" borderId="24" xfId="0" applyFill="1" applyBorder="1" applyAlignment="1" applyProtection="1">
      <alignment horizontal="right" vertical="center"/>
    </xf>
    <xf numFmtId="0" fontId="0" fillId="0" borderId="23" xfId="0" applyBorder="1" applyAlignment="1" applyProtection="1">
      <alignment vertical="center"/>
    </xf>
    <xf numFmtId="0" fontId="0" fillId="6" borderId="9" xfId="0" applyFill="1" applyBorder="1" applyAlignment="1" applyProtection="1">
      <alignment vertical="center"/>
    </xf>
    <xf numFmtId="0" fontId="4" fillId="6" borderId="26" xfId="0" applyFont="1" applyFill="1" applyBorder="1" applyAlignment="1" applyProtection="1">
      <alignment vertical="top"/>
    </xf>
    <xf numFmtId="0" fontId="0" fillId="9" borderId="0" xfId="0" applyFill="1" applyBorder="1" applyAlignment="1" applyProtection="1">
      <alignment horizontal="right" vertical="center"/>
    </xf>
    <xf numFmtId="0" fontId="0" fillId="0" borderId="20"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6" borderId="11" xfId="0" applyFill="1" applyBorder="1" applyAlignment="1" applyProtection="1">
      <alignment horizontal="center" vertical="center"/>
    </xf>
    <xf numFmtId="0" fontId="6" fillId="9" borderId="0" xfId="0" applyFont="1" applyFill="1" applyAlignment="1" applyProtection="1">
      <alignment vertical="center"/>
    </xf>
    <xf numFmtId="0" fontId="12" fillId="6" borderId="31" xfId="0" applyFont="1" applyFill="1" applyBorder="1" applyAlignment="1" applyProtection="1">
      <alignment horizontal="center" vertical="center"/>
    </xf>
    <xf numFmtId="0" fontId="0" fillId="9" borderId="0" xfId="0" applyFill="1" applyAlignment="1" applyProtection="1">
      <alignment vertical="center"/>
    </xf>
    <xf numFmtId="0" fontId="0" fillId="11" borderId="0" xfId="0" applyFill="1" applyAlignment="1" applyProtection="1">
      <alignment vertical="center" wrapText="1"/>
    </xf>
    <xf numFmtId="0" fontId="8" fillId="0" borderId="0" xfId="0" applyFont="1" applyAlignment="1" applyProtection="1">
      <alignment vertical="center"/>
    </xf>
    <xf numFmtId="0" fontId="12" fillId="2" borderId="66" xfId="0" applyFont="1" applyFill="1" applyBorder="1" applyAlignment="1" applyProtection="1">
      <alignment horizontal="center" vertical="center"/>
      <protection locked="0"/>
    </xf>
    <xf numFmtId="172" fontId="12" fillId="2" borderId="66" xfId="0" applyNumberFormat="1" applyFont="1" applyFill="1" applyBorder="1" applyAlignment="1" applyProtection="1">
      <alignment horizontal="center" vertical="center"/>
      <protection locked="0"/>
    </xf>
    <xf numFmtId="0" fontId="0" fillId="6" borderId="34" xfId="0" applyFill="1" applyBorder="1" applyAlignment="1" applyProtection="1">
      <alignment horizontal="center" vertical="center"/>
      <protection locked="0"/>
    </xf>
    <xf numFmtId="0" fontId="0" fillId="6" borderId="6" xfId="0" applyFill="1" applyBorder="1" applyAlignment="1" applyProtection="1">
      <alignment horizontal="center" vertical="center"/>
      <protection locked="0"/>
    </xf>
    <xf numFmtId="0" fontId="29" fillId="6" borderId="31" xfId="0" applyFont="1" applyFill="1" applyBorder="1" applyAlignment="1" applyProtection="1">
      <alignment horizontal="center" vertical="center"/>
      <protection locked="0"/>
    </xf>
    <xf numFmtId="0" fontId="0" fillId="6" borderId="87" xfId="0" applyFill="1" applyBorder="1" applyAlignment="1" applyProtection="1">
      <alignment horizontal="center" vertical="center"/>
      <protection locked="0"/>
    </xf>
    <xf numFmtId="0" fontId="0" fillId="6" borderId="12" xfId="0" applyFill="1" applyBorder="1" applyAlignment="1" applyProtection="1">
      <alignment horizontal="center" vertical="center"/>
      <protection locked="0"/>
    </xf>
    <xf numFmtId="0" fontId="6" fillId="6" borderId="12" xfId="0" applyFont="1" applyFill="1" applyBorder="1" applyAlignment="1" applyProtection="1">
      <alignment vertical="center"/>
      <protection locked="0"/>
    </xf>
    <xf numFmtId="0" fontId="1" fillId="6" borderId="12" xfId="0" quotePrefix="1" applyFont="1" applyFill="1" applyBorder="1" applyAlignment="1" applyProtection="1">
      <alignment horizontal="center" vertical="center"/>
      <protection locked="0"/>
    </xf>
    <xf numFmtId="0" fontId="1" fillId="6" borderId="31" xfId="0" quotePrefix="1" applyFont="1" applyFill="1" applyBorder="1" applyAlignment="1" applyProtection="1">
      <alignment horizontal="center" vertical="center"/>
      <protection locked="0"/>
    </xf>
    <xf numFmtId="165" fontId="0" fillId="6" borderId="7" xfId="0" applyNumberFormat="1" applyFill="1" applyBorder="1" applyAlignment="1" applyProtection="1">
      <alignment horizontal="center" vertical="center"/>
      <protection locked="0"/>
    </xf>
    <xf numFmtId="165" fontId="0" fillId="6" borderId="22" xfId="0" applyNumberFormat="1" applyFill="1" applyBorder="1" applyAlignment="1" applyProtection="1">
      <alignment horizontal="center" vertical="center"/>
      <protection locked="0"/>
    </xf>
    <xf numFmtId="165" fontId="3" fillId="6" borderId="7" xfId="0" quotePrefix="1" applyNumberFormat="1" applyFont="1" applyFill="1" applyBorder="1" applyAlignment="1" applyProtection="1">
      <alignment horizontal="center" vertical="center"/>
      <protection locked="0"/>
    </xf>
    <xf numFmtId="0" fontId="1" fillId="6" borderId="7" xfId="0" quotePrefix="1" applyFont="1" applyFill="1" applyBorder="1" applyAlignment="1" applyProtection="1">
      <alignment horizontal="center" vertical="center"/>
      <protection locked="0"/>
    </xf>
    <xf numFmtId="0" fontId="1" fillId="6" borderId="7" xfId="0" applyFont="1" applyFill="1" applyBorder="1" applyAlignment="1" applyProtection="1">
      <alignment horizontal="center" vertical="center"/>
      <protection locked="0"/>
    </xf>
    <xf numFmtId="0" fontId="0" fillId="10" borderId="22" xfId="0" applyFill="1" applyBorder="1" applyAlignment="1" applyProtection="1">
      <alignment horizontal="center" vertical="center" wrapText="1"/>
      <protection locked="0"/>
    </xf>
    <xf numFmtId="0" fontId="0" fillId="10" borderId="7" xfId="0" applyFill="1" applyBorder="1" applyAlignment="1" applyProtection="1">
      <alignment horizontal="center" vertical="center" wrapText="1"/>
      <protection locked="0"/>
    </xf>
    <xf numFmtId="0" fontId="0" fillId="6" borderId="31" xfId="0" applyFill="1" applyBorder="1" applyAlignment="1" applyProtection="1">
      <alignment horizontal="center" vertical="center"/>
      <protection locked="0"/>
    </xf>
    <xf numFmtId="0" fontId="0" fillId="10" borderId="43" xfId="0" applyFill="1" applyBorder="1" applyAlignment="1" applyProtection="1">
      <alignment horizontal="center" vertical="center" wrapText="1"/>
      <protection locked="0"/>
    </xf>
    <xf numFmtId="0" fontId="12" fillId="10" borderId="7" xfId="0" applyFont="1" applyFill="1" applyBorder="1" applyAlignment="1" applyProtection="1">
      <alignment horizontal="center" vertical="center" wrapText="1"/>
      <protection locked="0"/>
    </xf>
    <xf numFmtId="0" fontId="12" fillId="6" borderId="12" xfId="0" applyFont="1" applyFill="1" applyBorder="1" applyAlignment="1" applyProtection="1">
      <alignment horizontal="center" vertical="center"/>
      <protection locked="0"/>
    </xf>
    <xf numFmtId="0" fontId="6" fillId="6" borderId="7" xfId="0" applyFont="1" applyFill="1" applyBorder="1" applyAlignment="1" applyProtection="1">
      <alignment horizontal="center" vertical="center" wrapText="1"/>
      <protection locked="0"/>
    </xf>
    <xf numFmtId="0" fontId="1" fillId="6" borderId="31" xfId="0" applyFont="1" applyFill="1" applyBorder="1" applyAlignment="1" applyProtection="1">
      <alignment horizontal="center" vertical="center" wrapText="1"/>
      <protection locked="0"/>
    </xf>
    <xf numFmtId="165" fontId="12" fillId="6" borderId="12" xfId="0" applyNumberFormat="1" applyFont="1" applyFill="1" applyBorder="1" applyAlignment="1" applyProtection="1">
      <alignment horizontal="center" vertical="center" wrapText="1"/>
      <protection locked="0"/>
    </xf>
    <xf numFmtId="165" fontId="1" fillId="6" borderId="7" xfId="0" applyNumberFormat="1" applyFont="1" applyFill="1" applyBorder="1" applyAlignment="1" applyProtection="1">
      <alignment horizontal="center" vertical="center"/>
      <protection locked="0"/>
    </xf>
    <xf numFmtId="0" fontId="1" fillId="2" borderId="7" xfId="0" applyFont="1" applyFill="1" applyBorder="1" applyAlignment="1" applyProtection="1">
      <alignment horizontal="justify" vertical="center"/>
      <protection locked="0"/>
    </xf>
    <xf numFmtId="0" fontId="1" fillId="2" borderId="7" xfId="0" quotePrefix="1" applyFont="1" applyFill="1" applyBorder="1" applyAlignment="1" applyProtection="1">
      <alignment vertical="center"/>
      <protection locked="0"/>
    </xf>
    <xf numFmtId="0" fontId="1" fillId="2" borderId="7" xfId="0" applyFont="1" applyFill="1" applyBorder="1" applyAlignment="1" applyProtection="1">
      <alignment vertical="center"/>
      <protection locked="0"/>
    </xf>
    <xf numFmtId="0" fontId="1" fillId="2" borderId="22" xfId="0" applyFont="1" applyFill="1" applyBorder="1" applyAlignment="1" applyProtection="1">
      <alignment vertical="center"/>
      <protection locked="0"/>
    </xf>
    <xf numFmtId="0" fontId="1" fillId="2" borderId="5" xfId="0" applyFont="1" applyFill="1" applyBorder="1" applyAlignment="1" applyProtection="1">
      <alignment horizontal="justify" vertical="center"/>
      <protection locked="0"/>
    </xf>
    <xf numFmtId="0" fontId="0" fillId="15" borderId="43" xfId="0" applyFill="1" applyBorder="1" applyAlignment="1" applyProtection="1">
      <alignment vertical="center" wrapText="1"/>
      <protection locked="0"/>
    </xf>
    <xf numFmtId="0" fontId="0" fillId="2" borderId="7" xfId="0"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0" fontId="23" fillId="11" borderId="4" xfId="0" applyFont="1" applyFill="1" applyBorder="1" applyAlignment="1" applyProtection="1">
      <alignment horizontal="center" vertical="center"/>
    </xf>
    <xf numFmtId="174" fontId="7" fillId="11" borderId="6" xfId="0" applyNumberFormat="1" applyFont="1" applyFill="1" applyBorder="1" applyAlignment="1" applyProtection="1">
      <alignment horizontal="center" vertical="center"/>
    </xf>
    <xf numFmtId="0" fontId="7" fillId="11" borderId="8" xfId="0" applyFont="1" applyFill="1" applyBorder="1" applyAlignment="1" applyProtection="1">
      <alignment horizontal="center" vertical="center"/>
    </xf>
    <xf numFmtId="0" fontId="0" fillId="0" borderId="6" xfId="0" applyBorder="1" applyProtection="1">
      <protection locked="0"/>
    </xf>
    <xf numFmtId="0" fontId="7" fillId="0" borderId="7" xfId="0" applyFont="1" applyFill="1" applyBorder="1" applyAlignment="1" applyProtection="1">
      <protection locked="0"/>
    </xf>
    <xf numFmtId="0" fontId="0" fillId="0" borderId="8" xfId="0" applyBorder="1" applyProtection="1">
      <protection locked="0"/>
    </xf>
    <xf numFmtId="0" fontId="7" fillId="0" borderId="22" xfId="0" applyFont="1" applyFill="1" applyBorder="1" applyAlignment="1" applyProtection="1">
      <protection locked="0"/>
    </xf>
    <xf numFmtId="0" fontId="0" fillId="0" borderId="31" xfId="0" applyBorder="1" applyProtection="1">
      <protection locked="0"/>
    </xf>
    <xf numFmtId="0" fontId="5" fillId="0" borderId="22" xfId="1" applyBorder="1" applyAlignment="1" applyProtection="1">
      <protection locked="0"/>
    </xf>
    <xf numFmtId="0" fontId="3" fillId="0" borderId="3" xfId="0" applyFont="1" applyBorder="1" applyProtection="1">
      <protection locked="0"/>
    </xf>
    <xf numFmtId="0" fontId="0" fillId="0" borderId="3" xfId="0" applyBorder="1" applyProtection="1">
      <protection locked="0"/>
    </xf>
    <xf numFmtId="0" fontId="0" fillId="0" borderId="2" xfId="0" applyBorder="1" applyProtection="1">
      <protection locked="0"/>
    </xf>
    <xf numFmtId="0" fontId="3" fillId="0" borderId="0" xfId="0" applyFont="1" applyBorder="1" applyAlignment="1" applyProtection="1">
      <alignment horizontal="center"/>
      <protection locked="0"/>
    </xf>
    <xf numFmtId="0" fontId="0" fillId="0" borderId="0" xfId="0" applyBorder="1" applyProtection="1">
      <protection locked="0"/>
    </xf>
    <xf numFmtId="0" fontId="3" fillId="5" borderId="0" xfId="0" applyFont="1" applyFill="1" applyBorder="1" applyProtection="1">
      <protection locked="0"/>
    </xf>
    <xf numFmtId="0" fontId="3" fillId="5" borderId="1" xfId="0" applyFont="1" applyFill="1" applyBorder="1" applyProtection="1">
      <protection locked="0"/>
    </xf>
    <xf numFmtId="0" fontId="0" fillId="0" borderId="1" xfId="0" applyBorder="1" applyAlignment="1" applyProtection="1">
      <alignment horizontal="left"/>
      <protection locked="0"/>
    </xf>
    <xf numFmtId="0" fontId="7" fillId="0" borderId="61" xfId="0" applyFont="1" applyFill="1" applyBorder="1" applyAlignment="1" applyProtection="1">
      <protection locked="0"/>
    </xf>
    <xf numFmtId="0" fontId="7" fillId="3" borderId="62" xfId="0" applyFont="1" applyFill="1" applyBorder="1" applyAlignment="1" applyProtection="1">
      <protection locked="0"/>
    </xf>
    <xf numFmtId="0" fontId="0" fillId="3" borderId="62" xfId="0" applyFill="1" applyBorder="1" applyProtection="1">
      <protection locked="0"/>
    </xf>
    <xf numFmtId="0" fontId="0" fillId="3" borderId="62" xfId="0" applyFill="1" applyBorder="1" applyAlignment="1" applyProtection="1">
      <alignment horizontal="center"/>
      <protection locked="0"/>
    </xf>
    <xf numFmtId="0" fontId="7" fillId="0" borderId="62" xfId="0" applyFont="1" applyFill="1" applyBorder="1" applyAlignment="1" applyProtection="1">
      <protection locked="0"/>
    </xf>
    <xf numFmtId="0" fontId="0" fillId="0" borderId="62" xfId="0" applyBorder="1" applyProtection="1">
      <protection locked="0"/>
    </xf>
    <xf numFmtId="170" fontId="0" fillId="0" borderId="62" xfId="0" applyNumberFormat="1" applyBorder="1" applyProtection="1">
      <protection locked="0"/>
    </xf>
    <xf numFmtId="0" fontId="3" fillId="0" borderId="62" xfId="0" quotePrefix="1" applyFont="1" applyBorder="1" applyAlignment="1" applyProtection="1">
      <alignment horizontal="left"/>
      <protection locked="0"/>
    </xf>
    <xf numFmtId="0" fontId="3" fillId="0" borderId="62" xfId="0" applyFont="1" applyBorder="1" applyProtection="1">
      <protection locked="0"/>
    </xf>
    <xf numFmtId="0" fontId="17" fillId="0" borderId="62" xfId="0" quotePrefix="1" applyFont="1" applyFill="1" applyBorder="1" applyAlignment="1" applyProtection="1">
      <alignment horizontal="right"/>
      <protection locked="0"/>
    </xf>
    <xf numFmtId="14" fontId="3" fillId="0" borderId="62" xfId="0" applyNumberFormat="1" applyFont="1" applyBorder="1" applyProtection="1">
      <protection locked="0"/>
    </xf>
    <xf numFmtId="1" fontId="3" fillId="0" borderId="62" xfId="0" applyNumberFormat="1" applyFont="1" applyBorder="1" applyProtection="1">
      <protection locked="0"/>
    </xf>
    <xf numFmtId="0" fontId="17" fillId="0" borderId="62" xfId="0" applyFont="1" applyFill="1" applyBorder="1" applyAlignment="1" applyProtection="1">
      <alignment horizontal="right"/>
      <protection locked="0"/>
    </xf>
    <xf numFmtId="0" fontId="7" fillId="0" borderId="65" xfId="0" applyFont="1" applyFill="1" applyBorder="1" applyAlignment="1" applyProtection="1">
      <protection locked="0"/>
    </xf>
    <xf numFmtId="0" fontId="7" fillId="0" borderId="88" xfId="0" applyFont="1" applyFill="1" applyBorder="1" applyAlignment="1" applyProtection="1">
      <protection locked="0"/>
    </xf>
    <xf numFmtId="0" fontId="0" fillId="0" borderId="88" xfId="0" applyBorder="1" applyProtection="1">
      <protection locked="0"/>
    </xf>
    <xf numFmtId="0" fontId="7" fillId="3" borderId="10" xfId="0" applyFont="1" applyFill="1" applyBorder="1" applyAlignment="1" applyProtection="1">
      <protection locked="0"/>
    </xf>
    <xf numFmtId="0" fontId="7" fillId="3" borderId="0" xfId="0" applyFont="1" applyFill="1" applyBorder="1" applyAlignment="1" applyProtection="1">
      <protection locked="0"/>
    </xf>
    <xf numFmtId="0" fontId="0" fillId="3" borderId="0" xfId="0" applyFill="1" applyBorder="1" applyProtection="1">
      <protection locked="0"/>
    </xf>
    <xf numFmtId="0" fontId="0" fillId="3" borderId="3" xfId="0" applyFill="1" applyBorder="1" applyProtection="1">
      <protection locked="0"/>
    </xf>
    <xf numFmtId="0" fontId="7" fillId="0" borderId="10" xfId="0" applyFont="1" applyFill="1" applyBorder="1" applyAlignment="1" applyProtection="1">
      <protection locked="0"/>
    </xf>
    <xf numFmtId="0" fontId="7" fillId="0" borderId="0" xfId="0" applyFont="1" applyFill="1" applyBorder="1" applyAlignment="1" applyProtection="1">
      <protection locked="0"/>
    </xf>
    <xf numFmtId="0" fontId="0" fillId="0" borderId="0" xfId="0" applyBorder="1" applyAlignment="1" applyProtection="1">
      <alignment horizontal="right"/>
      <protection locked="0"/>
    </xf>
    <xf numFmtId="0" fontId="0" fillId="0" borderId="0" xfId="0" quotePrefix="1" applyBorder="1" applyAlignment="1" applyProtection="1">
      <alignment horizontal="right"/>
      <protection locked="0"/>
    </xf>
    <xf numFmtId="0" fontId="7" fillId="0" borderId="14" xfId="0" applyFont="1" applyFill="1" applyBorder="1" applyAlignment="1" applyProtection="1">
      <protection locked="0"/>
    </xf>
    <xf numFmtId="0" fontId="7" fillId="0" borderId="1" xfId="0" applyFont="1" applyFill="1" applyBorder="1" applyAlignment="1" applyProtection="1">
      <protection locked="0"/>
    </xf>
    <xf numFmtId="0" fontId="0" fillId="0" borderId="1" xfId="0" applyBorder="1" applyAlignment="1" applyProtection="1">
      <alignment horizontal="right"/>
      <protection locked="0"/>
    </xf>
    <xf numFmtId="2" fontId="0" fillId="0" borderId="63" xfId="0" applyNumberFormat="1" applyBorder="1" applyProtection="1">
      <protection locked="0"/>
    </xf>
    <xf numFmtId="0" fontId="0" fillId="0" borderId="1" xfId="0" applyBorder="1" applyProtection="1">
      <protection locked="0"/>
    </xf>
    <xf numFmtId="0" fontId="0" fillId="0" borderId="1" xfId="0" applyFill="1" applyBorder="1" applyProtection="1">
      <protection locked="0"/>
    </xf>
    <xf numFmtId="0" fontId="0" fillId="0" borderId="21" xfId="0" applyBorder="1" applyProtection="1">
      <protection locked="0"/>
    </xf>
    <xf numFmtId="0" fontId="0" fillId="0" borderId="0" xfId="0" applyProtection="1">
      <protection locked="0"/>
    </xf>
    <xf numFmtId="0" fontId="0" fillId="0" borderId="12" xfId="0" applyBorder="1" applyProtection="1">
      <protection locked="0"/>
    </xf>
    <xf numFmtId="0" fontId="0" fillId="5" borderId="7" xfId="0" applyFill="1" applyBorder="1" applyProtection="1">
      <protection locked="0"/>
    </xf>
    <xf numFmtId="0" fontId="0" fillId="0" borderId="7" xfId="0" applyBorder="1" applyProtection="1">
      <protection locked="0"/>
    </xf>
    <xf numFmtId="0" fontId="0" fillId="0" borderId="22" xfId="0" applyBorder="1" applyProtection="1">
      <protection locked="0"/>
    </xf>
    <xf numFmtId="0" fontId="0" fillId="0" borderId="38" xfId="0" applyBorder="1" applyProtection="1">
      <protection locked="0"/>
    </xf>
    <xf numFmtId="0" fontId="0" fillId="3" borderId="45" xfId="0" applyFill="1" applyBorder="1" applyProtection="1">
      <protection locked="0"/>
    </xf>
    <xf numFmtId="0" fontId="0" fillId="0" borderId="3" xfId="0" applyFill="1" applyBorder="1" applyProtection="1">
      <protection locked="0"/>
    </xf>
    <xf numFmtId="0" fontId="0" fillId="9" borderId="22" xfId="0" applyFill="1" applyBorder="1" applyAlignment="1" applyProtection="1">
      <alignment horizontal="left"/>
      <protection locked="0"/>
    </xf>
    <xf numFmtId="0" fontId="0" fillId="0" borderId="2" xfId="0" applyBorder="1" applyAlignment="1" applyProtection="1">
      <alignment horizontal="left"/>
      <protection locked="0"/>
    </xf>
    <xf numFmtId="0" fontId="0" fillId="0" borderId="22" xfId="0" applyBorder="1" applyAlignment="1" applyProtection="1">
      <alignment horizontal="left"/>
      <protection locked="0"/>
    </xf>
    <xf numFmtId="0" fontId="0" fillId="0" borderId="0" xfId="0" applyAlignment="1" applyProtection="1">
      <alignment horizontal="left"/>
      <protection locked="0"/>
    </xf>
    <xf numFmtId="0" fontId="0" fillId="0" borderId="24" xfId="0" applyBorder="1" applyAlignment="1" applyProtection="1">
      <alignment wrapText="1"/>
      <protection locked="0"/>
    </xf>
    <xf numFmtId="0" fontId="0" fillId="0" borderId="26" xfId="0" applyBorder="1" applyAlignment="1" applyProtection="1">
      <alignment wrapText="1"/>
      <protection locked="0"/>
    </xf>
    <xf numFmtId="0" fontId="0" fillId="0" borderId="12" xfId="0" applyBorder="1" applyAlignment="1">
      <alignment wrapText="1"/>
    </xf>
    <xf numFmtId="0" fontId="0" fillId="0" borderId="12" xfId="0" applyFill="1" applyBorder="1" applyAlignment="1">
      <alignment wrapText="1"/>
    </xf>
    <xf numFmtId="0" fontId="0" fillId="0" borderId="12" xfId="0" applyBorder="1" applyAlignment="1">
      <alignment horizontal="right"/>
    </xf>
    <xf numFmtId="0" fontId="0" fillId="0" borderId="12" xfId="0" applyBorder="1" applyAlignment="1">
      <alignment horizontal="center"/>
    </xf>
    <xf numFmtId="0" fontId="0" fillId="0" borderId="12" xfId="0" quotePrefix="1" applyBorder="1" applyAlignment="1">
      <alignment horizontal="right"/>
    </xf>
    <xf numFmtId="0" fontId="11" fillId="5" borderId="12" xfId="0" applyFont="1" applyFill="1" applyBorder="1" applyAlignment="1">
      <alignment horizontal="center"/>
    </xf>
    <xf numFmtId="0" fontId="11" fillId="0" borderId="12" xfId="0" applyFont="1" applyBorder="1" applyAlignment="1">
      <alignment horizontal="center"/>
    </xf>
    <xf numFmtId="0" fontId="11" fillId="0" borderId="12" xfId="0" quotePrefix="1" applyFont="1" applyBorder="1" applyAlignment="1">
      <alignment horizontal="center"/>
    </xf>
    <xf numFmtId="0" fontId="0" fillId="0" borderId="12" xfId="0" applyBorder="1" applyAlignment="1">
      <alignment horizontal="right" wrapText="1"/>
    </xf>
    <xf numFmtId="165" fontId="6" fillId="6" borderId="12" xfId="0" applyNumberFormat="1" applyFont="1" applyFill="1" applyBorder="1" applyAlignment="1" applyProtection="1">
      <alignment horizontal="center" vertical="center"/>
      <protection locked="0"/>
    </xf>
    <xf numFmtId="2" fontId="6" fillId="6" borderId="12" xfId="0" applyNumberFormat="1" applyFont="1" applyFill="1" applyBorder="1" applyAlignment="1" applyProtection="1">
      <alignment horizontal="center" vertical="center"/>
      <protection locked="0"/>
    </xf>
    <xf numFmtId="0" fontId="6" fillId="9" borderId="6" xfId="0" applyFont="1" applyFill="1" applyBorder="1" applyAlignment="1" applyProtection="1">
      <alignment horizontal="center" vertical="center"/>
      <protection locked="0"/>
    </xf>
    <xf numFmtId="0" fontId="0" fillId="9" borderId="83" xfId="0" applyFill="1" applyBorder="1" applyAlignment="1">
      <alignment vertical="center" wrapText="1"/>
    </xf>
    <xf numFmtId="0" fontId="0" fillId="9" borderId="48" xfId="0" applyFill="1" applyBorder="1" applyAlignment="1">
      <alignment vertical="center" wrapText="1"/>
    </xf>
    <xf numFmtId="0" fontId="0" fillId="9" borderId="48" xfId="0" applyFill="1" applyBorder="1" applyAlignment="1">
      <alignment horizontal="center" vertical="center"/>
    </xf>
    <xf numFmtId="9" fontId="0" fillId="0" borderId="0" xfId="0" applyNumberFormat="1" applyFill="1" applyBorder="1"/>
    <xf numFmtId="0" fontId="0" fillId="0" borderId="6" xfId="0" applyFill="1" applyBorder="1" applyAlignment="1">
      <alignment vertical="center" wrapText="1"/>
    </xf>
    <xf numFmtId="0" fontId="0" fillId="3" borderId="23" xfId="0" applyFill="1" applyBorder="1" applyAlignment="1">
      <alignment vertical="center"/>
    </xf>
    <xf numFmtId="0" fontId="0" fillId="3" borderId="7" xfId="0" applyFill="1" applyBorder="1" applyAlignment="1">
      <alignment horizontal="center" vertical="center"/>
    </xf>
    <xf numFmtId="0" fontId="0" fillId="9" borderId="46" xfId="0" applyFill="1" applyBorder="1" applyAlignment="1">
      <alignment horizontal="right" vertical="center" wrapText="1"/>
    </xf>
    <xf numFmtId="0" fontId="6" fillId="3" borderId="21" xfId="0" applyFont="1" applyFill="1" applyBorder="1" applyAlignment="1" applyProtection="1">
      <alignment horizontal="center" vertical="center" wrapText="1"/>
      <protection locked="0"/>
    </xf>
    <xf numFmtId="0" fontId="6" fillId="9" borderId="1" xfId="0" applyFont="1" applyFill="1" applyBorder="1" applyAlignment="1" applyProtection="1">
      <alignment horizontal="center" vertical="center"/>
      <protection locked="0"/>
    </xf>
    <xf numFmtId="0" fontId="6" fillId="5" borderId="21" xfId="0" applyFont="1" applyFill="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9" borderId="5" xfId="0" applyFill="1" applyBorder="1" applyAlignment="1" applyProtection="1">
      <alignment horizontal="center" vertical="center" wrapText="1"/>
      <protection locked="0"/>
    </xf>
    <xf numFmtId="0" fontId="0" fillId="9" borderId="56" xfId="0" applyFill="1" applyBorder="1" applyAlignment="1" applyProtection="1">
      <alignment horizontal="left" vertical="center"/>
      <protection locked="0"/>
    </xf>
    <xf numFmtId="0" fontId="6" fillId="9" borderId="11" xfId="0" applyFont="1" applyFill="1" applyBorder="1" applyAlignment="1" applyProtection="1">
      <alignment horizontal="center" vertical="center" wrapText="1"/>
      <protection locked="0"/>
    </xf>
    <xf numFmtId="0" fontId="0" fillId="9" borderId="0" xfId="0" applyFill="1" applyBorder="1" applyAlignment="1" applyProtection="1">
      <alignment horizontal="center" vertical="center" wrapText="1"/>
      <protection locked="0"/>
    </xf>
    <xf numFmtId="0" fontId="6" fillId="5" borderId="30" xfId="0" applyFont="1" applyFill="1" applyBorder="1" applyAlignment="1" applyProtection="1">
      <alignment horizontal="center" vertical="center" wrapText="1"/>
      <protection locked="0"/>
    </xf>
    <xf numFmtId="0" fontId="0" fillId="9" borderId="0" xfId="0" applyFill="1" applyBorder="1" applyAlignment="1" applyProtection="1">
      <alignment vertical="center"/>
    </xf>
    <xf numFmtId="0" fontId="1" fillId="0" borderId="0" xfId="0" applyFont="1" applyFill="1" applyBorder="1" applyAlignment="1" applyProtection="1">
      <alignment horizontal="left" vertical="center"/>
    </xf>
    <xf numFmtId="0" fontId="0" fillId="3" borderId="5" xfId="0" applyFill="1" applyBorder="1" applyAlignment="1">
      <alignment horizontal="center" vertical="center" wrapText="1"/>
    </xf>
    <xf numFmtId="0" fontId="0" fillId="0" borderId="0" xfId="0" applyFill="1" applyBorder="1" applyProtection="1">
      <protection locked="0"/>
    </xf>
    <xf numFmtId="0" fontId="0" fillId="0" borderId="11" xfId="0" applyFill="1" applyBorder="1" applyAlignment="1" applyProtection="1">
      <alignment horizontal="right" vertical="center"/>
    </xf>
    <xf numFmtId="165" fontId="12" fillId="0" borderId="24" xfId="0" quotePrefix="1" applyNumberFormat="1" applyFont="1" applyFill="1" applyBorder="1" applyAlignment="1" applyProtection="1">
      <alignment horizontal="center" vertical="center" wrapText="1"/>
      <protection locked="0"/>
    </xf>
    <xf numFmtId="0" fontId="6" fillId="0" borderId="43" xfId="0" applyFont="1" applyFill="1" applyBorder="1" applyAlignment="1" applyProtection="1">
      <alignment vertical="center"/>
    </xf>
    <xf numFmtId="0" fontId="6" fillId="3" borderId="43" xfId="0" quotePrefix="1" applyFont="1" applyFill="1" applyBorder="1" applyAlignment="1">
      <alignment horizontal="center" vertical="center" wrapText="1"/>
    </xf>
    <xf numFmtId="0" fontId="6" fillId="0" borderId="10" xfId="0" quotePrefix="1" applyFont="1" applyFill="1" applyBorder="1" applyAlignment="1">
      <alignment horizontal="center" wrapText="1"/>
    </xf>
    <xf numFmtId="0" fontId="12" fillId="11" borderId="6" xfId="0" applyFont="1" applyFill="1" applyBorder="1" applyAlignment="1">
      <alignment vertical="center" wrapText="1"/>
    </xf>
    <xf numFmtId="0" fontId="1" fillId="11" borderId="6" xfId="0" applyFont="1" applyFill="1" applyBorder="1" applyAlignment="1">
      <alignment vertical="center" wrapText="1"/>
    </xf>
    <xf numFmtId="0" fontId="11" fillId="0" borderId="12" xfId="0" applyFont="1" applyBorder="1" applyAlignment="1" applyProtection="1">
      <alignment horizontal="center" vertical="center"/>
    </xf>
    <xf numFmtId="0" fontId="16" fillId="9" borderId="1" xfId="0" applyFont="1" applyFill="1" applyBorder="1" applyAlignment="1" applyProtection="1">
      <alignment horizontal="center" vertical="center" wrapText="1"/>
    </xf>
    <xf numFmtId="0" fontId="16" fillId="0" borderId="50" xfId="0" applyFont="1" applyBorder="1" applyAlignment="1" applyProtection="1">
      <alignment horizontal="center" vertical="center" wrapText="1"/>
    </xf>
    <xf numFmtId="0" fontId="35" fillId="0" borderId="31" xfId="0" applyFont="1" applyBorder="1" applyAlignment="1" applyProtection="1">
      <alignment horizontal="center" vertical="center"/>
    </xf>
    <xf numFmtId="0" fontId="34" fillId="5" borderId="82" xfId="0" applyFont="1" applyFill="1" applyBorder="1" applyAlignment="1" applyProtection="1">
      <alignment horizontal="center" vertical="center"/>
    </xf>
    <xf numFmtId="0" fontId="0" fillId="6" borderId="27" xfId="0" applyFill="1" applyBorder="1" applyAlignment="1">
      <alignment vertical="center"/>
    </xf>
    <xf numFmtId="0" fontId="16" fillId="9" borderId="30" xfId="0" applyFont="1" applyFill="1" applyBorder="1" applyAlignment="1">
      <alignment horizontal="center" vertical="center"/>
    </xf>
    <xf numFmtId="0" fontId="16" fillId="9" borderId="50" xfId="0" applyFont="1" applyFill="1" applyBorder="1" applyAlignment="1">
      <alignment horizontal="center" vertical="center"/>
    </xf>
    <xf numFmtId="0" fontId="16" fillId="9" borderId="54" xfId="0" applyFont="1" applyFill="1" applyBorder="1" applyAlignment="1">
      <alignment horizontal="center" vertical="center"/>
    </xf>
    <xf numFmtId="0" fontId="35" fillId="9" borderId="12" xfId="0" applyFont="1" applyFill="1" applyBorder="1" applyAlignment="1">
      <alignment horizontal="center" vertical="center"/>
    </xf>
    <xf numFmtId="0" fontId="35" fillId="9" borderId="75" xfId="0" applyFont="1" applyFill="1" applyBorder="1" applyAlignment="1">
      <alignment horizontal="center" vertical="center"/>
    </xf>
    <xf numFmtId="0" fontId="11" fillId="9" borderId="7" xfId="0" applyFont="1" applyFill="1" applyBorder="1" applyAlignment="1">
      <alignment horizontal="center" vertical="center"/>
    </xf>
    <xf numFmtId="0" fontId="31" fillId="9" borderId="7" xfId="0" quotePrefix="1" applyFont="1" applyFill="1" applyBorder="1" applyAlignment="1">
      <alignment horizontal="center" vertical="center"/>
    </xf>
    <xf numFmtId="165" fontId="11" fillId="9" borderId="7" xfId="0" quotePrefix="1" applyNumberFormat="1" applyFont="1" applyFill="1" applyBorder="1" applyAlignment="1">
      <alignment horizontal="center" vertical="center"/>
    </xf>
    <xf numFmtId="2" fontId="11" fillId="0" borderId="7" xfId="0" quotePrefix="1" applyNumberFormat="1" applyFont="1" applyBorder="1" applyAlignment="1">
      <alignment horizontal="center" vertical="center"/>
    </xf>
    <xf numFmtId="165" fontId="11" fillId="9" borderId="30" xfId="0" quotePrefix="1" applyNumberFormat="1" applyFont="1" applyFill="1" applyBorder="1" applyAlignment="1">
      <alignment horizontal="center" vertical="center"/>
    </xf>
    <xf numFmtId="2" fontId="3" fillId="9" borderId="12" xfId="0" applyNumberFormat="1" applyFont="1" applyFill="1" applyBorder="1" applyAlignment="1">
      <alignment horizontal="center" vertical="center"/>
    </xf>
    <xf numFmtId="2" fontId="3" fillId="9" borderId="31" xfId="0" applyNumberFormat="1" applyFont="1" applyFill="1" applyBorder="1" applyAlignment="1">
      <alignment horizontal="center" vertical="center"/>
    </xf>
    <xf numFmtId="0" fontId="11" fillId="0" borderId="7" xfId="0" applyFont="1" applyFill="1" applyBorder="1" applyAlignment="1">
      <alignment horizontal="center" vertical="center"/>
    </xf>
    <xf numFmtId="0" fontId="11" fillId="11" borderId="7" xfId="0" applyFont="1" applyFill="1" applyBorder="1" applyAlignment="1">
      <alignment horizontal="center" vertical="center"/>
    </xf>
    <xf numFmtId="0" fontId="11" fillId="11" borderId="22" xfId="0" applyFont="1" applyFill="1" applyBorder="1" applyAlignment="1">
      <alignment horizontal="center" vertical="center"/>
    </xf>
    <xf numFmtId="165" fontId="11" fillId="11" borderId="13" xfId="0" applyNumberFormat="1" applyFont="1" applyFill="1" applyBorder="1" applyAlignment="1">
      <alignment horizontal="center" vertical="center"/>
    </xf>
    <xf numFmtId="165" fontId="11" fillId="11" borderId="12" xfId="0" applyNumberFormat="1" applyFont="1" applyFill="1" applyBorder="1" applyAlignment="1">
      <alignment horizontal="center" vertical="center"/>
    </xf>
    <xf numFmtId="165" fontId="11" fillId="11" borderId="12" xfId="0" quotePrefix="1" applyNumberFormat="1" applyFont="1" applyFill="1" applyBorder="1" applyAlignment="1">
      <alignment horizontal="center" vertical="center" wrapText="1"/>
    </xf>
    <xf numFmtId="165" fontId="11" fillId="11" borderId="12" xfId="0" applyNumberFormat="1" applyFont="1" applyFill="1" applyBorder="1" applyAlignment="1">
      <alignment horizontal="center" vertical="center" wrapText="1"/>
    </xf>
    <xf numFmtId="2" fontId="11" fillId="11" borderId="12" xfId="0" applyNumberFormat="1" applyFont="1" applyFill="1" applyBorder="1" applyAlignment="1">
      <alignment horizontal="center" vertical="center"/>
    </xf>
    <xf numFmtId="165" fontId="11" fillId="11" borderId="7" xfId="0" applyNumberFormat="1" applyFont="1" applyFill="1" applyBorder="1" applyAlignment="1">
      <alignment horizontal="center" vertical="center"/>
    </xf>
    <xf numFmtId="0" fontId="11" fillId="9" borderId="31" xfId="0" applyFont="1" applyFill="1" applyBorder="1" applyAlignment="1">
      <alignment horizontal="center" vertical="center"/>
    </xf>
    <xf numFmtId="0" fontId="11" fillId="9" borderId="13" xfId="0" applyFont="1" applyFill="1" applyBorder="1" applyAlignment="1">
      <alignment horizontal="center" vertical="center"/>
    </xf>
    <xf numFmtId="0" fontId="11" fillId="9" borderId="7" xfId="0" applyFont="1" applyFill="1" applyBorder="1" applyAlignment="1">
      <alignment horizontal="center" vertical="center" wrapText="1"/>
    </xf>
    <xf numFmtId="0" fontId="16" fillId="9" borderId="13" xfId="0" applyFont="1" applyFill="1" applyBorder="1" applyAlignment="1">
      <alignment horizontal="center" vertical="center"/>
    </xf>
    <xf numFmtId="0" fontId="11" fillId="9" borderId="22" xfId="0" applyFont="1" applyFill="1" applyBorder="1" applyAlignment="1">
      <alignment horizontal="center" vertical="center" wrapText="1"/>
    </xf>
    <xf numFmtId="172" fontId="11" fillId="9" borderId="12" xfId="0" applyNumberFormat="1" applyFont="1" applyFill="1" applyBorder="1" applyAlignment="1">
      <alignment horizontal="center" vertical="center"/>
    </xf>
    <xf numFmtId="0" fontId="11" fillId="9" borderId="43" xfId="0" applyFont="1" applyFill="1" applyBorder="1" applyAlignment="1">
      <alignment horizontal="center" vertical="center" wrapText="1"/>
    </xf>
    <xf numFmtId="0" fontId="11" fillId="9" borderId="53" xfId="0" applyFont="1" applyFill="1" applyBorder="1" applyAlignment="1">
      <alignment horizontal="center" vertical="center" wrapText="1"/>
    </xf>
    <xf numFmtId="0" fontId="33" fillId="9" borderId="0" xfId="0" applyFont="1" applyFill="1" applyBorder="1" applyAlignment="1">
      <alignment vertical="center"/>
    </xf>
    <xf numFmtId="0" fontId="35" fillId="9" borderId="12"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9" borderId="12" xfId="0" applyFont="1" applyFill="1" applyBorder="1" applyAlignment="1">
      <alignment horizontal="center" vertical="center"/>
    </xf>
    <xf numFmtId="0" fontId="12" fillId="0" borderId="89" xfId="0" applyFont="1" applyFill="1" applyBorder="1" applyAlignment="1">
      <alignment horizontal="center" vertical="center" wrapText="1"/>
    </xf>
    <xf numFmtId="0" fontId="35" fillId="9" borderId="86" xfId="0" applyFont="1" applyFill="1" applyBorder="1" applyAlignment="1">
      <alignment horizontal="center" vertical="center"/>
    </xf>
    <xf numFmtId="0" fontId="35" fillId="9" borderId="9" xfId="0" applyFont="1" applyFill="1" applyBorder="1" applyAlignment="1">
      <alignment horizontal="center" vertical="center"/>
    </xf>
    <xf numFmtId="0" fontId="12" fillId="9" borderId="39" xfId="0" applyFont="1" applyFill="1" applyBorder="1" applyAlignment="1">
      <alignment horizontal="right" vertical="center" wrapText="1"/>
    </xf>
    <xf numFmtId="0" fontId="35" fillId="9" borderId="13" xfId="0" applyFont="1" applyFill="1" applyBorder="1" applyAlignment="1">
      <alignment horizontal="center" vertical="center"/>
    </xf>
    <xf numFmtId="0" fontId="1" fillId="9" borderId="1" xfId="0" applyFont="1" applyFill="1" applyBorder="1" applyAlignment="1" applyProtection="1">
      <alignment horizontal="center" vertical="center" wrapText="1"/>
    </xf>
    <xf numFmtId="0" fontId="36" fillId="0" borderId="76" xfId="0" applyFont="1" applyFill="1" applyBorder="1" applyAlignment="1" applyProtection="1">
      <alignment horizontal="center" vertical="center" wrapText="1"/>
    </xf>
    <xf numFmtId="0" fontId="1" fillId="0" borderId="26" xfId="0" applyFont="1" applyFill="1" applyBorder="1" applyAlignment="1" applyProtection="1">
      <alignment horizontal="center" vertical="center" wrapText="1"/>
    </xf>
    <xf numFmtId="0" fontId="34" fillId="0" borderId="43" xfId="0" applyFont="1" applyBorder="1" applyAlignment="1" applyProtection="1">
      <alignment horizontal="center" vertical="center" wrapText="1"/>
    </xf>
    <xf numFmtId="0" fontId="1" fillId="9" borderId="50" xfId="0" applyFont="1" applyFill="1" applyBorder="1" applyAlignment="1">
      <alignment horizontal="center" vertical="center"/>
    </xf>
    <xf numFmtId="0" fontId="11" fillId="0" borderId="13" xfId="0" applyFont="1" applyFill="1" applyBorder="1" applyAlignment="1">
      <alignment horizontal="center" vertical="center" wrapText="1"/>
    </xf>
    <xf numFmtId="0" fontId="19" fillId="0" borderId="89" xfId="0" applyFont="1" applyFill="1" applyBorder="1" applyAlignment="1">
      <alignment horizontal="center" vertical="center" wrapText="1"/>
    </xf>
    <xf numFmtId="0" fontId="19" fillId="0" borderId="90" xfId="0" applyFont="1" applyFill="1" applyBorder="1" applyAlignment="1">
      <alignment horizontal="center" vertical="center" wrapText="1"/>
    </xf>
    <xf numFmtId="0" fontId="39" fillId="0" borderId="89" xfId="0" applyFont="1" applyFill="1" applyBorder="1" applyAlignment="1">
      <alignment horizontal="center" vertical="center" wrapText="1"/>
    </xf>
    <xf numFmtId="0" fontId="21" fillId="11" borderId="0" xfId="0" applyFont="1" applyFill="1" applyAlignment="1">
      <alignment horizontal="center" vertical="center" wrapText="1"/>
    </xf>
    <xf numFmtId="0" fontId="21" fillId="11" borderId="0" xfId="0" applyFont="1" applyFill="1" applyAlignment="1">
      <alignment vertical="center"/>
    </xf>
    <xf numFmtId="0" fontId="30" fillId="0" borderId="89" xfId="0" applyFont="1" applyFill="1" applyBorder="1" applyAlignment="1">
      <alignment horizontal="center" vertical="center" wrapText="1"/>
    </xf>
    <xf numFmtId="2" fontId="30" fillId="0" borderId="89" xfId="0" applyNumberFormat="1" applyFont="1" applyFill="1" applyBorder="1" applyAlignment="1">
      <alignment horizontal="center" vertical="center" wrapText="1"/>
    </xf>
    <xf numFmtId="3" fontId="39" fillId="0" borderId="89" xfId="0" applyNumberFormat="1" applyFont="1" applyFill="1" applyBorder="1" applyAlignment="1">
      <alignment horizontal="center" vertical="center" wrapText="1"/>
    </xf>
    <xf numFmtId="0" fontId="22" fillId="2" borderId="43"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wrapText="1"/>
    </xf>
    <xf numFmtId="0" fontId="19" fillId="9" borderId="7"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wrapText="1"/>
    </xf>
    <xf numFmtId="0" fontId="19" fillId="9" borderId="12" xfId="0" applyFont="1" applyFill="1" applyBorder="1" applyAlignment="1">
      <alignment horizontal="center" vertical="center"/>
    </xf>
    <xf numFmtId="0" fontId="19" fillId="9" borderId="12" xfId="0" applyFont="1" applyFill="1" applyBorder="1" applyAlignment="1">
      <alignment horizontal="center" vertical="center" wrapText="1"/>
    </xf>
    <xf numFmtId="0" fontId="19" fillId="9" borderId="31" xfId="0" applyFont="1" applyFill="1" applyBorder="1" applyAlignment="1">
      <alignment horizontal="center" vertical="center"/>
    </xf>
    <xf numFmtId="0" fontId="19" fillId="9" borderId="35" xfId="0" applyFont="1" applyFill="1" applyBorder="1" applyAlignment="1" applyProtection="1">
      <alignment horizontal="center" vertical="center" wrapText="1" shrinkToFit="1"/>
    </xf>
    <xf numFmtId="0" fontId="19" fillId="9" borderId="38" xfId="0" applyFont="1" applyFill="1" applyBorder="1" applyAlignment="1" applyProtection="1">
      <alignment horizontal="center" vertical="center" wrapText="1"/>
    </xf>
    <xf numFmtId="0" fontId="19" fillId="9" borderId="48" xfId="0" applyFont="1" applyFill="1" applyBorder="1" applyAlignment="1">
      <alignment horizontal="center" vertical="center"/>
    </xf>
    <xf numFmtId="0" fontId="19" fillId="9" borderId="22" xfId="0" applyFont="1" applyFill="1" applyBorder="1" applyAlignment="1" applyProtection="1">
      <alignment horizontal="center" vertical="center" wrapText="1"/>
      <protection locked="0"/>
    </xf>
    <xf numFmtId="0" fontId="19" fillId="11" borderId="5" xfId="0" applyFont="1" applyFill="1" applyBorder="1" applyAlignment="1" applyProtection="1">
      <alignment horizontal="center" vertical="center" wrapText="1"/>
    </xf>
    <xf numFmtId="0" fontId="19" fillId="9" borderId="89" xfId="0" applyFont="1" applyFill="1" applyBorder="1" applyAlignment="1" applyProtection="1">
      <alignment horizontal="center" vertical="center" wrapText="1"/>
    </xf>
    <xf numFmtId="0" fontId="11" fillId="9" borderId="0" xfId="0" quotePrefix="1" applyFont="1" applyFill="1" applyBorder="1" applyAlignment="1">
      <alignment horizontal="center" vertical="center" wrapText="1"/>
    </xf>
    <xf numFmtId="0" fontId="19" fillId="9" borderId="91" xfId="0" quotePrefix="1" applyFont="1" applyFill="1" applyBorder="1" applyAlignment="1">
      <alignment horizontal="center" vertical="center" wrapText="1"/>
    </xf>
    <xf numFmtId="0" fontId="19" fillId="9" borderId="22" xfId="0" applyFont="1" applyFill="1" applyBorder="1" applyAlignment="1" applyProtection="1">
      <alignment horizontal="center" vertical="center" wrapText="1"/>
    </xf>
    <xf numFmtId="0" fontId="19" fillId="9" borderId="3" xfId="0" applyFont="1" applyFill="1" applyBorder="1" applyAlignment="1" applyProtection="1">
      <alignment horizontal="center" vertical="center" wrapText="1"/>
    </xf>
    <xf numFmtId="0" fontId="19" fillId="9" borderId="5" xfId="0" applyFont="1" applyFill="1" applyBorder="1" applyAlignment="1" applyProtection="1">
      <alignment horizontal="center" vertical="center" wrapText="1"/>
    </xf>
    <xf numFmtId="0" fontId="0" fillId="9" borderId="54" xfId="0" applyFill="1" applyBorder="1" applyAlignment="1">
      <alignment horizontal="center" vertical="center"/>
    </xf>
    <xf numFmtId="0" fontId="19" fillId="9" borderId="53" xfId="0" applyFont="1" applyFill="1" applyBorder="1" applyAlignment="1">
      <alignment horizontal="right" vertical="center" wrapText="1"/>
    </xf>
    <xf numFmtId="0" fontId="19" fillId="9" borderId="31" xfId="0" applyFont="1" applyFill="1" applyBorder="1" applyAlignment="1">
      <alignment horizontal="center" vertical="center" wrapText="1"/>
    </xf>
    <xf numFmtId="0" fontId="18" fillId="9" borderId="6" xfId="0" applyFont="1" applyFill="1" applyBorder="1" applyAlignment="1">
      <alignment horizontal="right" vertical="center"/>
    </xf>
    <xf numFmtId="0" fontId="19" fillId="9" borderId="6" xfId="0" applyFont="1" applyFill="1" applyBorder="1" applyAlignment="1">
      <alignment horizontal="right" vertical="center"/>
    </xf>
    <xf numFmtId="0" fontId="18" fillId="9" borderId="6" xfId="0" applyFont="1" applyFill="1" applyBorder="1" applyAlignment="1">
      <alignment horizontal="right" vertical="center" wrapText="1"/>
    </xf>
    <xf numFmtId="0" fontId="18" fillId="0" borderId="6" xfId="0" applyFont="1" applyFill="1" applyBorder="1" applyAlignment="1">
      <alignment horizontal="right" vertical="center" wrapText="1"/>
    </xf>
    <xf numFmtId="0" fontId="19" fillId="9" borderId="4" xfId="0" applyFont="1" applyFill="1" applyBorder="1" applyAlignment="1">
      <alignment horizontal="right" vertical="center"/>
    </xf>
    <xf numFmtId="0" fontId="19" fillId="9" borderId="6" xfId="0" applyFont="1" applyFill="1" applyBorder="1" applyAlignment="1">
      <alignment horizontal="right" vertical="center" wrapText="1"/>
    </xf>
    <xf numFmtId="0" fontId="11" fillId="0" borderId="12" xfId="0" applyFont="1" applyFill="1" applyBorder="1" applyAlignment="1" applyProtection="1">
      <alignment horizontal="center" vertical="center" wrapText="1"/>
      <protection locked="0"/>
    </xf>
    <xf numFmtId="0" fontId="11" fillId="0" borderId="12" xfId="0" applyFont="1" applyFill="1" applyBorder="1" applyAlignment="1">
      <alignment horizontal="center" vertical="center"/>
    </xf>
    <xf numFmtId="0" fontId="11" fillId="9" borderId="9" xfId="0" applyFont="1" applyFill="1" applyBorder="1" applyAlignment="1">
      <alignment horizontal="center" vertical="center"/>
    </xf>
    <xf numFmtId="0" fontId="0" fillId="0" borderId="6" xfId="0" applyBorder="1" applyAlignment="1">
      <alignment horizontal="right"/>
    </xf>
    <xf numFmtId="0" fontId="0" fillId="0" borderId="9" xfId="0" applyFill="1" applyBorder="1" applyAlignment="1"/>
    <xf numFmtId="0" fontId="0" fillId="0" borderId="7" xfId="0" applyFill="1" applyBorder="1" applyAlignment="1">
      <alignment horizontal="left"/>
    </xf>
    <xf numFmtId="0" fontId="0" fillId="0" borderId="50" xfId="0" applyBorder="1" applyAlignment="1" applyProtection="1">
      <alignment horizontal="left"/>
      <protection locked="0"/>
    </xf>
    <xf numFmtId="0" fontId="0" fillId="0" borderId="28" xfId="0" applyFill="1" applyBorder="1" applyAlignment="1"/>
    <xf numFmtId="0" fontId="19" fillId="9" borderId="15" xfId="0" applyFont="1" applyFill="1" applyBorder="1" applyAlignment="1">
      <alignment horizontal="right" vertical="center" wrapText="1"/>
    </xf>
    <xf numFmtId="0" fontId="18" fillId="9" borderId="12" xfId="0" applyFont="1" applyFill="1" applyBorder="1" applyAlignment="1">
      <alignment horizontal="center" vertical="center"/>
    </xf>
    <xf numFmtId="165" fontId="6" fillId="8" borderId="87" xfId="0" applyNumberFormat="1" applyFont="1" applyFill="1" applyBorder="1"/>
    <xf numFmtId="165" fontId="6" fillId="5" borderId="77" xfId="0" applyNumberFormat="1" applyFont="1" applyFill="1" applyBorder="1"/>
    <xf numFmtId="165" fontId="0" fillId="0" borderId="85" xfId="0" applyNumberFormat="1" applyFill="1" applyBorder="1"/>
    <xf numFmtId="165" fontId="26" fillId="0" borderId="0" xfId="0" applyNumberFormat="1" applyFont="1" applyAlignment="1">
      <alignment horizontal="center"/>
    </xf>
    <xf numFmtId="165" fontId="25" fillId="0" borderId="0" xfId="0" applyNumberFormat="1" applyFont="1" applyAlignment="1">
      <alignment horizontal="center"/>
    </xf>
    <xf numFmtId="165" fontId="1" fillId="9" borderId="12" xfId="0" applyNumberFormat="1" applyFont="1" applyFill="1" applyBorder="1" applyAlignment="1">
      <alignment horizontal="center"/>
    </xf>
    <xf numFmtId="165" fontId="1" fillId="0" borderId="12" xfId="0" applyNumberFormat="1" applyFont="1" applyFill="1" applyBorder="1" applyAlignment="1">
      <alignment horizontal="center"/>
    </xf>
    <xf numFmtId="165" fontId="24" fillId="0" borderId="0" xfId="0" applyNumberFormat="1" applyFont="1" applyAlignment="1">
      <alignment horizontal="center"/>
    </xf>
    <xf numFmtId="165" fontId="1" fillId="9" borderId="12" xfId="0" applyNumberFormat="1" applyFont="1" applyFill="1" applyBorder="1" applyAlignment="1">
      <alignment horizontal="center" wrapText="1"/>
    </xf>
    <xf numFmtId="165" fontId="0" fillId="9" borderId="12" xfId="0" applyNumberFormat="1" applyFill="1" applyBorder="1" applyAlignment="1">
      <alignment horizontal="center"/>
    </xf>
    <xf numFmtId="165" fontId="0" fillId="9" borderId="81" xfId="0" applyNumberFormat="1" applyFill="1" applyBorder="1" applyAlignment="1">
      <alignment horizontal="center"/>
    </xf>
    <xf numFmtId="165" fontId="0" fillId="5" borderId="77" xfId="0" applyNumberFormat="1" applyFill="1" applyBorder="1"/>
    <xf numFmtId="165" fontId="0" fillId="9" borderId="85" xfId="0" applyNumberFormat="1" applyFill="1" applyBorder="1" applyAlignment="1">
      <alignment horizontal="center"/>
    </xf>
    <xf numFmtId="165" fontId="0" fillId="5" borderId="77" xfId="0" applyNumberFormat="1" applyFill="1" applyBorder="1" applyAlignment="1">
      <alignment horizontal="center"/>
    </xf>
    <xf numFmtId="165" fontId="0" fillId="9" borderId="85" xfId="0" applyNumberFormat="1" applyFill="1" applyBorder="1" applyAlignment="1">
      <alignment horizontal="center" wrapText="1"/>
    </xf>
    <xf numFmtId="165" fontId="0" fillId="9" borderId="12" xfId="0" applyNumberFormat="1" applyFill="1" applyBorder="1" applyAlignment="1">
      <alignment horizontal="center" wrapText="1"/>
    </xf>
    <xf numFmtId="165" fontId="0" fillId="5" borderId="77" xfId="0" applyNumberFormat="1" applyFill="1" applyBorder="1" applyAlignment="1">
      <alignment horizontal="center" wrapText="1"/>
    </xf>
    <xf numFmtId="165" fontId="0" fillId="9" borderId="81" xfId="0" applyNumberFormat="1" applyFill="1" applyBorder="1" applyAlignment="1">
      <alignment horizontal="center" wrapText="1"/>
    </xf>
    <xf numFmtId="165" fontId="0" fillId="9" borderId="31" xfId="0" applyNumberFormat="1" applyFill="1" applyBorder="1" applyAlignment="1">
      <alignment horizontal="center" wrapText="1"/>
    </xf>
    <xf numFmtId="165" fontId="0" fillId="5" borderId="21" xfId="0" applyNumberFormat="1" applyFill="1" applyBorder="1"/>
    <xf numFmtId="165" fontId="1" fillId="3" borderId="3" xfId="0" applyNumberFormat="1" applyFont="1" applyFill="1" applyBorder="1" applyAlignment="1">
      <alignment horizontal="center"/>
    </xf>
    <xf numFmtId="165" fontId="0" fillId="3" borderId="3" xfId="0" applyNumberFormat="1" applyFill="1" applyBorder="1" applyAlignment="1">
      <alignment horizontal="center"/>
    </xf>
    <xf numFmtId="165" fontId="0" fillId="0" borderId="3" xfId="0" applyNumberFormat="1" applyBorder="1" applyAlignment="1">
      <alignment horizontal="center"/>
    </xf>
    <xf numFmtId="165" fontId="0" fillId="5" borderId="21" xfId="0" applyNumberFormat="1" applyFill="1" applyBorder="1" applyAlignment="1">
      <alignment horizontal="center"/>
    </xf>
    <xf numFmtId="165" fontId="0" fillId="0" borderId="0" xfId="0" applyNumberFormat="1" applyAlignment="1">
      <alignment horizontal="center"/>
    </xf>
    <xf numFmtId="165" fontId="0" fillId="0" borderId="0" xfId="0" applyNumberFormat="1"/>
    <xf numFmtId="165" fontId="11" fillId="9" borderId="7" xfId="0" applyNumberFormat="1" applyFont="1" applyFill="1" applyBorder="1" applyAlignment="1">
      <alignment horizontal="center" vertical="center"/>
    </xf>
    <xf numFmtId="165" fontId="11" fillId="9" borderId="7" xfId="0" applyNumberFormat="1" applyFont="1" applyFill="1" applyBorder="1" applyAlignment="1">
      <alignment vertical="center"/>
    </xf>
    <xf numFmtId="165" fontId="11" fillId="9" borderId="38" xfId="0" applyNumberFormat="1" applyFont="1" applyFill="1" applyBorder="1" applyAlignment="1">
      <alignment horizontal="center" vertical="center"/>
    </xf>
    <xf numFmtId="0" fontId="12" fillId="0" borderId="55" xfId="0" applyFont="1" applyFill="1" applyBorder="1" applyAlignment="1">
      <alignment horizontal="center" vertical="center" wrapText="1"/>
    </xf>
    <xf numFmtId="0" fontId="19" fillId="0" borderId="4" xfId="0" applyFont="1" applyFill="1" applyBorder="1" applyAlignment="1">
      <alignment horizontal="right" vertical="center"/>
    </xf>
    <xf numFmtId="0" fontId="0" fillId="6" borderId="85" xfId="0" applyFill="1" applyBorder="1" applyAlignment="1">
      <alignment horizontal="center" vertical="center"/>
    </xf>
    <xf numFmtId="0" fontId="19" fillId="9" borderId="39" xfId="0" applyFont="1" applyFill="1" applyBorder="1" applyAlignment="1">
      <alignment horizontal="right" vertical="center" wrapText="1"/>
    </xf>
    <xf numFmtId="0" fontId="12" fillId="6" borderId="12" xfId="0" applyFont="1" applyFill="1" applyBorder="1" applyAlignment="1">
      <alignment horizontal="center" vertical="center"/>
    </xf>
    <xf numFmtId="0" fontId="11" fillId="9" borderId="10" xfId="0" applyFont="1" applyFill="1" applyBorder="1" applyAlignment="1">
      <alignment horizontal="right" vertical="center" wrapText="1"/>
    </xf>
    <xf numFmtId="0" fontId="1" fillId="6" borderId="75" xfId="0" applyFont="1" applyFill="1" applyBorder="1" applyAlignment="1" applyProtection="1">
      <alignment horizontal="center" vertical="center"/>
      <protection locked="0"/>
    </xf>
    <xf numFmtId="165" fontId="12" fillId="11" borderId="12" xfId="0" applyNumberFormat="1" applyFont="1" applyFill="1" applyBorder="1" applyAlignment="1">
      <alignment horizontal="center" vertical="center" wrapText="1"/>
    </xf>
    <xf numFmtId="0" fontId="1" fillId="9" borderId="12" xfId="0" quotePrefix="1" applyFont="1" applyFill="1" applyBorder="1" applyAlignment="1">
      <alignment horizontal="center" vertical="center" wrapText="1"/>
    </xf>
    <xf numFmtId="0" fontId="1" fillId="9" borderId="12" xfId="0" applyFont="1" applyFill="1" applyBorder="1" applyAlignment="1">
      <alignment horizontal="center" vertical="center"/>
    </xf>
    <xf numFmtId="0" fontId="3" fillId="6" borderId="7" xfId="0" quotePrefix="1" applyFont="1" applyFill="1" applyBorder="1" applyAlignment="1" applyProtection="1">
      <alignment vertical="center" wrapText="1"/>
      <protection locked="0"/>
    </xf>
    <xf numFmtId="0" fontId="3" fillId="2" borderId="7" xfId="0" quotePrefix="1" applyFont="1" applyFill="1" applyBorder="1" applyAlignment="1" applyProtection="1">
      <alignment vertical="center"/>
      <protection locked="0"/>
    </xf>
    <xf numFmtId="0" fontId="1" fillId="11" borderId="9" xfId="0" applyFont="1" applyFill="1" applyBorder="1" applyAlignment="1" applyProtection="1">
      <alignment vertical="center" wrapText="1"/>
    </xf>
    <xf numFmtId="0" fontId="0" fillId="6" borderId="51" xfId="0" applyFill="1" applyBorder="1" applyAlignment="1" applyProtection="1">
      <alignment horizontal="center" vertical="center"/>
    </xf>
    <xf numFmtId="0" fontId="34" fillId="0" borderId="49" xfId="0" applyFont="1" applyBorder="1" applyAlignment="1" applyProtection="1">
      <alignment horizontal="center" vertical="center"/>
    </xf>
    <xf numFmtId="0" fontId="0" fillId="0" borderId="10" xfId="0" applyBorder="1" applyAlignment="1" applyProtection="1">
      <alignment vertical="center"/>
    </xf>
    <xf numFmtId="0" fontId="0" fillId="6" borderId="1" xfId="0" applyFill="1" applyBorder="1" applyAlignment="1" applyProtection="1">
      <alignment vertical="center"/>
    </xf>
    <xf numFmtId="0" fontId="34" fillId="0" borderId="22" xfId="0" applyFont="1" applyBorder="1" applyAlignment="1" applyProtection="1">
      <alignment horizontal="center" vertical="center"/>
    </xf>
    <xf numFmtId="0" fontId="6" fillId="0" borderId="12" xfId="0" applyFont="1" applyBorder="1" applyAlignment="1" applyProtection="1">
      <alignment horizontal="center" vertical="center" wrapText="1"/>
    </xf>
    <xf numFmtId="0" fontId="35" fillId="9" borderId="9" xfId="0" applyFont="1" applyFill="1" applyBorder="1" applyAlignment="1">
      <alignment horizontal="center" vertical="center" wrapText="1"/>
    </xf>
    <xf numFmtId="0" fontId="6" fillId="9" borderId="86" xfId="0" applyFont="1" applyFill="1" applyBorder="1" applyAlignment="1">
      <alignment horizontal="center" vertical="center" wrapText="1"/>
    </xf>
    <xf numFmtId="0" fontId="11" fillId="0" borderId="12" xfId="0" applyFont="1" applyBorder="1" applyAlignment="1" applyProtection="1">
      <alignment horizontal="center" vertical="center" wrapText="1"/>
    </xf>
    <xf numFmtId="0" fontId="16" fillId="9" borderId="0" xfId="0" applyFont="1" applyFill="1" applyAlignment="1">
      <alignment vertical="center"/>
    </xf>
    <xf numFmtId="0" fontId="11" fillId="0" borderId="5" xfId="0" quotePrefix="1" applyFont="1" applyFill="1" applyBorder="1" applyAlignment="1">
      <alignment horizontal="center" vertical="center"/>
    </xf>
    <xf numFmtId="0" fontId="0" fillId="9" borderId="6" xfId="0" applyFill="1" applyBorder="1" applyAlignment="1" applyProtection="1">
      <alignment vertical="center"/>
      <protection locked="0"/>
    </xf>
    <xf numFmtId="0" fontId="0" fillId="9" borderId="84" xfId="0" applyFill="1" applyBorder="1" applyAlignment="1">
      <alignment vertical="center" wrapText="1"/>
    </xf>
    <xf numFmtId="0" fontId="0" fillId="9" borderId="76" xfId="0" applyFill="1" applyBorder="1" applyAlignment="1">
      <alignment vertical="center" wrapText="1"/>
    </xf>
    <xf numFmtId="0" fontId="0" fillId="0" borderId="39" xfId="0" applyFill="1" applyBorder="1" applyAlignment="1" applyProtection="1">
      <alignment vertical="center"/>
      <protection locked="0"/>
    </xf>
    <xf numFmtId="0" fontId="12" fillId="9" borderId="8" xfId="0" applyFont="1" applyFill="1" applyBorder="1" applyAlignment="1">
      <alignment horizontal="center" vertical="center"/>
    </xf>
    <xf numFmtId="0" fontId="11" fillId="9" borderId="38" xfId="0" applyFont="1" applyFill="1" applyBorder="1" applyAlignment="1">
      <alignment horizontal="center" vertical="center"/>
    </xf>
    <xf numFmtId="0" fontId="0" fillId="9" borderId="26" xfId="0" applyFill="1" applyBorder="1" applyAlignment="1">
      <alignment horizontal="left" vertical="center"/>
    </xf>
    <xf numFmtId="0" fontId="0" fillId="9" borderId="19" xfId="0" applyFill="1" applyBorder="1" applyAlignment="1" applyProtection="1">
      <alignment horizontal="center" vertical="center" wrapText="1"/>
      <protection locked="0"/>
    </xf>
    <xf numFmtId="0" fontId="11" fillId="9" borderId="6" xfId="0" applyFont="1" applyFill="1" applyBorder="1" applyAlignment="1">
      <alignment horizontal="right" vertical="center" wrapText="1"/>
    </xf>
    <xf numFmtId="0" fontId="12" fillId="2" borderId="5" xfId="0" applyFont="1" applyFill="1" applyBorder="1" applyAlignment="1" applyProtection="1">
      <alignment horizontal="center" vertical="center" wrapText="1"/>
      <protection locked="0"/>
    </xf>
    <xf numFmtId="0" fontId="6" fillId="3" borderId="20" xfId="0" applyFont="1" applyFill="1" applyBorder="1" applyAlignment="1">
      <alignment horizontal="center" vertical="center"/>
    </xf>
    <xf numFmtId="0" fontId="6" fillId="0" borderId="11" xfId="0" applyFont="1" applyBorder="1" applyAlignment="1">
      <alignment horizontal="center" vertical="center" wrapText="1"/>
    </xf>
    <xf numFmtId="0" fontId="0" fillId="9" borderId="17" xfId="0" applyFill="1" applyBorder="1" applyAlignment="1" applyProtection="1">
      <alignment horizontal="center" vertical="center" wrapText="1"/>
      <protection locked="0"/>
    </xf>
    <xf numFmtId="0" fontId="19" fillId="9" borderId="87" xfId="0" applyFont="1" applyFill="1" applyBorder="1" applyAlignment="1">
      <alignment horizontal="right" vertical="center" wrapText="1"/>
    </xf>
    <xf numFmtId="0" fontId="19" fillId="9" borderId="41" xfId="0" applyFont="1" applyFill="1" applyBorder="1" applyAlignment="1">
      <alignment horizontal="right" vertical="center" wrapText="1"/>
    </xf>
    <xf numFmtId="0" fontId="6" fillId="3" borderId="20" xfId="0" applyFont="1" applyFill="1" applyBorder="1" applyAlignment="1">
      <alignment horizontal="left" vertical="center"/>
    </xf>
    <xf numFmtId="0" fontId="0" fillId="9" borderId="18" xfId="0" applyFill="1" applyBorder="1" applyAlignment="1">
      <alignment horizontal="left" vertical="center"/>
    </xf>
    <xf numFmtId="0" fontId="6" fillId="3" borderId="6" xfId="0" applyFont="1" applyFill="1" applyBorder="1" applyAlignment="1">
      <alignment horizontal="right" vertical="center"/>
    </xf>
    <xf numFmtId="165" fontId="0" fillId="9" borderId="6" xfId="0" applyNumberFormat="1" applyFill="1" applyBorder="1" applyAlignment="1">
      <alignment horizontal="center" vertical="center"/>
    </xf>
    <xf numFmtId="0" fontId="0" fillId="9" borderId="7" xfId="0" applyFill="1" applyBorder="1" applyAlignment="1">
      <alignment vertical="center"/>
    </xf>
    <xf numFmtId="165" fontId="15" fillId="9" borderId="6" xfId="0" applyNumberFormat="1" applyFont="1" applyFill="1" applyBorder="1" applyAlignment="1">
      <alignment horizontal="center" vertical="center"/>
    </xf>
    <xf numFmtId="0" fontId="15" fillId="9" borderId="7" xfId="0" applyFont="1" applyFill="1" applyBorder="1" applyAlignment="1">
      <alignment vertical="center"/>
    </xf>
    <xf numFmtId="165" fontId="0" fillId="9" borderId="6" xfId="0" quotePrefix="1" applyNumberFormat="1" applyFill="1" applyBorder="1" applyAlignment="1">
      <alignment horizontal="center" vertical="center"/>
    </xf>
    <xf numFmtId="165" fontId="0" fillId="9" borderId="8" xfId="0" quotePrefix="1" applyNumberFormat="1" applyFill="1" applyBorder="1" applyAlignment="1">
      <alignment horizontal="center" vertical="center"/>
    </xf>
    <xf numFmtId="165" fontId="11" fillId="9" borderId="22" xfId="0" applyNumberFormat="1" applyFont="1" applyFill="1" applyBorder="1" applyAlignment="1">
      <alignment horizontal="center" vertical="center"/>
    </xf>
    <xf numFmtId="0" fontId="15" fillId="9" borderId="3" xfId="0" applyFont="1" applyFill="1" applyBorder="1" applyAlignment="1">
      <alignment vertical="center"/>
    </xf>
    <xf numFmtId="0" fontId="11" fillId="3" borderId="5" xfId="0" quotePrefix="1" applyFont="1" applyFill="1" applyBorder="1" applyAlignment="1">
      <alignment vertical="center"/>
    </xf>
    <xf numFmtId="0" fontId="6" fillId="3" borderId="7" xfId="0" applyFont="1" applyFill="1" applyBorder="1" applyAlignment="1">
      <alignment horizontal="center" vertical="center"/>
    </xf>
    <xf numFmtId="165" fontId="3" fillId="9" borderId="7" xfId="0" applyNumberFormat="1" applyFont="1" applyFill="1" applyBorder="1" applyAlignment="1">
      <alignment horizontal="center" vertical="center"/>
    </xf>
    <xf numFmtId="0" fontId="1" fillId="6" borderId="22" xfId="0" applyFont="1" applyFill="1" applyBorder="1" applyAlignment="1" applyProtection="1">
      <alignment horizontal="center" vertical="center"/>
      <protection locked="0"/>
    </xf>
    <xf numFmtId="0" fontId="6" fillId="3" borderId="20" xfId="0" applyFont="1" applyFill="1" applyBorder="1" applyAlignment="1">
      <alignment horizontal="center"/>
    </xf>
    <xf numFmtId="0" fontId="0" fillId="6" borderId="0" xfId="0" applyFill="1" applyBorder="1" applyAlignment="1">
      <alignment vertical="center"/>
    </xf>
    <xf numFmtId="0" fontId="16" fillId="6" borderId="0" xfId="0" applyFont="1" applyFill="1" applyBorder="1" applyAlignment="1">
      <alignment vertical="center"/>
    </xf>
    <xf numFmtId="0" fontId="6" fillId="2" borderId="13" xfId="0" applyFont="1" applyFill="1" applyBorder="1" applyAlignment="1" applyProtection="1">
      <alignment horizontal="justify" vertical="center" wrapText="1"/>
      <protection locked="0"/>
    </xf>
    <xf numFmtId="0" fontId="1" fillId="2" borderId="13" xfId="0" applyFont="1" applyFill="1" applyBorder="1" applyAlignment="1" applyProtection="1">
      <alignment vertical="center" wrapText="1"/>
      <protection locked="0"/>
    </xf>
    <xf numFmtId="0" fontId="1" fillId="2" borderId="13" xfId="0" applyFont="1" applyFill="1" applyBorder="1" applyAlignment="1" applyProtection="1">
      <alignment horizontal="justify" vertical="center" wrapText="1"/>
      <protection locked="0"/>
    </xf>
    <xf numFmtId="0" fontId="1" fillId="2" borderId="12" xfId="0" applyFont="1" applyFill="1" applyBorder="1" applyAlignment="1" applyProtection="1">
      <alignment horizontal="justify" vertical="center" wrapText="1"/>
      <protection locked="0"/>
    </xf>
    <xf numFmtId="0" fontId="1" fillId="2" borderId="12" xfId="0" applyFont="1" applyFill="1" applyBorder="1" applyAlignment="1" applyProtection="1">
      <alignment vertical="center" wrapText="1"/>
      <protection locked="0"/>
    </xf>
    <xf numFmtId="0" fontId="6" fillId="2" borderId="12" xfId="0" applyFont="1" applyFill="1" applyBorder="1" applyAlignment="1" applyProtection="1">
      <alignment vertical="center" wrapText="1"/>
      <protection locked="0"/>
    </xf>
    <xf numFmtId="165" fontId="1" fillId="2" borderId="12" xfId="0" applyNumberFormat="1" applyFont="1" applyFill="1" applyBorder="1" applyAlignment="1" applyProtection="1">
      <alignment horizontal="center" vertical="center" wrapText="1"/>
      <protection locked="0"/>
    </xf>
    <xf numFmtId="0" fontId="1" fillId="2" borderId="31" xfId="0" applyFont="1" applyFill="1" applyBorder="1" applyAlignment="1" applyProtection="1">
      <alignment horizontal="center" vertical="center" wrapText="1"/>
      <protection locked="0"/>
    </xf>
    <xf numFmtId="0" fontId="0" fillId="0" borderId="3" xfId="0" applyBorder="1" applyAlignment="1" applyProtection="1">
      <alignment horizontal="left" vertical="center" wrapText="1"/>
    </xf>
    <xf numFmtId="165" fontId="3" fillId="9" borderId="7" xfId="0" quotePrefix="1" applyNumberFormat="1" applyFont="1" applyFill="1" applyBorder="1" applyAlignment="1">
      <alignment horizontal="center" vertical="center"/>
    </xf>
    <xf numFmtId="165" fontId="6" fillId="0" borderId="12" xfId="0" applyNumberFormat="1" applyFont="1" applyFill="1" applyBorder="1" applyAlignment="1" applyProtection="1">
      <alignment horizontal="center" vertical="center" wrapText="1"/>
    </xf>
    <xf numFmtId="0" fontId="35" fillId="7" borderId="12" xfId="0" applyFont="1" applyFill="1" applyBorder="1" applyAlignment="1">
      <alignment horizontal="center" vertical="center" wrapText="1"/>
    </xf>
    <xf numFmtId="0" fontId="19" fillId="5" borderId="7" xfId="0" applyFont="1" applyFill="1" applyBorder="1" applyAlignment="1" applyProtection="1">
      <alignment horizontal="center" vertical="center" wrapText="1"/>
    </xf>
    <xf numFmtId="0" fontId="11" fillId="0" borderId="89" xfId="0" applyFont="1" applyFill="1" applyBorder="1" applyAlignment="1" applyProtection="1">
      <alignment horizontal="center" vertical="center"/>
    </xf>
    <xf numFmtId="0" fontId="11" fillId="9" borderId="90" xfId="0" applyFont="1" applyFill="1" applyBorder="1" applyAlignment="1" applyProtection="1">
      <alignment horizontal="center" vertical="center"/>
    </xf>
    <xf numFmtId="2" fontId="11" fillId="0" borderId="7" xfId="0" quotePrefix="1" applyNumberFormat="1"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 fillId="9" borderId="15" xfId="0" applyFont="1" applyFill="1" applyBorder="1" applyAlignment="1">
      <alignment horizontal="right" vertical="center" wrapText="1"/>
    </xf>
    <xf numFmtId="0" fontId="16" fillId="13" borderId="35" xfId="0" applyFont="1" applyFill="1" applyBorder="1" applyAlignment="1">
      <alignment horizontal="center" vertical="center"/>
    </xf>
    <xf numFmtId="0" fontId="0" fillId="15" borderId="15" xfId="0" applyFill="1" applyBorder="1" applyAlignment="1" applyProtection="1">
      <alignment vertical="center" wrapText="1"/>
      <protection locked="0"/>
    </xf>
    <xf numFmtId="0" fontId="0" fillId="13" borderId="78" xfId="0" applyFill="1" applyBorder="1" applyAlignment="1">
      <alignment horizontal="center" vertical="center"/>
    </xf>
    <xf numFmtId="0" fontId="0" fillId="13" borderId="51" xfId="0" applyFill="1" applyBorder="1" applyAlignment="1">
      <alignment horizontal="center" vertical="center"/>
    </xf>
    <xf numFmtId="0" fontId="0" fillId="13" borderId="92" xfId="0" applyFill="1" applyBorder="1" applyAlignment="1">
      <alignment horizontal="center" vertical="center"/>
    </xf>
    <xf numFmtId="0" fontId="0" fillId="13" borderId="45" xfId="0" applyFill="1" applyBorder="1" applyAlignment="1" applyProtection="1">
      <alignment vertical="center" wrapText="1"/>
      <protection locked="0"/>
    </xf>
    <xf numFmtId="0" fontId="0" fillId="13" borderId="80" xfId="0" applyFill="1" applyBorder="1" applyAlignment="1" applyProtection="1">
      <alignment vertical="center" wrapText="1"/>
      <protection locked="0"/>
    </xf>
    <xf numFmtId="0" fontId="1" fillId="11" borderId="8" xfId="0" applyFont="1" applyFill="1" applyBorder="1" applyAlignment="1">
      <alignment horizontal="right" vertical="center"/>
    </xf>
    <xf numFmtId="0" fontId="1" fillId="6" borderId="22" xfId="0" applyFont="1" applyFill="1" applyBorder="1" applyAlignment="1">
      <alignment horizontal="justify" vertical="center"/>
    </xf>
    <xf numFmtId="0" fontId="0" fillId="0" borderId="1" xfId="0" applyBorder="1" applyAlignment="1">
      <alignment horizontal="right" vertical="center"/>
    </xf>
    <xf numFmtId="0" fontId="11" fillId="0" borderId="1" xfId="0" applyFont="1" applyFill="1" applyBorder="1" applyAlignment="1">
      <alignment horizontal="center" vertical="center"/>
    </xf>
    <xf numFmtId="0" fontId="0" fillId="9" borderId="36" xfId="0" applyFill="1" applyBorder="1" applyAlignment="1">
      <alignment horizontal="right" vertical="center"/>
    </xf>
    <xf numFmtId="0" fontId="11" fillId="9" borderId="30" xfId="0" applyFont="1" applyFill="1" applyBorder="1" applyAlignment="1">
      <alignment horizontal="center" vertical="center"/>
    </xf>
    <xf numFmtId="174" fontId="7" fillId="11" borderId="37" xfId="0" applyNumberFormat="1" applyFont="1" applyFill="1" applyBorder="1" applyAlignment="1" applyProtection="1">
      <alignment horizontal="center" vertical="center"/>
    </xf>
    <xf numFmtId="165" fontId="11" fillId="6" borderId="12" xfId="0" applyNumberFormat="1" applyFont="1" applyFill="1" applyBorder="1" applyAlignment="1" applyProtection="1">
      <alignment horizontal="center" vertical="center" wrapText="1"/>
      <protection locked="0"/>
    </xf>
    <xf numFmtId="0" fontId="11" fillId="9" borderId="20" xfId="0" applyFont="1" applyFill="1" applyBorder="1" applyAlignment="1">
      <alignment horizontal="center" vertical="center"/>
    </xf>
    <xf numFmtId="0" fontId="11" fillId="0" borderId="21" xfId="0" applyFont="1" applyBorder="1" applyAlignment="1">
      <alignment vertical="center"/>
    </xf>
    <xf numFmtId="0" fontId="19" fillId="9" borderId="20" xfId="0" applyFont="1" applyFill="1" applyBorder="1" applyAlignment="1">
      <alignment horizontal="center" vertical="center"/>
    </xf>
    <xf numFmtId="0" fontId="19" fillId="0" borderId="21" xfId="0" applyFont="1" applyBorder="1" applyAlignment="1">
      <alignment vertical="center"/>
    </xf>
    <xf numFmtId="0" fontId="12" fillId="9" borderId="20" xfId="0" applyFont="1" applyFill="1" applyBorder="1" applyAlignment="1">
      <alignment vertical="center" wrapText="1"/>
    </xf>
    <xf numFmtId="0" fontId="0" fillId="0" borderId="11" xfId="0" applyBorder="1" applyAlignment="1">
      <alignment vertical="center" wrapText="1"/>
    </xf>
    <xf numFmtId="0" fontId="0" fillId="0" borderId="21" xfId="0" applyBorder="1" applyAlignment="1">
      <alignment vertical="center" wrapText="1"/>
    </xf>
    <xf numFmtId="0" fontId="6" fillId="11" borderId="16" xfId="0" applyFont="1" applyFill="1" applyBorder="1" applyAlignment="1">
      <alignment vertical="center" wrapText="1"/>
    </xf>
    <xf numFmtId="0" fontId="0" fillId="11" borderId="27" xfId="0" applyFill="1" applyBorder="1" applyAlignment="1">
      <alignment vertical="center" wrapText="1"/>
    </xf>
    <xf numFmtId="0" fontId="0" fillId="11" borderId="17" xfId="0" applyFill="1" applyBorder="1" applyAlignment="1">
      <alignment vertical="center" wrapText="1"/>
    </xf>
    <xf numFmtId="0" fontId="12" fillId="9" borderId="23" xfId="0" applyFont="1" applyFill="1" applyBorder="1" applyAlignment="1">
      <alignment vertical="center" wrapText="1"/>
    </xf>
    <xf numFmtId="0" fontId="0" fillId="9" borderId="24" xfId="0" applyFill="1" applyBorder="1" applyAlignment="1">
      <alignment vertical="center" wrapText="1"/>
    </xf>
    <xf numFmtId="0" fontId="0" fillId="9" borderId="25" xfId="0" applyFill="1" applyBorder="1" applyAlignment="1">
      <alignment vertical="center" wrapText="1"/>
    </xf>
    <xf numFmtId="0" fontId="12" fillId="11" borderId="23" xfId="0" applyFont="1" applyFill="1" applyBorder="1" applyAlignment="1">
      <alignment vertical="center" wrapText="1"/>
    </xf>
    <xf numFmtId="0" fontId="12" fillId="11" borderId="24" xfId="0" applyFont="1" applyFill="1" applyBorder="1" applyAlignment="1">
      <alignment vertical="center" wrapText="1"/>
    </xf>
    <xf numFmtId="0" fontId="12" fillId="11" borderId="25" xfId="0" applyFont="1" applyFill="1" applyBorder="1" applyAlignment="1">
      <alignment vertical="center" wrapText="1"/>
    </xf>
    <xf numFmtId="0" fontId="0" fillId="11" borderId="23" xfId="0" applyFill="1" applyBorder="1" applyAlignment="1">
      <alignment vertical="center" wrapText="1"/>
    </xf>
    <xf numFmtId="0" fontId="0" fillId="11" borderId="24" xfId="0" applyFill="1" applyBorder="1" applyAlignment="1">
      <alignment vertical="center" wrapText="1"/>
    </xf>
    <xf numFmtId="0" fontId="0" fillId="11" borderId="25" xfId="0" applyFill="1" applyBorder="1" applyAlignment="1">
      <alignment vertical="center" wrapText="1"/>
    </xf>
    <xf numFmtId="0" fontId="12" fillId="0" borderId="23" xfId="0" applyFont="1"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75" xfId="0" applyBorder="1" applyAlignment="1">
      <alignment vertical="center"/>
    </xf>
    <xf numFmtId="0" fontId="0" fillId="0" borderId="26" xfId="0" applyBorder="1" applyAlignment="1">
      <alignment vertical="center"/>
    </xf>
    <xf numFmtId="0" fontId="0" fillId="0" borderId="19" xfId="0" applyBorder="1" applyAlignment="1">
      <alignment vertical="center"/>
    </xf>
    <xf numFmtId="0" fontId="27" fillId="14" borderId="20" xfId="0" applyFont="1" applyFill="1" applyBorder="1" applyAlignment="1">
      <alignment horizontal="center" vertical="center"/>
    </xf>
    <xf numFmtId="0" fontId="0" fillId="14" borderId="11" xfId="0" applyFill="1" applyBorder="1" applyAlignment="1">
      <alignment horizontal="center" vertical="center"/>
    </xf>
    <xf numFmtId="0" fontId="0" fillId="14" borderId="21" xfId="0" applyFill="1" applyBorder="1" applyAlignment="1">
      <alignment horizontal="center" vertical="center"/>
    </xf>
    <xf numFmtId="174" fontId="20" fillId="11" borderId="12" xfId="0" applyNumberFormat="1" applyFont="1" applyFill="1" applyBorder="1" applyAlignment="1">
      <alignment vertical="center"/>
    </xf>
    <xf numFmtId="0" fontId="0" fillId="0" borderId="12" xfId="0" applyBorder="1" applyAlignment="1">
      <alignment vertical="center"/>
    </xf>
    <xf numFmtId="0" fontId="0" fillId="0" borderId="7" xfId="0" applyBorder="1" applyAlignment="1">
      <alignment vertical="center"/>
    </xf>
    <xf numFmtId="0" fontId="23" fillId="11" borderId="49" xfId="0" applyFont="1" applyFill="1" applyBorder="1" applyAlignment="1" applyProtection="1">
      <alignment horizontal="center" vertical="center"/>
    </xf>
    <xf numFmtId="0" fontId="0" fillId="0" borderId="27" xfId="0" applyBorder="1" applyAlignment="1">
      <alignment vertical="center"/>
    </xf>
    <xf numFmtId="0" fontId="0" fillId="0" borderId="17" xfId="0" applyBorder="1" applyAlignment="1">
      <alignment vertical="center"/>
    </xf>
    <xf numFmtId="0" fontId="0" fillId="11" borderId="50" xfId="0" applyFill="1" applyBorder="1" applyAlignment="1">
      <alignment vertical="center" wrapText="1"/>
    </xf>
    <xf numFmtId="0" fontId="0" fillId="9" borderId="0" xfId="0" applyFill="1" applyBorder="1" applyAlignment="1" applyProtection="1">
      <alignment horizontal="right" vertical="center" wrapText="1"/>
    </xf>
    <xf numFmtId="0" fontId="0" fillId="9" borderId="3" xfId="0" applyFill="1" applyBorder="1" applyAlignment="1" applyProtection="1">
      <alignment horizontal="right" vertical="center" wrapText="1"/>
    </xf>
    <xf numFmtId="0" fontId="0" fillId="2" borderId="16" xfId="0" applyFill="1" applyBorder="1" applyAlignment="1" applyProtection="1">
      <alignment vertical="center" wrapText="1"/>
      <protection locked="0"/>
    </xf>
    <xf numFmtId="0" fontId="0" fillId="0" borderId="27" xfId="0" applyBorder="1" applyAlignment="1" applyProtection="1">
      <alignment vertical="center" wrapText="1"/>
      <protection locked="0"/>
    </xf>
    <xf numFmtId="0" fontId="0" fillId="0" borderId="17" xfId="0" applyBorder="1" applyAlignment="1" applyProtection="1">
      <alignment vertical="center" wrapText="1"/>
      <protection locked="0"/>
    </xf>
    <xf numFmtId="0" fontId="0" fillId="2" borderId="18" xfId="0" applyFill="1"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20" xfId="0" applyFill="1" applyBorder="1" applyAlignment="1" applyProtection="1">
      <alignment horizontal="right" vertical="center" wrapText="1"/>
    </xf>
    <xf numFmtId="0" fontId="0" fillId="0" borderId="0" xfId="0" applyBorder="1" applyAlignment="1" applyProtection="1">
      <alignment horizontal="right" vertical="center" wrapText="1"/>
    </xf>
    <xf numFmtId="0" fontId="0" fillId="0" borderId="0" xfId="0" applyAlignment="1">
      <alignment horizontal="right" vertical="center"/>
    </xf>
    <xf numFmtId="0" fontId="0" fillId="2" borderId="20" xfId="0" applyFill="1" applyBorder="1" applyAlignment="1" applyProtection="1">
      <alignment vertical="center" wrapText="1"/>
      <protection locked="0"/>
    </xf>
    <xf numFmtId="0" fontId="0" fillId="0" borderId="11" xfId="0" applyBorder="1" applyAlignment="1" applyProtection="1">
      <alignment wrapText="1"/>
      <protection locked="0"/>
    </xf>
    <xf numFmtId="0" fontId="0" fillId="0" borderId="21" xfId="0" applyBorder="1" applyAlignment="1" applyProtection="1">
      <alignment wrapText="1"/>
      <protection locked="0"/>
    </xf>
    <xf numFmtId="0" fontId="12" fillId="10" borderId="16" xfId="0" applyFont="1" applyFill="1" applyBorder="1" applyAlignment="1" applyProtection="1">
      <alignment vertical="center" wrapText="1"/>
      <protection locked="0"/>
    </xf>
    <xf numFmtId="0" fontId="12" fillId="10" borderId="27" xfId="0" applyFont="1" applyFill="1" applyBorder="1" applyAlignment="1" applyProtection="1">
      <alignment vertical="center" wrapText="1"/>
      <protection locked="0"/>
    </xf>
    <xf numFmtId="0" fontId="12" fillId="10" borderId="17" xfId="0" applyFont="1" applyFill="1" applyBorder="1" applyAlignment="1" applyProtection="1">
      <alignment vertical="center" wrapText="1"/>
      <protection locked="0"/>
    </xf>
    <xf numFmtId="0" fontId="11" fillId="0" borderId="56" xfId="0" applyFont="1" applyFill="1" applyBorder="1" applyAlignment="1" applyProtection="1">
      <alignment horizontal="center" vertical="center"/>
      <protection locked="0"/>
    </xf>
    <xf numFmtId="0" fontId="11" fillId="0" borderId="11" xfId="0" applyFont="1" applyFill="1" applyBorder="1" applyAlignment="1" applyProtection="1">
      <alignment vertical="center"/>
      <protection locked="0"/>
    </xf>
    <xf numFmtId="0" fontId="11" fillId="0" borderId="21" xfId="0" applyFont="1" applyFill="1" applyBorder="1" applyAlignment="1" applyProtection="1">
      <alignment vertical="center"/>
      <protection locked="0"/>
    </xf>
    <xf numFmtId="0" fontId="0" fillId="0" borderId="10" xfId="0" applyBorder="1" applyAlignment="1" applyProtection="1">
      <alignment horizontal="center" vertical="center" wrapText="1"/>
    </xf>
    <xf numFmtId="0" fontId="0" fillId="0" borderId="0" xfId="0" applyBorder="1" applyAlignment="1" applyProtection="1">
      <alignment horizontal="center" vertical="center" wrapText="1"/>
    </xf>
    <xf numFmtId="0" fontId="6" fillId="5" borderId="16" xfId="0" applyFont="1" applyFill="1" applyBorder="1" applyAlignment="1" applyProtection="1">
      <alignment horizontal="center" vertical="center"/>
    </xf>
    <xf numFmtId="0" fontId="6" fillId="5" borderId="27" xfId="0" applyFont="1" applyFill="1" applyBorder="1" applyAlignment="1" applyProtection="1">
      <alignment horizontal="center" vertical="center"/>
    </xf>
    <xf numFmtId="0" fontId="6" fillId="0" borderId="27" xfId="0" applyFont="1" applyBorder="1" applyAlignment="1" applyProtection="1">
      <alignment vertical="center"/>
    </xf>
    <xf numFmtId="0" fontId="6" fillId="0" borderId="17" xfId="0" applyFont="1" applyBorder="1" applyAlignment="1" applyProtection="1">
      <alignment vertical="center"/>
    </xf>
    <xf numFmtId="0" fontId="12" fillId="10" borderId="20" xfId="0" applyFont="1" applyFill="1" applyBorder="1" applyAlignment="1" applyProtection="1">
      <alignment vertical="center" wrapText="1"/>
      <protection locked="0"/>
    </xf>
    <xf numFmtId="0" fontId="12" fillId="10" borderId="11" xfId="0" applyFont="1" applyFill="1" applyBorder="1" applyAlignment="1" applyProtection="1">
      <alignment vertical="center" wrapText="1"/>
      <protection locked="0"/>
    </xf>
    <xf numFmtId="0" fontId="12" fillId="10" borderId="21" xfId="0" applyFont="1" applyFill="1" applyBorder="1" applyAlignment="1" applyProtection="1">
      <alignment vertical="center" wrapText="1"/>
      <protection locked="0"/>
    </xf>
    <xf numFmtId="0" fontId="0" fillId="9" borderId="18" xfId="0" applyFill="1" applyBorder="1" applyAlignment="1" applyProtection="1">
      <alignment horizontal="right" vertical="center" wrapText="1"/>
    </xf>
    <xf numFmtId="0" fontId="0" fillId="0" borderId="26" xfId="0" applyBorder="1" applyAlignment="1" applyProtection="1">
      <alignment vertical="center"/>
    </xf>
    <xf numFmtId="0" fontId="1" fillId="0" borderId="14" xfId="0" applyFont="1" applyFill="1" applyBorder="1" applyAlignment="1" applyProtection="1">
      <alignment horizontal="right" vertical="center" wrapText="1"/>
    </xf>
    <xf numFmtId="0" fontId="0" fillId="0" borderId="1" xfId="0" applyBorder="1" applyAlignment="1" applyProtection="1">
      <alignment vertical="center" wrapText="1"/>
    </xf>
    <xf numFmtId="0" fontId="1" fillId="9" borderId="18" xfId="0" applyFont="1" applyFill="1" applyBorder="1" applyAlignment="1" applyProtection="1">
      <alignment horizontal="right" vertical="center" wrapText="1"/>
    </xf>
    <xf numFmtId="0" fontId="1" fillId="0" borderId="26" xfId="0" applyFont="1" applyBorder="1" applyAlignment="1" applyProtection="1">
      <alignment vertical="center"/>
    </xf>
    <xf numFmtId="0" fontId="0" fillId="0" borderId="14" xfId="0" applyBorder="1" applyAlignment="1" applyProtection="1">
      <alignment horizontal="right" vertical="center" wrapText="1"/>
    </xf>
    <xf numFmtId="0" fontId="0" fillId="0" borderId="1" xfId="0" applyBorder="1" applyAlignment="1" applyProtection="1">
      <alignment horizontal="right" vertical="center" wrapText="1"/>
    </xf>
    <xf numFmtId="0" fontId="6" fillId="0" borderId="75" xfId="0" applyFont="1" applyBorder="1" applyAlignment="1" applyProtection="1">
      <alignment horizontal="center" vertical="center" wrapText="1"/>
    </xf>
    <xf numFmtId="0" fontId="6" fillId="5" borderId="20" xfId="0" applyFont="1" applyFill="1" applyBorder="1" applyAlignment="1" applyProtection="1">
      <alignment horizontal="center" vertical="center" wrapText="1"/>
    </xf>
    <xf numFmtId="0" fontId="6" fillId="0" borderId="11" xfId="0" applyFont="1" applyBorder="1" applyAlignment="1" applyProtection="1">
      <alignment horizontal="center" vertical="center"/>
    </xf>
    <xf numFmtId="0" fontId="6" fillId="0" borderId="21" xfId="0" applyFont="1" applyBorder="1" applyAlignment="1" applyProtection="1">
      <alignment horizontal="center" vertical="center"/>
    </xf>
    <xf numFmtId="0" fontId="11" fillId="0" borderId="75" xfId="0" applyFont="1" applyFill="1" applyBorder="1" applyAlignment="1" applyProtection="1">
      <alignment horizontal="center" vertical="center" wrapText="1"/>
    </xf>
    <xf numFmtId="0" fontId="11" fillId="0" borderId="26"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6" fillId="5" borderId="20" xfId="0" applyFont="1" applyFill="1" applyBorder="1" applyAlignment="1" applyProtection="1">
      <alignment horizontal="center" vertical="center"/>
    </xf>
    <xf numFmtId="0" fontId="6" fillId="5" borderId="11" xfId="0" applyFont="1" applyFill="1" applyBorder="1" applyAlignment="1" applyProtection="1">
      <alignment horizontal="center" vertical="center"/>
    </xf>
    <xf numFmtId="0" fontId="6" fillId="0" borderId="11" xfId="0" applyFont="1" applyBorder="1" applyAlignment="1" applyProtection="1">
      <alignment vertical="center"/>
    </xf>
    <xf numFmtId="0" fontId="6" fillId="0" borderId="21" xfId="0" applyFont="1" applyBorder="1" applyAlignment="1" applyProtection="1">
      <alignment vertical="center"/>
    </xf>
    <xf numFmtId="0" fontId="1" fillId="11" borderId="81" xfId="0" applyFont="1" applyFill="1" applyBorder="1" applyAlignment="1" applyProtection="1">
      <alignment vertical="center" wrapText="1"/>
    </xf>
    <xf numFmtId="0" fontId="1" fillId="11" borderId="85" xfId="0" applyFont="1" applyFill="1" applyBorder="1" applyAlignment="1" applyProtection="1">
      <alignment vertical="center" wrapText="1"/>
    </xf>
    <xf numFmtId="0" fontId="1" fillId="11" borderId="37" xfId="0" applyFont="1" applyFill="1" applyBorder="1" applyAlignment="1" applyProtection="1">
      <alignment vertical="center" wrapText="1"/>
    </xf>
    <xf numFmtId="0" fontId="1" fillId="11" borderId="34" xfId="0" applyFont="1" applyFill="1" applyBorder="1" applyAlignment="1" applyProtection="1">
      <alignment vertical="center" wrapText="1"/>
    </xf>
    <xf numFmtId="0" fontId="1" fillId="0" borderId="16" xfId="0" applyFont="1" applyBorder="1" applyAlignment="1" applyProtection="1">
      <alignment horizontal="right" vertical="center" wrapText="1"/>
    </xf>
    <xf numFmtId="0" fontId="0" fillId="0" borderId="27" xfId="0" applyBorder="1" applyAlignment="1" applyProtection="1">
      <alignment vertical="center" wrapText="1"/>
    </xf>
    <xf numFmtId="0" fontId="0" fillId="0" borderId="17" xfId="0" applyBorder="1" applyAlignment="1" applyProtection="1">
      <alignment vertical="center" wrapText="1"/>
    </xf>
    <xf numFmtId="0" fontId="12" fillId="0" borderId="44" xfId="0" applyFont="1" applyBorder="1" applyAlignment="1" applyProtection="1">
      <alignment horizontal="right" vertical="center" wrapText="1"/>
    </xf>
    <xf numFmtId="0" fontId="12" fillId="0" borderId="48" xfId="0" applyFont="1" applyBorder="1" applyAlignment="1" applyProtection="1">
      <alignment horizontal="right" vertical="center" wrapText="1"/>
    </xf>
    <xf numFmtId="0" fontId="0" fillId="0" borderId="43" xfId="0" applyBorder="1" applyAlignment="1" applyProtection="1">
      <alignment horizontal="center" vertical="center" wrapText="1"/>
      <protection locked="0"/>
    </xf>
    <xf numFmtId="0" fontId="0" fillId="10" borderId="20" xfId="0" applyFill="1" applyBorder="1" applyAlignment="1" applyProtection="1">
      <alignment vertical="center" wrapText="1"/>
      <protection locked="0"/>
    </xf>
    <xf numFmtId="0" fontId="0" fillId="0" borderId="11" xfId="0" applyBorder="1" applyAlignment="1" applyProtection="1">
      <alignment vertical="center"/>
      <protection locked="0"/>
    </xf>
    <xf numFmtId="0" fontId="0" fillId="0" borderId="21" xfId="0" applyBorder="1" applyAlignment="1" applyProtection="1">
      <alignment vertical="center"/>
      <protection locked="0"/>
    </xf>
    <xf numFmtId="0" fontId="6" fillId="5" borderId="56" xfId="0" applyFont="1" applyFill="1" applyBorder="1" applyAlignment="1" applyProtection="1">
      <alignment horizontal="center" vertical="center"/>
    </xf>
    <xf numFmtId="0" fontId="0" fillId="0" borderId="11" xfId="0" applyBorder="1" applyAlignment="1" applyProtection="1">
      <alignment horizontal="center" vertical="center"/>
    </xf>
    <xf numFmtId="0" fontId="0" fillId="0" borderId="21" xfId="0" applyBorder="1" applyAlignment="1" applyProtection="1">
      <alignment horizontal="center" vertical="center"/>
    </xf>
    <xf numFmtId="0" fontId="0" fillId="0" borderId="16" xfId="0" applyBorder="1" applyAlignment="1">
      <alignment horizontal="right" vertical="center" wrapText="1"/>
    </xf>
    <xf numFmtId="0" fontId="0" fillId="0" borderId="27" xfId="0" applyBorder="1" applyAlignment="1">
      <alignment horizontal="right" vertical="center" wrapText="1"/>
    </xf>
    <xf numFmtId="0" fontId="0" fillId="0" borderId="51" xfId="0" applyBorder="1" applyAlignment="1">
      <alignment horizontal="right" vertical="center" wrapText="1"/>
    </xf>
    <xf numFmtId="0" fontId="12" fillId="10" borderId="23" xfId="0" applyFont="1" applyFill="1" applyBorder="1" applyAlignment="1" applyProtection="1">
      <alignment vertical="center" wrapText="1"/>
      <protection locked="0"/>
    </xf>
    <xf numFmtId="0" fontId="0" fillId="9" borderId="44" xfId="0" applyFill="1" applyBorder="1" applyAlignment="1">
      <alignment horizontal="right" vertical="center"/>
    </xf>
    <xf numFmtId="0" fontId="0" fillId="9" borderId="48" xfId="0" applyFill="1" applyBorder="1" applyAlignment="1">
      <alignment horizontal="right" vertical="center"/>
    </xf>
    <xf numFmtId="0" fontId="0" fillId="9" borderId="45" xfId="0" applyFill="1" applyBorder="1" applyAlignment="1">
      <alignment horizontal="right" vertical="center"/>
    </xf>
    <xf numFmtId="0" fontId="0" fillId="9" borderId="10" xfId="0" applyFill="1" applyBorder="1" applyAlignment="1">
      <alignment horizontal="right" vertical="center"/>
    </xf>
    <xf numFmtId="0" fontId="0" fillId="9" borderId="0" xfId="0" applyFill="1" applyBorder="1" applyAlignment="1">
      <alignment horizontal="right" vertical="center"/>
    </xf>
    <xf numFmtId="0" fontId="0" fillId="9" borderId="3" xfId="0" applyFill="1" applyBorder="1" applyAlignment="1">
      <alignment horizontal="right" vertical="center"/>
    </xf>
    <xf numFmtId="0" fontId="12" fillId="10" borderId="31" xfId="0" applyFont="1" applyFill="1" applyBorder="1" applyAlignment="1" applyProtection="1">
      <alignment vertical="center" wrapText="1"/>
      <protection locked="0"/>
    </xf>
    <xf numFmtId="0" fontId="12" fillId="10" borderId="22" xfId="0" applyFont="1" applyFill="1" applyBorder="1" applyAlignment="1" applyProtection="1">
      <alignment vertical="center" wrapText="1"/>
      <protection locked="0"/>
    </xf>
    <xf numFmtId="0" fontId="6" fillId="9" borderId="27" xfId="0" applyFont="1" applyFill="1" applyBorder="1" applyAlignment="1">
      <alignment horizontal="center" vertical="center"/>
    </xf>
    <xf numFmtId="0" fontId="6" fillId="9" borderId="17" xfId="0" applyFont="1" applyFill="1" applyBorder="1" applyAlignment="1">
      <alignment horizontal="center" vertical="center"/>
    </xf>
    <xf numFmtId="0" fontId="6" fillId="5" borderId="20" xfId="0" applyFont="1" applyFill="1" applyBorder="1" applyAlignment="1">
      <alignment horizontal="center" vertical="center" wrapText="1"/>
    </xf>
    <xf numFmtId="0" fontId="6" fillId="9" borderId="11" xfId="0" applyFont="1" applyFill="1"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1" fillId="9" borderId="23" xfId="0" applyFont="1" applyFill="1" applyBorder="1" applyAlignment="1">
      <alignment horizontal="right" vertical="center" wrapText="1"/>
    </xf>
    <xf numFmtId="0" fontId="0" fillId="9" borderId="24" xfId="0" applyFill="1" applyBorder="1" applyAlignment="1">
      <alignment vertical="center"/>
    </xf>
    <xf numFmtId="0" fontId="0" fillId="10" borderId="78" xfId="0" applyFill="1" applyBorder="1" applyAlignment="1">
      <alignment vertical="center"/>
    </xf>
    <xf numFmtId="0" fontId="0" fillId="10" borderId="76" xfId="0" applyFill="1" applyBorder="1" applyAlignment="1">
      <alignment vertical="center"/>
    </xf>
    <xf numFmtId="0" fontId="0" fillId="10" borderId="80" xfId="0" applyFill="1" applyBorder="1" applyAlignment="1">
      <alignment vertical="center"/>
    </xf>
    <xf numFmtId="0" fontId="6" fillId="5" borderId="56" xfId="0" applyFont="1" applyFill="1" applyBorder="1" applyAlignment="1">
      <alignment horizontal="center" vertical="center"/>
    </xf>
    <xf numFmtId="0" fontId="0" fillId="9" borderId="11" xfId="0" applyFill="1" applyBorder="1" applyAlignment="1">
      <alignment horizontal="center" vertical="center"/>
    </xf>
    <xf numFmtId="0" fontId="0" fillId="9" borderId="21" xfId="0" applyFill="1" applyBorder="1" applyAlignment="1">
      <alignment horizontal="center" vertical="center"/>
    </xf>
    <xf numFmtId="0" fontId="0" fillId="9" borderId="14" xfId="0" applyFill="1" applyBorder="1" applyAlignment="1">
      <alignment horizontal="right" vertical="center" wrapText="1"/>
    </xf>
    <xf numFmtId="0" fontId="0" fillId="9" borderId="1" xfId="0" applyFill="1" applyBorder="1" applyAlignment="1">
      <alignment horizontal="right" vertical="center"/>
    </xf>
    <xf numFmtId="0" fontId="0" fillId="9" borderId="2" xfId="0" applyFill="1" applyBorder="1" applyAlignment="1">
      <alignment horizontal="right" vertical="center"/>
    </xf>
    <xf numFmtId="0" fontId="0" fillId="9" borderId="27" xfId="0" applyFill="1" applyBorder="1" applyAlignment="1" applyProtection="1">
      <alignment vertical="center" wrapText="1"/>
      <protection locked="0"/>
    </xf>
    <xf numFmtId="0" fontId="0" fillId="9" borderId="17" xfId="0" applyFill="1" applyBorder="1" applyAlignment="1" applyProtection="1">
      <alignment vertical="center" wrapText="1"/>
      <protection locked="0"/>
    </xf>
    <xf numFmtId="0" fontId="0" fillId="2" borderId="23" xfId="0" applyFill="1" applyBorder="1" applyAlignment="1" applyProtection="1">
      <alignment vertical="center" wrapText="1"/>
      <protection locked="0"/>
    </xf>
    <xf numFmtId="0" fontId="0" fillId="9" borderId="24" xfId="0" applyFill="1" applyBorder="1" applyAlignment="1" applyProtection="1">
      <alignment vertical="center" wrapText="1"/>
      <protection locked="0"/>
    </xf>
    <xf numFmtId="0" fontId="0" fillId="9" borderId="25" xfId="0" applyFill="1" applyBorder="1" applyAlignment="1" applyProtection="1">
      <alignment vertical="center" wrapText="1"/>
      <protection locked="0"/>
    </xf>
    <xf numFmtId="0" fontId="0" fillId="9" borderId="26" xfId="0" applyFill="1" applyBorder="1" applyAlignment="1" applyProtection="1">
      <alignment vertical="center" wrapText="1"/>
      <protection locked="0"/>
    </xf>
    <xf numFmtId="0" fontId="0" fillId="9" borderId="19" xfId="0" applyFill="1" applyBorder="1" applyAlignment="1" applyProtection="1">
      <alignment vertical="center" wrapText="1"/>
      <protection locked="0"/>
    </xf>
    <xf numFmtId="0" fontId="6" fillId="14" borderId="20" xfId="0" applyFont="1" applyFill="1" applyBorder="1" applyAlignment="1">
      <alignment horizontal="center" vertical="center" wrapText="1"/>
    </xf>
    <xf numFmtId="0" fontId="8" fillId="9" borderId="55" xfId="0" applyFont="1" applyFill="1" applyBorder="1" applyAlignment="1">
      <alignment horizontal="center" vertical="center" wrapText="1"/>
    </xf>
    <xf numFmtId="0" fontId="0" fillId="9" borderId="84" xfId="0" applyFill="1" applyBorder="1" applyAlignment="1">
      <alignment horizontal="center" vertical="center"/>
    </xf>
    <xf numFmtId="0" fontId="12" fillId="9" borderId="46" xfId="0" applyFont="1" applyFill="1" applyBorder="1" applyAlignment="1">
      <alignment horizontal="right" vertical="center" wrapText="1"/>
    </xf>
    <xf numFmtId="0" fontId="12" fillId="9" borderId="41" xfId="0" applyFont="1" applyFill="1" applyBorder="1" applyAlignment="1">
      <alignment horizontal="right" vertical="center" wrapText="1"/>
    </xf>
    <xf numFmtId="0" fontId="0" fillId="9" borderId="42" xfId="0" applyFill="1" applyBorder="1" applyAlignment="1">
      <alignment vertical="center" wrapText="1"/>
    </xf>
    <xf numFmtId="0" fontId="12" fillId="9" borderId="34" xfId="0" applyFont="1" applyFill="1" applyBorder="1" applyAlignment="1">
      <alignment horizontal="right" vertical="center" wrapText="1"/>
    </xf>
    <xf numFmtId="0" fontId="12" fillId="9" borderId="85" xfId="0" applyFont="1" applyFill="1" applyBorder="1" applyAlignment="1">
      <alignment horizontal="right" vertical="center" wrapText="1"/>
    </xf>
    <xf numFmtId="0" fontId="0" fillId="9" borderId="78" xfId="0" applyFill="1" applyBorder="1" applyAlignment="1">
      <alignment vertical="center" wrapText="1"/>
    </xf>
    <xf numFmtId="0" fontId="0" fillId="9" borderId="29" xfId="0" applyFill="1" applyBorder="1" applyAlignment="1">
      <alignment horizontal="right" vertical="center" wrapText="1"/>
    </xf>
    <xf numFmtId="0" fontId="0" fillId="9" borderId="76" xfId="0" applyFill="1" applyBorder="1" applyAlignment="1">
      <alignment horizontal="right" vertical="center" wrapText="1"/>
    </xf>
    <xf numFmtId="0" fontId="0" fillId="9" borderId="16" xfId="0" applyFill="1" applyBorder="1" applyAlignment="1">
      <alignment horizontal="right" vertical="center" wrapText="1"/>
    </xf>
    <xf numFmtId="0" fontId="0" fillId="9" borderId="27" xfId="0" applyFill="1" applyBorder="1" applyAlignment="1">
      <alignment horizontal="right" vertical="center" wrapText="1"/>
    </xf>
    <xf numFmtId="0" fontId="8" fillId="5" borderId="20"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21" xfId="0" applyFont="1" applyFill="1" applyBorder="1" applyAlignment="1">
      <alignment horizontal="center" vertical="center"/>
    </xf>
    <xf numFmtId="0" fontId="12" fillId="9" borderId="83" xfId="0" applyFont="1" applyFill="1" applyBorder="1" applyAlignment="1">
      <alignment vertical="center" wrapText="1"/>
    </xf>
    <xf numFmtId="0" fontId="0" fillId="0" borderId="29" xfId="0" applyBorder="1" applyAlignment="1">
      <alignment vertical="center" wrapText="1"/>
    </xf>
    <xf numFmtId="0" fontId="0" fillId="9" borderId="83" xfId="0" applyFill="1" applyBorder="1" applyAlignment="1">
      <alignment vertical="center" wrapText="1"/>
    </xf>
    <xf numFmtId="0" fontId="0" fillId="0" borderId="10" xfId="0" applyBorder="1" applyAlignment="1">
      <alignment vertical="center" wrapText="1"/>
    </xf>
    <xf numFmtId="0" fontId="6" fillId="5" borderId="11" xfId="0" applyFont="1" applyFill="1" applyBorder="1" applyAlignment="1">
      <alignment horizontal="center" vertical="center"/>
    </xf>
    <xf numFmtId="0" fontId="12" fillId="10" borderId="24" xfId="0" applyFont="1" applyFill="1" applyBorder="1" applyAlignment="1" applyProtection="1">
      <alignment vertical="center" wrapText="1"/>
      <protection locked="0"/>
    </xf>
    <xf numFmtId="0" fontId="12" fillId="10" borderId="25" xfId="0" applyFont="1" applyFill="1" applyBorder="1" applyAlignment="1" applyProtection="1">
      <alignment vertical="center" wrapText="1"/>
      <protection locked="0"/>
    </xf>
    <xf numFmtId="0" fontId="0" fillId="2" borderId="16" xfId="0" applyFill="1" applyBorder="1" applyAlignment="1" applyProtection="1">
      <alignment horizontal="center" vertical="center" wrapText="1"/>
      <protection locked="0"/>
    </xf>
    <xf numFmtId="0" fontId="0" fillId="2" borderId="27" xfId="0"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0" fillId="10" borderId="16" xfId="0" applyFill="1" applyBorder="1" applyAlignment="1" applyProtection="1">
      <alignment horizontal="center" vertical="center" wrapText="1"/>
      <protection locked="0"/>
    </xf>
    <xf numFmtId="0" fontId="0" fillId="10" borderId="27" xfId="0" applyFill="1" applyBorder="1" applyAlignment="1" applyProtection="1">
      <alignment horizontal="center" vertical="center" wrapText="1"/>
      <protection locked="0"/>
    </xf>
    <xf numFmtId="0" fontId="0" fillId="10" borderId="17" xfId="0" applyFill="1" applyBorder="1" applyAlignment="1" applyProtection="1">
      <alignment horizontal="center" vertical="center" wrapText="1"/>
      <protection locked="0"/>
    </xf>
    <xf numFmtId="0" fontId="9" fillId="3" borderId="14" xfId="0" applyFont="1" applyFill="1" applyBorder="1" applyAlignment="1">
      <alignment horizontal="center" vertical="center"/>
    </xf>
    <xf numFmtId="0" fontId="0" fillId="9" borderId="1" xfId="0" applyFill="1" applyBorder="1" applyAlignment="1">
      <alignment horizontal="center" vertical="center"/>
    </xf>
    <xf numFmtId="0" fontId="0" fillId="9" borderId="2" xfId="0" applyFill="1" applyBorder="1" applyAlignment="1">
      <alignment horizontal="center" vertical="center"/>
    </xf>
    <xf numFmtId="0" fontId="6" fillId="9" borderId="14"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2" xfId="0" applyFont="1" applyFill="1" applyBorder="1" applyAlignment="1">
      <alignment horizontal="center" vertical="center"/>
    </xf>
    <xf numFmtId="0" fontId="0" fillId="9" borderId="20" xfId="0" quotePrefix="1" applyFill="1" applyBorder="1" applyAlignment="1">
      <alignment horizontal="right" vertical="center" wrapText="1"/>
    </xf>
    <xf numFmtId="0" fontId="0" fillId="0" borderId="82" xfId="0" applyBorder="1" applyAlignment="1">
      <alignment vertical="center" wrapText="1"/>
    </xf>
    <xf numFmtId="0" fontId="0" fillId="9" borderId="18" xfId="0" applyFill="1" applyBorder="1" applyAlignment="1">
      <alignment horizontal="right" vertical="center" wrapText="1"/>
    </xf>
    <xf numFmtId="0" fontId="0" fillId="9" borderId="26" xfId="0" applyFill="1" applyBorder="1" applyAlignment="1">
      <alignment vertical="center"/>
    </xf>
    <xf numFmtId="0" fontId="0" fillId="9" borderId="23" xfId="0" applyFill="1" applyBorder="1" applyAlignment="1">
      <alignment horizontal="right" vertical="center" wrapText="1"/>
    </xf>
    <xf numFmtId="0" fontId="0" fillId="9" borderId="24" xfId="0" applyFill="1" applyBorder="1" applyAlignment="1">
      <alignment horizontal="right" vertical="center" wrapText="1"/>
    </xf>
    <xf numFmtId="0" fontId="0" fillId="9" borderId="9" xfId="0" applyFill="1" applyBorder="1" applyAlignment="1">
      <alignment horizontal="right" vertical="center" wrapText="1"/>
    </xf>
    <xf numFmtId="0" fontId="0" fillId="10" borderId="12" xfId="0" applyFill="1" applyBorder="1" applyAlignment="1" applyProtection="1">
      <alignment vertical="center" wrapText="1"/>
      <protection locked="0"/>
    </xf>
    <xf numFmtId="0" fontId="0" fillId="9" borderId="7" xfId="0" applyFill="1" applyBorder="1" applyAlignment="1" applyProtection="1">
      <alignment vertical="center" wrapText="1"/>
      <protection locked="0"/>
    </xf>
    <xf numFmtId="0" fontId="0" fillId="10" borderId="75" xfId="0" applyFill="1" applyBorder="1" applyAlignment="1" applyProtection="1">
      <alignment vertical="center" wrapText="1"/>
      <protection locked="0"/>
    </xf>
    <xf numFmtId="0" fontId="0" fillId="10" borderId="26" xfId="0" applyFill="1" applyBorder="1" applyAlignment="1" applyProtection="1">
      <alignment vertical="center" wrapText="1"/>
      <protection locked="0"/>
    </xf>
    <xf numFmtId="0" fontId="0" fillId="10" borderId="19" xfId="0" applyFill="1" applyBorder="1" applyAlignment="1" applyProtection="1">
      <alignment vertical="center" wrapText="1"/>
      <protection locked="0"/>
    </xf>
    <xf numFmtId="172" fontId="19" fillId="0" borderId="93" xfId="0" applyNumberFormat="1" applyFont="1" applyFill="1" applyBorder="1" applyAlignment="1">
      <alignment horizontal="center" vertical="center"/>
    </xf>
    <xf numFmtId="172" fontId="19" fillId="0" borderId="94" xfId="0" applyNumberFormat="1" applyFont="1" applyFill="1" applyBorder="1" applyAlignment="1">
      <alignment horizontal="center" vertical="center"/>
    </xf>
    <xf numFmtId="0" fontId="12" fillId="9" borderId="10" xfId="0" applyFont="1" applyFill="1" applyBorder="1" applyAlignment="1">
      <alignment horizontal="right" vertical="center" wrapText="1"/>
    </xf>
    <xf numFmtId="0" fontId="0" fillId="9" borderId="44" xfId="0" applyFill="1" applyBorder="1" applyAlignment="1">
      <alignment horizontal="right" vertical="center" wrapText="1"/>
    </xf>
    <xf numFmtId="0" fontId="0" fillId="9" borderId="52" xfId="0" applyFill="1" applyBorder="1" applyAlignment="1">
      <alignment horizontal="right" vertical="center"/>
    </xf>
    <xf numFmtId="0" fontId="0" fillId="9" borderId="10" xfId="0" applyFill="1" applyBorder="1" applyAlignment="1">
      <alignment horizontal="right" vertical="center" wrapText="1"/>
    </xf>
    <xf numFmtId="0" fontId="0" fillId="9" borderId="0" xfId="0" applyFill="1" applyBorder="1" applyAlignment="1">
      <alignment vertical="center"/>
    </xf>
    <xf numFmtId="0" fontId="0" fillId="9" borderId="40" xfId="0" applyFill="1" applyBorder="1" applyAlignment="1">
      <alignment vertical="center"/>
    </xf>
    <xf numFmtId="0" fontId="9" fillId="3" borderId="83" xfId="0" applyFont="1" applyFill="1" applyBorder="1" applyAlignment="1">
      <alignment horizontal="center" vertical="center"/>
    </xf>
    <xf numFmtId="0" fontId="0" fillId="9" borderId="79" xfId="0" applyFill="1" applyBorder="1" applyAlignment="1">
      <alignment horizontal="center" vertical="center"/>
    </xf>
    <xf numFmtId="0" fontId="4" fillId="5" borderId="56" xfId="0" applyFont="1" applyFill="1" applyBorder="1" applyAlignment="1">
      <alignment horizontal="center" vertical="center"/>
    </xf>
    <xf numFmtId="0" fontId="4" fillId="5" borderId="21" xfId="0" applyFont="1" applyFill="1" applyBorder="1" applyAlignment="1">
      <alignment horizontal="center" vertical="center"/>
    </xf>
    <xf numFmtId="0" fontId="0" fillId="5" borderId="20" xfId="0" applyFill="1" applyBorder="1" applyAlignment="1">
      <alignment horizontal="center" vertical="center"/>
    </xf>
    <xf numFmtId="0" fontId="0" fillId="9" borderId="11" xfId="0" applyFill="1" applyBorder="1" applyAlignment="1">
      <alignment vertical="center"/>
    </xf>
    <xf numFmtId="0" fontId="0" fillId="9" borderId="21" xfId="0" applyFill="1" applyBorder="1" applyAlignment="1">
      <alignment vertical="center"/>
    </xf>
    <xf numFmtId="0" fontId="0" fillId="2" borderId="20"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82" xfId="0" applyFill="1" applyBorder="1" applyAlignment="1" applyProtection="1">
      <alignment horizontal="center" vertical="center" wrapText="1"/>
      <protection locked="0"/>
    </xf>
    <xf numFmtId="0" fontId="0" fillId="5" borderId="20" xfId="0" quotePrefix="1" applyFill="1" applyBorder="1" applyAlignment="1">
      <alignment horizontal="center" vertical="center"/>
    </xf>
    <xf numFmtId="0" fontId="0" fillId="5" borderId="11" xfId="0" applyFill="1" applyBorder="1" applyAlignment="1">
      <alignment horizontal="center" vertical="center"/>
    </xf>
    <xf numFmtId="0" fontId="0" fillId="4" borderId="44" xfId="0" applyFill="1" applyBorder="1" applyAlignment="1">
      <alignment vertical="center" wrapText="1"/>
    </xf>
    <xf numFmtId="0" fontId="0" fillId="4" borderId="10" xfId="0" applyFill="1" applyBorder="1" applyAlignment="1">
      <alignment vertical="center" wrapText="1"/>
    </xf>
    <xf numFmtId="0" fontId="0" fillId="9" borderId="14" xfId="0" applyFill="1" applyBorder="1" applyAlignment="1">
      <alignment vertical="center" wrapText="1"/>
    </xf>
    <xf numFmtId="0" fontId="4" fillId="11" borderId="0" xfId="0" applyFont="1" applyFill="1" applyBorder="1" applyAlignment="1">
      <alignment horizontal="center" vertical="center"/>
    </xf>
    <xf numFmtId="0" fontId="0" fillId="9" borderId="77" xfId="0" applyFill="1" applyBorder="1" applyAlignment="1">
      <alignment vertical="center" wrapText="1"/>
    </xf>
    <xf numFmtId="0" fontId="0" fillId="9" borderId="30" xfId="0" applyFill="1" applyBorder="1" applyAlignment="1">
      <alignment vertical="center" wrapText="1"/>
    </xf>
    <xf numFmtId="0" fontId="6" fillId="9" borderId="36" xfId="0" applyFont="1" applyFill="1" applyBorder="1" applyAlignment="1">
      <alignment horizontal="center" vertical="center"/>
    </xf>
    <xf numFmtId="0" fontId="12" fillId="9" borderId="77" xfId="0" applyFont="1" applyFill="1" applyBorder="1" applyAlignment="1">
      <alignment horizontal="center" vertical="center"/>
    </xf>
    <xf numFmtId="0" fontId="37" fillId="7" borderId="20" xfId="0" applyFont="1" applyFill="1" applyBorder="1" applyAlignment="1">
      <alignment horizontal="center" vertical="center"/>
    </xf>
    <xf numFmtId="0" fontId="34" fillId="9" borderId="11" xfId="0" applyFont="1" applyFill="1" applyBorder="1" applyAlignment="1">
      <alignment horizontal="center" vertical="center"/>
    </xf>
    <xf numFmtId="0" fontId="34" fillId="9" borderId="21" xfId="0" applyFont="1" applyFill="1" applyBorder="1" applyAlignment="1">
      <alignment horizontal="center" vertical="center"/>
    </xf>
    <xf numFmtId="0" fontId="0" fillId="0" borderId="9" xfId="0" applyBorder="1" applyAlignment="1">
      <alignment vertical="center" wrapText="1"/>
    </xf>
    <xf numFmtId="0" fontId="6" fillId="5" borderId="20" xfId="0" applyFont="1" applyFill="1" applyBorder="1" applyAlignment="1">
      <alignment horizontal="center" vertical="center"/>
    </xf>
    <xf numFmtId="0" fontId="6" fillId="0" borderId="11" xfId="0" applyFont="1" applyBorder="1" applyAlignment="1">
      <alignment horizontal="center" vertical="center"/>
    </xf>
    <xf numFmtId="0" fontId="6" fillId="0" borderId="82" xfId="0" applyFont="1" applyBorder="1" applyAlignment="1">
      <alignment horizontal="center" vertical="center"/>
    </xf>
    <xf numFmtId="0" fontId="8" fillId="8" borderId="20" xfId="0" applyFont="1" applyFill="1" applyBorder="1" applyAlignment="1">
      <alignment horizontal="center" vertical="center"/>
    </xf>
    <xf numFmtId="0" fontId="0" fillId="9" borderId="34" xfId="0" applyFill="1" applyBorder="1" applyAlignment="1">
      <alignment horizontal="right" vertical="center" wrapText="1"/>
    </xf>
    <xf numFmtId="0" fontId="0" fillId="9" borderId="85" xfId="0" applyFill="1" applyBorder="1" applyAlignment="1">
      <alignment horizontal="right" vertical="center" wrapText="1"/>
    </xf>
    <xf numFmtId="0" fontId="8" fillId="2" borderId="20" xfId="0" applyFont="1" applyFill="1" applyBorder="1" applyAlignment="1">
      <alignment horizontal="right" vertical="center"/>
    </xf>
    <xf numFmtId="0" fontId="0" fillId="2" borderId="11" xfId="0" applyFill="1" applyBorder="1" applyAlignment="1">
      <alignment horizontal="right" vertical="center"/>
    </xf>
    <xf numFmtId="0" fontId="0" fillId="2" borderId="21" xfId="0" applyFill="1" applyBorder="1" applyAlignment="1">
      <alignment horizontal="right" vertical="center"/>
    </xf>
    <xf numFmtId="0" fontId="6" fillId="5" borderId="16" xfId="0" applyFont="1" applyFill="1" applyBorder="1" applyAlignment="1">
      <alignment horizontal="center" vertical="center"/>
    </xf>
    <xf numFmtId="0" fontId="6" fillId="0" borderId="27" xfId="0" applyFont="1" applyBorder="1" applyAlignment="1">
      <alignment horizontal="center" vertical="center"/>
    </xf>
    <xf numFmtId="0" fontId="6" fillId="0" borderId="51" xfId="0" applyFont="1" applyBorder="1" applyAlignment="1">
      <alignment horizontal="center" vertical="center"/>
    </xf>
    <xf numFmtId="0" fontId="12" fillId="10" borderId="84" xfId="0" applyFont="1" applyFill="1" applyBorder="1" applyAlignment="1" applyProtection="1">
      <alignment vertical="center" wrapText="1"/>
      <protection locked="0"/>
    </xf>
    <xf numFmtId="0" fontId="0" fillId="0" borderId="84" xfId="0" applyBorder="1" applyAlignment="1" applyProtection="1">
      <alignment vertical="center" wrapText="1"/>
      <protection locked="0"/>
    </xf>
    <xf numFmtId="0" fontId="0" fillId="0" borderId="28" xfId="0" applyBorder="1" applyAlignment="1" applyProtection="1">
      <alignment vertical="center" wrapText="1"/>
      <protection locked="0"/>
    </xf>
    <xf numFmtId="0" fontId="12" fillId="9" borderId="23" xfId="0" applyFont="1" applyFill="1" applyBorder="1" applyAlignment="1">
      <alignment horizontal="right" vertical="center"/>
    </xf>
    <xf numFmtId="0" fontId="0" fillId="0" borderId="24" xfId="0" applyBorder="1" applyAlignment="1">
      <alignment horizontal="right" vertical="center"/>
    </xf>
    <xf numFmtId="0" fontId="12" fillId="10" borderId="50" xfId="0" applyFont="1" applyFill="1" applyBorder="1" applyAlignment="1" applyProtection="1">
      <alignment horizontal="center" vertical="center" wrapText="1"/>
      <protection locked="0"/>
    </xf>
    <xf numFmtId="0" fontId="0" fillId="0" borderId="24" xfId="0" applyBorder="1" applyAlignment="1" applyProtection="1">
      <alignment vertical="center" wrapText="1"/>
      <protection locked="0"/>
    </xf>
    <xf numFmtId="0" fontId="0" fillId="0" borderId="25" xfId="0" applyBorder="1" applyAlignment="1" applyProtection="1">
      <alignment vertical="center" wrapText="1"/>
      <protection locked="0"/>
    </xf>
    <xf numFmtId="0" fontId="6" fillId="14" borderId="20" xfId="0" applyFont="1" applyFill="1" applyBorder="1" applyAlignment="1">
      <alignment horizontal="center" vertical="center"/>
    </xf>
    <xf numFmtId="0" fontId="0" fillId="9" borderId="13" xfId="0" applyFill="1" applyBorder="1" applyAlignment="1">
      <alignment vertical="center" wrapText="1"/>
    </xf>
    <xf numFmtId="0" fontId="11" fillId="9" borderId="50" xfId="0" applyFont="1" applyFill="1" applyBorder="1" applyAlignment="1">
      <alignment horizontal="center" vertical="center" wrapText="1"/>
    </xf>
    <xf numFmtId="0" fontId="11" fillId="9" borderId="25" xfId="0" applyFont="1" applyFill="1" applyBorder="1" applyAlignment="1">
      <alignment horizontal="center" vertical="center" wrapText="1"/>
    </xf>
    <xf numFmtId="0" fontId="6" fillId="9" borderId="12" xfId="0" quotePrefix="1" applyFont="1" applyFill="1" applyBorder="1" applyAlignment="1">
      <alignment horizontal="center" vertical="center"/>
    </xf>
    <xf numFmtId="0" fontId="6" fillId="9" borderId="12" xfId="0" applyFont="1" applyFill="1" applyBorder="1" applyAlignment="1">
      <alignment vertical="center"/>
    </xf>
    <xf numFmtId="0" fontId="6" fillId="3" borderId="16" xfId="0" applyFont="1" applyFill="1" applyBorder="1" applyAlignment="1">
      <alignment horizontal="left" vertical="center"/>
    </xf>
    <xf numFmtId="0" fontId="0" fillId="9" borderId="27" xfId="0" applyFill="1" applyBorder="1" applyAlignment="1">
      <alignment vertical="center"/>
    </xf>
    <xf numFmtId="0" fontId="0" fillId="9" borderId="17" xfId="0" applyFill="1" applyBorder="1" applyAlignment="1">
      <alignment vertical="center"/>
    </xf>
    <xf numFmtId="0" fontId="0" fillId="9" borderId="82" xfId="0" applyFill="1" applyBorder="1" applyAlignment="1">
      <alignment horizontal="center" vertical="center"/>
    </xf>
    <xf numFmtId="0" fontId="11" fillId="0" borderId="9" xfId="0" applyFont="1" applyBorder="1" applyAlignment="1">
      <alignment horizontal="center" vertical="center"/>
    </xf>
    <xf numFmtId="0" fontId="0" fillId="0" borderId="27" xfId="0" applyBorder="1" applyAlignment="1">
      <alignment horizontal="center" vertical="center"/>
    </xf>
    <xf numFmtId="0" fontId="0" fillId="0" borderId="17" xfId="0" applyBorder="1" applyAlignment="1">
      <alignment horizontal="center" vertical="center"/>
    </xf>
    <xf numFmtId="0" fontId="0" fillId="9" borderId="12" xfId="0" applyFill="1" applyBorder="1" applyAlignment="1">
      <alignment vertical="center" wrapText="1"/>
    </xf>
    <xf numFmtId="0" fontId="11" fillId="9" borderId="50" xfId="0" applyFont="1" applyFill="1" applyBorder="1" applyAlignment="1">
      <alignment horizontal="center" vertical="center"/>
    </xf>
    <xf numFmtId="0" fontId="31" fillId="0" borderId="9" xfId="0" applyFont="1" applyBorder="1" applyAlignment="1">
      <alignment vertical="center"/>
    </xf>
    <xf numFmtId="0" fontId="6" fillId="11" borderId="16" xfId="0" applyFont="1" applyFill="1" applyBorder="1" applyAlignment="1">
      <alignment horizontal="center" vertical="center"/>
    </xf>
    <xf numFmtId="0" fontId="38" fillId="0" borderId="49" xfId="0" applyFont="1" applyFill="1" applyBorder="1" applyAlignment="1">
      <alignment horizontal="center" vertical="center" wrapText="1"/>
    </xf>
    <xf numFmtId="0" fontId="38" fillId="0" borderId="17"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0" fillId="0" borderId="11" xfId="0" applyBorder="1" applyAlignment="1">
      <alignment horizontal="center"/>
    </xf>
    <xf numFmtId="0" fontId="41" fillId="3" borderId="20" xfId="0" applyFont="1" applyFill="1" applyBorder="1" applyAlignment="1">
      <alignment horizontal="center" vertical="center" wrapText="1"/>
    </xf>
    <xf numFmtId="0" fontId="41" fillId="0" borderId="21" xfId="0" applyFont="1" applyBorder="1" applyAlignment="1">
      <alignment horizontal="center" vertical="center"/>
    </xf>
    <xf numFmtId="0" fontId="11" fillId="11" borderId="56" xfId="0" applyFont="1" applyFill="1" applyBorder="1" applyAlignment="1">
      <alignment horizontal="center" wrapText="1"/>
    </xf>
    <xf numFmtId="0" fontId="0" fillId="0" borderId="21" xfId="0" applyBorder="1" applyAlignment="1">
      <alignment wrapText="1"/>
    </xf>
    <xf numFmtId="0" fontId="1" fillId="2" borderId="11" xfId="0" applyFont="1"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21" xfId="0" applyFill="1" applyBorder="1" applyAlignment="1" applyProtection="1">
      <alignment vertical="center" wrapText="1"/>
      <protection locked="0"/>
    </xf>
    <xf numFmtId="0" fontId="6" fillId="14" borderId="20" xfId="0" applyFont="1" applyFill="1" applyBorder="1" applyAlignment="1">
      <alignment vertical="center" wrapText="1"/>
    </xf>
    <xf numFmtId="0" fontId="0" fillId="14" borderId="11" xfId="0" applyFill="1" applyBorder="1" applyAlignment="1">
      <alignment vertical="center" wrapText="1"/>
    </xf>
    <xf numFmtId="0" fontId="0" fillId="14" borderId="21" xfId="0" applyFill="1" applyBorder="1" applyAlignment="1">
      <alignment vertical="center" wrapText="1"/>
    </xf>
    <xf numFmtId="0" fontId="11" fillId="11" borderId="20" xfId="0" applyFont="1" applyFill="1" applyBorder="1" applyAlignment="1">
      <alignment horizontal="right" vertical="center" wrapText="1"/>
    </xf>
    <xf numFmtId="0" fontId="11" fillId="11" borderId="11" xfId="0" applyFont="1" applyFill="1" applyBorder="1" applyAlignment="1">
      <alignment vertical="center" wrapText="1"/>
    </xf>
    <xf numFmtId="0" fontId="11" fillId="11" borderId="21" xfId="0" applyFont="1" applyFill="1" applyBorder="1" applyAlignment="1">
      <alignment vertical="center" wrapText="1"/>
    </xf>
    <xf numFmtId="0" fontId="35" fillId="11" borderId="16" xfId="0" applyFont="1" applyFill="1" applyBorder="1" applyAlignment="1">
      <alignment horizontal="center" vertical="center" wrapText="1"/>
    </xf>
    <xf numFmtId="0" fontId="35" fillId="11" borderId="51" xfId="0" applyFont="1" applyFill="1" applyBorder="1" applyAlignment="1">
      <alignment horizontal="center" vertical="center" wrapText="1"/>
    </xf>
    <xf numFmtId="0" fontId="32" fillId="10" borderId="20" xfId="0" applyFont="1" applyFill="1" applyBorder="1" applyAlignment="1" applyProtection="1">
      <alignment vertical="center" wrapText="1"/>
      <protection locked="0"/>
    </xf>
    <xf numFmtId="0" fontId="32" fillId="10" borderId="11" xfId="0" applyFont="1" applyFill="1" applyBorder="1" applyAlignment="1" applyProtection="1">
      <alignment vertical="center" wrapText="1"/>
      <protection locked="0"/>
    </xf>
    <xf numFmtId="0" fontId="32" fillId="10" borderId="21" xfId="0" applyFont="1" applyFill="1" applyBorder="1" applyAlignment="1" applyProtection="1">
      <alignment vertical="center" wrapText="1"/>
      <protection locked="0"/>
    </xf>
    <xf numFmtId="0" fontId="1" fillId="11" borderId="23" xfId="0" applyFont="1" applyFill="1" applyBorder="1" applyAlignment="1">
      <alignment vertical="center" wrapText="1"/>
    </xf>
    <xf numFmtId="0" fontId="0" fillId="3" borderId="11" xfId="0" applyFill="1" applyBorder="1" applyAlignment="1">
      <alignment horizontal="center" wrapText="1"/>
    </xf>
    <xf numFmtId="0" fontId="0" fillId="3" borderId="21" xfId="0" applyFill="1" applyBorder="1" applyAlignment="1">
      <alignment horizontal="center" wrapText="1"/>
    </xf>
    <xf numFmtId="0" fontId="6" fillId="0" borderId="24" xfId="0" applyFont="1" applyFill="1" applyBorder="1" applyAlignment="1">
      <alignment horizontal="center" vertical="center" wrapText="1"/>
    </xf>
    <xf numFmtId="0" fontId="6" fillId="0" borderId="24" xfId="0" applyFont="1" applyBorder="1" applyAlignment="1">
      <alignment horizontal="center" vertical="center" wrapText="1"/>
    </xf>
    <xf numFmtId="0" fontId="1" fillId="13" borderId="44" xfId="0" applyFont="1" applyFill="1" applyBorder="1" applyAlignment="1">
      <alignment horizontal="right" vertical="center" wrapText="1"/>
    </xf>
    <xf numFmtId="0" fontId="0" fillId="11" borderId="48" xfId="0" applyFill="1" applyBorder="1" applyAlignment="1">
      <alignment vertical="center" wrapText="1"/>
    </xf>
    <xf numFmtId="0" fontId="0" fillId="11" borderId="45" xfId="0" applyFill="1" applyBorder="1" applyAlignment="1">
      <alignment vertical="center" wrapText="1"/>
    </xf>
    <xf numFmtId="0" fontId="0" fillId="11" borderId="14" xfId="0" applyFill="1" applyBorder="1" applyAlignment="1">
      <alignment horizontal="right" vertical="center" wrapText="1"/>
    </xf>
    <xf numFmtId="0" fontId="0" fillId="11" borderId="1" xfId="0" applyFill="1" applyBorder="1" applyAlignment="1">
      <alignment vertical="center"/>
    </xf>
    <xf numFmtId="0" fontId="0" fillId="11" borderId="2" xfId="0" applyFill="1" applyBorder="1" applyAlignment="1">
      <alignment vertical="center"/>
    </xf>
    <xf numFmtId="0" fontId="0" fillId="11" borderId="10" xfId="0" applyFill="1" applyBorder="1" applyAlignment="1">
      <alignment horizontal="right" vertical="center" wrapText="1"/>
    </xf>
    <xf numFmtId="0" fontId="0" fillId="11" borderId="0" xfId="0" applyFill="1" applyBorder="1" applyAlignment="1">
      <alignment vertical="center"/>
    </xf>
    <xf numFmtId="0" fontId="0" fillId="11" borderId="3" xfId="0" applyFill="1" applyBorder="1" applyAlignment="1">
      <alignment vertical="center"/>
    </xf>
    <xf numFmtId="0" fontId="1" fillId="13" borderId="10" xfId="0" applyFont="1" applyFill="1" applyBorder="1" applyAlignment="1">
      <alignment horizontal="right" vertical="center" wrapText="1"/>
    </xf>
    <xf numFmtId="0" fontId="0" fillId="11" borderId="0" xfId="0" applyFill="1" applyBorder="1" applyAlignment="1">
      <alignment vertical="center" wrapText="1"/>
    </xf>
    <xf numFmtId="0" fontId="0" fillId="11" borderId="3" xfId="0" applyFill="1" applyBorder="1" applyAlignment="1">
      <alignment vertical="center" wrapText="1"/>
    </xf>
    <xf numFmtId="0" fontId="0" fillId="13" borderId="0" xfId="0" applyFill="1" applyAlignment="1">
      <alignment vertical="center" wrapText="1"/>
    </xf>
    <xf numFmtId="0" fontId="12" fillId="13" borderId="0" xfId="0" applyFont="1" applyFill="1" applyBorder="1" applyAlignment="1">
      <alignment horizontal="left" vertical="center" wrapText="1"/>
    </xf>
    <xf numFmtId="0" fontId="0" fillId="0" borderId="0" xfId="0" applyAlignment="1">
      <alignment vertical="center" wrapText="1"/>
    </xf>
    <xf numFmtId="0" fontId="6" fillId="13" borderId="0" xfId="0" applyFont="1" applyFill="1" applyAlignment="1">
      <alignment horizontal="center" vertical="center"/>
    </xf>
    <xf numFmtId="0" fontId="0" fillId="0" borderId="0" xfId="0" applyAlignment="1">
      <alignment vertical="center"/>
    </xf>
    <xf numFmtId="0" fontId="6" fillId="16" borderId="44" xfId="0" applyFont="1" applyFill="1" applyBorder="1" applyAlignment="1">
      <alignment horizontal="center" vertical="center" wrapText="1"/>
    </xf>
    <xf numFmtId="0" fontId="6" fillId="0" borderId="48" xfId="0" applyFont="1" applyBorder="1" applyAlignment="1">
      <alignment horizontal="center" vertical="center"/>
    </xf>
    <xf numFmtId="0" fontId="6" fillId="0" borderId="45" xfId="0" applyFont="1" applyBorder="1" applyAlignment="1">
      <alignment horizontal="center" vertical="center"/>
    </xf>
    <xf numFmtId="0" fontId="6" fillId="17" borderId="20" xfId="0" applyFont="1" applyFill="1" applyBorder="1" applyAlignment="1">
      <alignment horizontal="center" vertical="center"/>
    </xf>
    <xf numFmtId="0" fontId="0" fillId="14" borderId="11" xfId="0" applyFill="1" applyBorder="1" applyAlignment="1">
      <alignment vertical="center"/>
    </xf>
    <xf numFmtId="0" fontId="0" fillId="14" borderId="21" xfId="0" applyFill="1" applyBorder="1" applyAlignment="1">
      <alignment vertical="center"/>
    </xf>
    <xf numFmtId="0" fontId="12" fillId="9" borderId="0" xfId="0" applyFont="1" applyFill="1" applyBorder="1" applyAlignment="1">
      <alignment vertical="center"/>
    </xf>
    <xf numFmtId="0" fontId="19" fillId="2" borderId="12" xfId="0" applyFont="1" applyFill="1" applyBorder="1" applyAlignment="1" applyProtection="1">
      <alignment horizontal="center" vertical="center"/>
      <protection locked="0"/>
    </xf>
    <xf numFmtId="0" fontId="40" fillId="2" borderId="7" xfId="0" applyFont="1" applyFill="1" applyBorder="1" applyAlignment="1" applyProtection="1">
      <alignment horizontal="center" vertical="center"/>
      <protection locked="0"/>
    </xf>
    <xf numFmtId="0" fontId="19" fillId="9" borderId="12" xfId="0" applyFont="1" applyFill="1" applyBorder="1" applyAlignment="1" applyProtection="1">
      <alignment horizontal="center" vertical="center" wrapText="1"/>
    </xf>
    <xf numFmtId="0" fontId="19" fillId="0" borderId="7" xfId="0" applyFont="1" applyBorder="1" applyAlignment="1" applyProtection="1">
      <alignment vertical="center"/>
    </xf>
    <xf numFmtId="0" fontId="0" fillId="9" borderId="37" xfId="0" applyFill="1" applyBorder="1" applyAlignment="1">
      <alignment horizontal="right" vertical="center"/>
    </xf>
    <xf numFmtId="0" fontId="0" fillId="9" borderId="34" xfId="0" applyFill="1" applyBorder="1" applyAlignment="1">
      <alignment horizontal="right" vertical="center"/>
    </xf>
    <xf numFmtId="0" fontId="19" fillId="9" borderId="38" xfId="0" applyFont="1" applyFill="1" applyBorder="1" applyAlignment="1" applyProtection="1">
      <alignment horizontal="center" vertical="center" wrapText="1"/>
    </xf>
    <xf numFmtId="0" fontId="0" fillId="0" borderId="35" xfId="0" applyBorder="1" applyAlignment="1">
      <alignment horizontal="center" vertical="center" wrapText="1"/>
    </xf>
    <xf numFmtId="0" fontId="0" fillId="5" borderId="16" xfId="0" applyFill="1" applyBorder="1" applyAlignment="1">
      <alignment horizontal="center"/>
    </xf>
    <xf numFmtId="0" fontId="0" fillId="5" borderId="27" xfId="0" applyFill="1" applyBorder="1" applyAlignment="1">
      <alignment horizontal="center"/>
    </xf>
    <xf numFmtId="0" fontId="0" fillId="5" borderId="17" xfId="0" applyFill="1" applyBorder="1" applyAlignment="1">
      <alignment horizontal="center"/>
    </xf>
    <xf numFmtId="0" fontId="0" fillId="9" borderId="12" xfId="0" applyFill="1" applyBorder="1" applyAlignment="1">
      <alignment horizontal="right" vertical="center" wrapText="1"/>
    </xf>
    <xf numFmtId="0" fontId="0" fillId="0" borderId="12" xfId="0" applyBorder="1" applyAlignment="1"/>
    <xf numFmtId="0" fontId="6" fillId="3" borderId="1" xfId="0" applyFont="1" applyFill="1" applyBorder="1" applyAlignment="1">
      <alignment horizontal="center"/>
    </xf>
    <xf numFmtId="0" fontId="0" fillId="0" borderId="1" xfId="0" applyBorder="1" applyAlignment="1">
      <alignment horizontal="center"/>
    </xf>
  </cellXfs>
  <cellStyles count="2">
    <cellStyle name="Hyperlink" xfId="1" builtinId="8"/>
    <cellStyle name="Normal" xfId="0" builtinId="0"/>
  </cellStyles>
  <dxfs count="196">
    <dxf>
      <fill>
        <patternFill>
          <bgColor indexed="11"/>
        </patternFill>
      </fill>
    </dxf>
    <dxf>
      <fill>
        <patternFill>
          <bgColor indexed="10"/>
        </patternFill>
      </fill>
    </dxf>
    <dxf>
      <font>
        <condense val="0"/>
        <extend val="0"/>
        <color indexed="9"/>
      </font>
      <fill>
        <patternFill>
          <bgColor indexed="10"/>
        </patternFill>
      </fill>
    </dxf>
    <dxf>
      <font>
        <b/>
        <i val="0"/>
        <condense val="0"/>
        <extend val="0"/>
        <color indexed="12"/>
      </font>
      <fill>
        <patternFill>
          <bgColor indexed="11"/>
        </patternFill>
      </fill>
    </dxf>
    <dxf>
      <font>
        <b/>
        <i val="0"/>
        <condense val="0"/>
        <extend val="0"/>
        <color indexed="9"/>
      </font>
      <fill>
        <patternFill>
          <bgColor indexed="10"/>
        </patternFill>
      </fill>
    </dxf>
    <dxf>
      <font>
        <b/>
        <i val="0"/>
        <condense val="0"/>
        <extend val="0"/>
        <color indexed="12"/>
      </font>
      <fill>
        <patternFill>
          <bgColor indexed="11"/>
        </patternFill>
      </fill>
    </dxf>
    <dxf>
      <font>
        <b/>
        <i val="0"/>
        <condense val="0"/>
        <extend val="0"/>
        <color indexed="9"/>
      </font>
      <fill>
        <patternFill>
          <bgColor indexed="10"/>
        </patternFill>
      </fill>
    </dxf>
    <dxf>
      <font>
        <b/>
        <i val="0"/>
        <condense val="0"/>
        <extend val="0"/>
        <color indexed="12"/>
      </font>
      <fill>
        <patternFill>
          <bgColor indexed="13"/>
        </patternFill>
      </fill>
    </dxf>
    <dxf>
      <font>
        <b/>
        <i val="0"/>
        <condense val="0"/>
        <extend val="0"/>
        <color indexed="12"/>
      </font>
      <fill>
        <patternFill>
          <bgColor indexed="11"/>
        </patternFill>
      </fill>
    </dxf>
    <dxf>
      <font>
        <b/>
        <i val="0"/>
        <condense val="0"/>
        <extend val="0"/>
        <color indexed="12"/>
      </font>
    </dxf>
    <dxf>
      <font>
        <b/>
        <i val="0"/>
        <condense val="0"/>
        <extend val="0"/>
        <color indexed="9"/>
      </font>
      <fill>
        <patternFill>
          <bgColor indexed="10"/>
        </patternFill>
      </fill>
    </dxf>
    <dxf>
      <fill>
        <patternFill>
          <bgColor indexed="10"/>
        </patternFill>
      </fill>
    </dxf>
    <dxf>
      <fill>
        <patternFill>
          <bgColor indexed="11"/>
        </patternFill>
      </fill>
    </dxf>
    <dxf>
      <font>
        <condense val="0"/>
        <extend val="0"/>
        <color indexed="9"/>
      </font>
      <fill>
        <patternFill patternType="none">
          <bgColor indexed="65"/>
        </patternFill>
      </fill>
    </dxf>
    <dxf>
      <font>
        <condense val="0"/>
        <extend val="0"/>
        <color auto="1"/>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b/>
        <i val="0"/>
        <condense val="0"/>
        <extend val="0"/>
        <color indexed="9"/>
      </font>
      <fill>
        <patternFill>
          <bgColor indexed="18"/>
        </patternFill>
      </fill>
    </dxf>
    <dxf>
      <font>
        <b/>
        <i val="0"/>
        <condense val="0"/>
        <extend val="0"/>
        <color indexed="9"/>
      </font>
      <fill>
        <patternFill>
          <bgColor indexed="10"/>
        </patternFill>
      </fill>
    </dxf>
    <dxf>
      <fill>
        <patternFill>
          <bgColor indexed="11"/>
        </patternFill>
      </fill>
    </dxf>
    <dxf>
      <font>
        <b/>
        <i val="0"/>
        <condense val="0"/>
        <extend val="0"/>
        <color indexed="9"/>
      </font>
      <fill>
        <patternFill>
          <bgColor indexed="10"/>
        </patternFill>
      </fill>
    </dxf>
    <dxf>
      <font>
        <b/>
        <i val="0"/>
        <condense val="0"/>
        <extend val="0"/>
        <color indexed="12"/>
      </font>
      <fill>
        <patternFill>
          <bgColor indexed="11"/>
        </patternFill>
      </fill>
    </dxf>
    <dxf>
      <font>
        <b/>
        <i val="0"/>
        <condense val="0"/>
        <extend val="0"/>
        <color indexed="9"/>
      </font>
      <fill>
        <patternFill>
          <bgColor indexed="10"/>
        </patternFill>
      </fill>
    </dxf>
    <dxf>
      <font>
        <b/>
        <i val="0"/>
        <condense val="0"/>
        <extend val="0"/>
        <color indexed="12"/>
      </font>
      <fill>
        <patternFill>
          <bgColor indexed="11"/>
        </patternFill>
      </fill>
    </dxf>
    <dxf>
      <font>
        <b/>
        <i val="0"/>
        <condense val="0"/>
        <extend val="0"/>
        <color indexed="9"/>
      </font>
      <fill>
        <patternFill>
          <bgColor indexed="18"/>
        </patternFill>
      </fill>
    </dxf>
    <dxf>
      <fill>
        <patternFill>
          <bgColor indexed="11"/>
        </patternFill>
      </fill>
    </dxf>
    <dxf>
      <font>
        <b/>
        <i val="0"/>
        <condense val="0"/>
        <extend val="0"/>
      </font>
      <fill>
        <patternFill>
          <bgColor indexed="10"/>
        </patternFill>
      </fill>
    </dxf>
    <dxf>
      <fill>
        <patternFill>
          <bgColor indexed="11"/>
        </patternFill>
      </fill>
    </dxf>
    <dxf>
      <font>
        <b/>
        <i val="0"/>
        <condense val="0"/>
        <extend val="0"/>
        <color indexed="12"/>
      </font>
      <fill>
        <patternFill>
          <bgColor indexed="10"/>
        </patternFill>
      </fill>
    </dxf>
    <dxf>
      <font>
        <b/>
        <i val="0"/>
        <condense val="0"/>
        <extend val="0"/>
        <color indexed="9"/>
      </font>
      <fill>
        <patternFill>
          <bgColor indexed="10"/>
        </patternFill>
      </fill>
    </dxf>
    <dxf>
      <font>
        <b/>
        <i val="0"/>
        <condense val="0"/>
        <extend val="0"/>
        <color indexed="12"/>
      </font>
      <fill>
        <patternFill>
          <bgColor indexed="11"/>
        </patternFill>
      </fill>
    </dxf>
    <dxf>
      <font>
        <condense val="0"/>
        <extend val="0"/>
        <color auto="1"/>
      </font>
      <fill>
        <patternFill>
          <bgColor indexed="11"/>
        </patternFill>
      </fill>
    </dxf>
    <dxf>
      <fill>
        <patternFill>
          <bgColor indexed="11"/>
        </patternFill>
      </fill>
    </dxf>
    <dxf>
      <fill>
        <patternFill>
          <bgColor indexed="10"/>
        </patternFill>
      </fill>
    </dxf>
    <dxf>
      <fill>
        <patternFill>
          <bgColor indexed="11"/>
        </patternFill>
      </fill>
    </dxf>
    <dxf>
      <font>
        <b/>
        <i val="0"/>
        <condense val="0"/>
        <extend val="0"/>
        <color indexed="9"/>
      </font>
      <fill>
        <patternFill>
          <bgColor indexed="10"/>
        </patternFill>
      </fill>
    </dxf>
    <dxf>
      <fill>
        <patternFill>
          <bgColor indexed="11"/>
        </patternFill>
      </fill>
    </dxf>
    <dxf>
      <font>
        <b/>
        <i val="0"/>
        <condense val="0"/>
        <extend val="0"/>
        <color indexed="9"/>
      </font>
      <fill>
        <patternFill>
          <bgColor indexed="10"/>
        </patternFill>
      </fill>
    </dxf>
    <dxf>
      <fill>
        <patternFill>
          <bgColor indexed="11"/>
        </patternFill>
      </fill>
    </dxf>
    <dxf>
      <font>
        <b/>
        <i val="0"/>
        <condense val="0"/>
        <extend val="0"/>
        <color indexed="9"/>
      </font>
      <fill>
        <patternFill>
          <bgColor indexed="10"/>
        </patternFill>
      </fill>
    </dxf>
    <dxf>
      <fill>
        <patternFill>
          <bgColor indexed="11"/>
        </patternFill>
      </fill>
    </dxf>
    <dxf>
      <font>
        <b/>
        <i val="0"/>
        <condense val="0"/>
        <extend val="0"/>
        <color indexed="9"/>
      </font>
      <fill>
        <patternFill>
          <bgColor indexed="10"/>
        </patternFill>
      </fill>
    </dxf>
    <dxf>
      <fill>
        <patternFill>
          <bgColor indexed="9"/>
        </patternFill>
      </fill>
    </dxf>
    <dxf>
      <font>
        <condense val="0"/>
        <extend val="0"/>
        <color auto="1"/>
      </font>
      <fill>
        <patternFill>
          <bgColor indexed="45"/>
        </patternFill>
      </fill>
    </dxf>
    <dxf>
      <fill>
        <patternFill>
          <bgColor indexed="10"/>
        </patternFill>
      </fill>
    </dxf>
    <dxf>
      <font>
        <condense val="0"/>
        <extend val="0"/>
        <color auto="1"/>
      </font>
      <fill>
        <patternFill>
          <bgColor indexed="11"/>
        </patternFill>
      </fill>
    </dxf>
    <dxf>
      <fill>
        <patternFill>
          <bgColor indexed="11"/>
        </patternFill>
      </fill>
    </dxf>
    <dxf>
      <font>
        <b/>
        <i val="0"/>
        <condense val="0"/>
        <extend val="0"/>
      </font>
      <fill>
        <patternFill>
          <bgColor indexed="10"/>
        </patternFill>
      </fill>
    </dxf>
    <dxf>
      <fill>
        <patternFill>
          <bgColor indexed="11"/>
        </patternFill>
      </fill>
    </dxf>
    <dxf>
      <fill>
        <patternFill>
          <bgColor indexed="10"/>
        </patternFill>
      </fill>
    </dxf>
    <dxf>
      <fill>
        <patternFill>
          <bgColor indexed="10"/>
        </patternFill>
      </fill>
    </dxf>
    <dxf>
      <font>
        <b/>
        <i val="0"/>
        <condense val="0"/>
        <extend val="0"/>
      </font>
      <fill>
        <patternFill>
          <bgColor indexed="11"/>
        </patternFill>
      </fill>
    </dxf>
    <dxf>
      <font>
        <condense val="0"/>
        <extend val="0"/>
        <color indexed="9"/>
      </font>
      <fill>
        <patternFill>
          <bgColor indexed="9"/>
        </patternFill>
      </fill>
    </dxf>
    <dxf>
      <fill>
        <patternFill>
          <bgColor indexed="11"/>
        </patternFill>
      </fill>
    </dxf>
    <dxf>
      <fill>
        <patternFill>
          <bgColor indexed="10"/>
        </patternFill>
      </fill>
    </dxf>
    <dxf>
      <fill>
        <patternFill>
          <bgColor indexed="11"/>
        </patternFill>
      </fill>
    </dxf>
    <dxf>
      <font>
        <b/>
        <i val="0"/>
        <condense val="0"/>
        <extend val="0"/>
        <color indexed="9"/>
      </font>
      <fill>
        <patternFill>
          <bgColor indexed="10"/>
        </patternFill>
      </fill>
    </dxf>
    <dxf>
      <font>
        <b/>
        <i val="0"/>
        <condense val="0"/>
        <extend val="0"/>
        <color indexed="9"/>
      </font>
      <fill>
        <patternFill>
          <bgColor indexed="10"/>
        </patternFill>
      </fill>
    </dxf>
    <dxf>
      <fill>
        <patternFill>
          <bgColor indexed="11"/>
        </patternFill>
      </fill>
    </dxf>
    <dxf>
      <font>
        <b/>
        <i val="0"/>
        <condense val="0"/>
        <extend val="0"/>
        <color indexed="9"/>
      </font>
      <fill>
        <patternFill>
          <bgColor indexed="10"/>
        </patternFill>
      </fill>
    </dxf>
    <dxf>
      <fill>
        <patternFill>
          <bgColor indexed="11"/>
        </patternFill>
      </fill>
    </dxf>
    <dxf>
      <font>
        <b/>
        <i val="0"/>
        <condense val="0"/>
        <extend val="0"/>
        <color indexed="9"/>
      </font>
      <fill>
        <patternFill>
          <bgColor indexed="10"/>
        </patternFill>
      </fill>
    </dxf>
    <dxf>
      <fill>
        <patternFill>
          <bgColor indexed="10"/>
        </patternFill>
      </fill>
    </dxf>
    <dxf>
      <fill>
        <patternFill>
          <bgColor indexed="11"/>
        </patternFill>
      </fill>
    </dxf>
    <dxf>
      <fill>
        <patternFill>
          <bgColor indexed="10"/>
        </patternFill>
      </fill>
    </dxf>
    <dxf>
      <fill>
        <patternFill>
          <bgColor indexed="10"/>
        </patternFill>
      </fill>
    </dxf>
    <dxf>
      <fill>
        <patternFill>
          <bgColor indexed="10"/>
        </patternFill>
      </fill>
    </dxf>
    <dxf>
      <fill>
        <patternFill>
          <bgColor indexed="11"/>
        </patternFill>
      </fill>
    </dxf>
    <dxf>
      <fill>
        <patternFill>
          <bgColor indexed="10"/>
        </patternFill>
      </fill>
    </dxf>
    <dxf>
      <font>
        <b/>
        <i val="0"/>
        <condense val="0"/>
        <extend val="0"/>
        <color indexed="12"/>
      </font>
      <fill>
        <patternFill>
          <bgColor indexed="11"/>
        </patternFill>
      </fill>
    </dxf>
    <dxf>
      <font>
        <b/>
        <i val="0"/>
        <condense val="0"/>
        <extend val="0"/>
        <color indexed="9"/>
      </font>
      <fill>
        <patternFill>
          <bgColor indexed="10"/>
        </patternFill>
      </fill>
    </dxf>
    <dxf>
      <font>
        <condense val="0"/>
        <extend val="0"/>
        <color indexed="11"/>
      </font>
      <fill>
        <patternFill>
          <bgColor indexed="11"/>
        </patternFill>
      </fill>
    </dxf>
    <dxf>
      <font>
        <condense val="0"/>
        <extend val="0"/>
        <color indexed="11"/>
      </font>
      <fill>
        <patternFill>
          <bgColor indexed="11"/>
        </patternFill>
      </fill>
    </dxf>
    <dxf>
      <font>
        <b/>
        <i val="0"/>
        <condense val="0"/>
        <extend val="0"/>
        <color indexed="9"/>
      </font>
      <fill>
        <patternFill>
          <bgColor indexed="10"/>
        </patternFill>
      </fill>
    </dxf>
    <dxf>
      <fill>
        <patternFill>
          <bgColor indexed="11"/>
        </patternFill>
      </fill>
    </dxf>
    <dxf>
      <font>
        <b/>
        <i val="0"/>
        <condense val="0"/>
        <extend val="0"/>
        <color indexed="9"/>
      </font>
      <fill>
        <patternFill>
          <bgColor indexed="10"/>
        </patternFill>
      </fill>
    </dxf>
    <dxf>
      <fill>
        <patternFill>
          <bgColor indexed="11"/>
        </patternFill>
      </fill>
    </dxf>
    <dxf>
      <fill>
        <patternFill>
          <bgColor indexed="11"/>
        </patternFill>
      </fill>
    </dxf>
    <dxf>
      <font>
        <b/>
        <i val="0"/>
        <condense val="0"/>
        <extend val="0"/>
        <color indexed="9"/>
      </font>
      <fill>
        <patternFill>
          <bgColor indexed="10"/>
        </patternFill>
      </fill>
    </dxf>
    <dxf>
      <fill>
        <patternFill>
          <bgColor indexed="11"/>
        </patternFill>
      </fill>
    </dxf>
    <dxf>
      <fill>
        <patternFill>
          <bgColor indexed="10"/>
        </patternFill>
      </fill>
    </dxf>
    <dxf>
      <fill>
        <patternFill>
          <bgColor indexed="52"/>
        </patternFill>
      </fill>
    </dxf>
    <dxf>
      <fill>
        <patternFill>
          <bgColor indexed="53"/>
        </patternFill>
      </fill>
    </dxf>
    <dxf>
      <fill>
        <patternFill>
          <bgColor indexed="53"/>
        </patternFill>
      </fill>
    </dxf>
    <dxf>
      <fill>
        <patternFill>
          <bgColor indexed="10"/>
        </patternFill>
      </fill>
    </dxf>
    <dxf>
      <fill>
        <patternFill>
          <bgColor indexed="11"/>
        </patternFill>
      </fill>
    </dxf>
    <dxf>
      <font>
        <condense val="0"/>
        <extend val="0"/>
        <color indexed="9"/>
      </font>
    </dxf>
    <dxf>
      <fill>
        <patternFill>
          <bgColor indexed="11"/>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1"/>
        </patternFill>
      </fill>
    </dxf>
    <dxf>
      <font>
        <b/>
        <i val="0"/>
        <condense val="0"/>
        <extend val="0"/>
        <color indexed="9"/>
      </font>
      <fill>
        <patternFill>
          <bgColor indexed="10"/>
        </patternFill>
      </fill>
    </dxf>
    <dxf>
      <fill>
        <patternFill>
          <bgColor indexed="10"/>
        </patternFill>
      </fill>
    </dxf>
    <dxf>
      <fill>
        <patternFill>
          <bgColor indexed="10"/>
        </patternFill>
      </fill>
    </dxf>
    <dxf>
      <font>
        <condense val="0"/>
        <extend val="0"/>
        <color indexed="9"/>
      </font>
    </dxf>
    <dxf>
      <fill>
        <patternFill>
          <bgColor indexed="13"/>
        </patternFill>
      </fill>
    </dxf>
    <dxf>
      <font>
        <b/>
        <i val="0"/>
        <condense val="0"/>
        <extend val="0"/>
        <color indexed="9"/>
      </font>
      <fill>
        <patternFill>
          <bgColor indexed="10"/>
        </patternFill>
      </fill>
    </dxf>
    <dxf>
      <fill>
        <patternFill>
          <bgColor indexed="13"/>
        </patternFill>
      </fill>
    </dxf>
    <dxf>
      <font>
        <b/>
        <i val="0"/>
        <condense val="0"/>
        <extend val="0"/>
        <color indexed="9"/>
      </font>
      <fill>
        <patternFill>
          <bgColor indexed="10"/>
        </patternFill>
      </fill>
    </dxf>
    <dxf>
      <font>
        <b/>
        <i val="0"/>
        <condense val="0"/>
        <extend val="0"/>
        <color indexed="10"/>
      </font>
      <fill>
        <patternFill>
          <bgColor indexed="42"/>
        </patternFill>
      </fill>
    </dxf>
    <dxf>
      <font>
        <b/>
        <i val="0"/>
        <condense val="0"/>
        <extend val="0"/>
        <color indexed="9"/>
      </font>
      <fill>
        <patternFill>
          <bgColor indexed="10"/>
        </patternFill>
      </fill>
    </dxf>
    <dxf>
      <font>
        <b/>
        <i val="0"/>
        <condense val="0"/>
        <extend val="0"/>
        <color indexed="9"/>
      </font>
      <fill>
        <patternFill>
          <bgColor indexed="10"/>
        </patternFill>
      </fill>
    </dxf>
    <dxf>
      <fill>
        <patternFill>
          <bgColor indexed="13"/>
        </patternFill>
      </fill>
    </dxf>
    <dxf>
      <fill>
        <patternFill>
          <bgColor indexed="11"/>
        </patternFill>
      </fill>
    </dxf>
    <dxf>
      <font>
        <b/>
        <i val="0"/>
        <condense val="0"/>
        <extend val="0"/>
        <color indexed="9"/>
      </font>
      <fill>
        <patternFill>
          <bgColor indexed="10"/>
        </patternFill>
      </fill>
    </dxf>
    <dxf>
      <font>
        <b/>
        <i val="0"/>
        <condense val="0"/>
        <extend val="0"/>
        <color indexed="9"/>
      </font>
      <fill>
        <patternFill>
          <bgColor indexed="10"/>
        </patternFill>
      </fill>
    </dxf>
    <dxf>
      <fill>
        <patternFill>
          <bgColor indexed="11"/>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1"/>
        </patternFill>
      </fill>
    </dxf>
    <dxf>
      <font>
        <b/>
        <i val="0"/>
        <condense val="0"/>
        <extend val="0"/>
        <color indexed="9"/>
      </font>
      <fill>
        <patternFill>
          <bgColor indexed="10"/>
        </patternFill>
      </fill>
    </dxf>
    <dxf>
      <font>
        <b/>
        <i val="0"/>
        <condense val="0"/>
        <extend val="0"/>
        <color indexed="9"/>
      </font>
      <fill>
        <patternFill>
          <bgColor indexed="10"/>
        </patternFill>
      </fill>
    </dxf>
    <dxf>
      <fill>
        <patternFill>
          <bgColor indexed="41"/>
        </patternFill>
      </fill>
    </dxf>
    <dxf>
      <fill>
        <patternFill>
          <bgColor indexed="42"/>
        </patternFill>
      </fill>
    </dxf>
    <dxf>
      <fill>
        <patternFill>
          <bgColor indexed="4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fgColor indexed="9"/>
        </patternFill>
      </fill>
    </dxf>
    <dxf>
      <fill>
        <patternFill>
          <bgColor indexed="10"/>
        </patternFill>
      </fill>
    </dxf>
    <dxf>
      <font>
        <condense val="0"/>
        <extend val="0"/>
        <color indexed="9"/>
      </font>
    </dxf>
    <dxf>
      <fill>
        <patternFill>
          <bgColor indexed="11"/>
        </patternFill>
      </fill>
    </dxf>
    <dxf>
      <font>
        <condense val="0"/>
        <extend val="0"/>
        <color indexed="9"/>
      </font>
      <fill>
        <patternFill>
          <bgColor indexed="10"/>
        </patternFill>
      </fill>
    </dxf>
    <dxf>
      <font>
        <b/>
        <i val="0"/>
        <condense val="0"/>
        <extend val="0"/>
        <color indexed="9"/>
      </font>
      <fill>
        <patternFill>
          <bgColor indexed="10"/>
        </patternFill>
      </fill>
    </dxf>
    <dxf>
      <fill>
        <patternFill>
          <bgColor indexed="11"/>
        </patternFill>
      </fill>
    </dxf>
    <dxf>
      <font>
        <condense val="0"/>
        <extend val="0"/>
        <color auto="1"/>
      </font>
      <fill>
        <patternFill>
          <bgColor indexed="11"/>
        </patternFill>
      </fill>
    </dxf>
    <dxf>
      <font>
        <condense val="0"/>
        <extend val="0"/>
        <color indexed="9"/>
      </font>
      <fill>
        <patternFill>
          <bgColor indexed="10"/>
        </patternFill>
      </fill>
    </dxf>
    <dxf>
      <fill>
        <patternFill>
          <bgColor indexed="10"/>
        </patternFill>
      </fill>
    </dxf>
    <dxf>
      <fill>
        <patternFill>
          <bgColor indexed="11"/>
        </patternFill>
      </fill>
    </dxf>
    <dxf>
      <fill>
        <patternFill>
          <bgColor indexed="11"/>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ill>
        <patternFill>
          <bgColor indexed="52"/>
        </patternFill>
      </fill>
    </dxf>
    <dxf>
      <font>
        <condense val="0"/>
        <extend val="0"/>
        <color indexed="9"/>
      </font>
      <fill>
        <patternFill>
          <bgColor indexed="53"/>
        </patternFill>
      </fill>
    </dxf>
    <dxf>
      <fill>
        <patternFill>
          <bgColor indexed="10"/>
        </patternFill>
      </fill>
    </dxf>
    <dxf>
      <fill>
        <patternFill>
          <bgColor indexed="13"/>
        </patternFill>
      </fill>
    </dxf>
    <dxf>
      <fill>
        <patternFill>
          <bgColor indexed="42"/>
        </patternFill>
      </fill>
    </dxf>
    <dxf>
      <fill>
        <patternFill>
          <bgColor indexed="10"/>
        </patternFill>
      </fill>
    </dxf>
    <dxf>
      <fill>
        <patternFill>
          <bgColor indexed="11"/>
        </patternFill>
      </fill>
    </dxf>
    <dxf>
      <fill>
        <patternFill>
          <bgColor indexed="10"/>
        </patternFill>
      </fill>
    </dxf>
    <dxf>
      <font>
        <b/>
        <i val="0"/>
        <condense val="0"/>
        <extend val="0"/>
      </font>
      <fill>
        <patternFill>
          <bgColor indexed="10"/>
        </patternFill>
      </fill>
    </dxf>
    <dxf>
      <fill>
        <patternFill>
          <bgColor indexed="11"/>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1"/>
        </patternFill>
      </fill>
    </dxf>
    <dxf>
      <fill>
        <patternFill>
          <bgColor indexed="10"/>
        </patternFill>
      </fill>
    </dxf>
    <dxf>
      <fill>
        <patternFill>
          <bgColor indexed="41"/>
        </patternFill>
      </fill>
    </dxf>
    <dxf>
      <fill>
        <patternFill>
          <bgColor indexed="13"/>
        </patternFill>
      </fill>
    </dxf>
    <dxf>
      <fill>
        <patternFill>
          <bgColor indexed="11"/>
        </patternFill>
      </fill>
    </dxf>
    <dxf>
      <font>
        <b/>
        <i val="0"/>
        <condense val="0"/>
        <extend val="0"/>
      </font>
      <fill>
        <patternFill>
          <bgColor indexed="10"/>
        </patternFill>
      </fill>
    </dxf>
    <dxf>
      <font>
        <b/>
        <i val="0"/>
        <condense val="0"/>
        <extend val="0"/>
        <color indexed="9"/>
      </font>
      <fill>
        <patternFill>
          <bgColor indexed="10"/>
        </patternFill>
      </fill>
    </dxf>
    <dxf>
      <font>
        <b/>
        <i val="0"/>
        <condense val="0"/>
        <extend val="0"/>
        <color indexed="10"/>
      </font>
      <fill>
        <patternFill patternType="solid">
          <bgColor indexed="42"/>
        </patternFill>
      </fill>
    </dxf>
    <dxf>
      <fill>
        <patternFill>
          <bgColor indexed="10"/>
        </patternFill>
      </fill>
    </dxf>
    <dxf>
      <font>
        <condense val="0"/>
        <extend val="0"/>
        <color indexed="9"/>
      </font>
      <fill>
        <patternFill>
          <bgColor indexed="10"/>
        </patternFill>
      </fill>
    </dxf>
    <dxf>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ill>
        <patternFill>
          <bgColor indexed="11"/>
        </patternFill>
      </fill>
    </dxf>
    <dxf>
      <font>
        <b/>
        <i val="0"/>
        <condense val="0"/>
        <extend val="0"/>
        <color indexed="9"/>
      </font>
      <fill>
        <patternFill>
          <bgColor indexed="10"/>
        </patternFill>
      </fill>
    </dxf>
    <dxf>
      <fill>
        <patternFill>
          <bgColor indexed="53"/>
        </patternFill>
      </fill>
    </dxf>
    <dxf>
      <fill>
        <patternFill>
          <bgColor indexed="47"/>
        </patternFill>
      </fill>
    </dxf>
    <dxf>
      <font>
        <b/>
        <i val="0"/>
        <condense val="0"/>
        <extend val="0"/>
      </font>
      <fill>
        <patternFill>
          <bgColor indexed="10"/>
        </patternFill>
      </fill>
    </dxf>
    <dxf>
      <fill>
        <patternFill>
          <bgColor indexed="47"/>
        </patternFill>
      </fill>
    </dxf>
    <dxf>
      <fill>
        <patternFill>
          <bgColor indexed="10"/>
        </patternFill>
      </fill>
    </dxf>
    <dxf>
      <fill>
        <patternFill>
          <bgColor indexed="10"/>
        </patternFill>
      </fill>
    </dxf>
    <dxf>
      <fill>
        <patternFill>
          <bgColor indexed="11"/>
        </patternFill>
      </fill>
    </dxf>
    <dxf>
      <font>
        <b/>
        <i val="0"/>
        <condense val="0"/>
        <extend val="0"/>
      </font>
      <fill>
        <patternFill>
          <bgColor indexed="10"/>
        </patternFill>
      </fill>
    </dxf>
    <dxf>
      <fill>
        <patternFill>
          <bgColor indexed="10"/>
        </patternFill>
      </fill>
    </dxf>
    <dxf>
      <fill>
        <patternFill>
          <bgColor indexed="11"/>
        </patternFill>
      </fill>
    </dxf>
    <dxf>
      <fill>
        <patternFill>
          <bgColor indexed="11"/>
        </patternFill>
      </fill>
    </dxf>
    <dxf>
      <font>
        <b/>
        <i val="0"/>
        <condense val="0"/>
        <extend val="0"/>
        <color indexed="9"/>
      </font>
      <fill>
        <patternFill>
          <bgColor indexed="10"/>
        </patternFill>
      </fill>
    </dxf>
    <dxf>
      <fill>
        <patternFill>
          <bgColor indexed="11"/>
        </patternFill>
      </fill>
    </dxf>
    <dxf>
      <font>
        <b/>
        <i val="0"/>
        <condense val="0"/>
        <extend val="0"/>
        <color indexed="9"/>
      </font>
      <fill>
        <patternFill>
          <bgColor indexed="10"/>
        </patternFill>
      </fill>
    </dxf>
    <dxf>
      <fill>
        <patternFill>
          <bgColor indexed="10"/>
        </patternFill>
      </fill>
    </dxf>
    <dxf>
      <fill>
        <patternFill>
          <bgColor indexed="11"/>
        </patternFill>
      </fill>
    </dxf>
    <dxf>
      <fill>
        <patternFill>
          <bgColor indexed="10"/>
        </patternFill>
      </fill>
    </dxf>
    <dxf>
      <fill>
        <patternFill>
          <bgColor indexed="11"/>
        </patternFill>
      </fill>
    </dxf>
    <dxf>
      <font>
        <b/>
        <i val="0"/>
        <condense val="0"/>
        <extend val="0"/>
      </font>
      <fill>
        <patternFill>
          <bgColor indexed="10"/>
        </patternFill>
      </fill>
    </dxf>
    <dxf>
      <fill>
        <patternFill>
          <bgColor indexed="11"/>
        </patternFill>
      </fill>
    </dxf>
    <dxf>
      <font>
        <b/>
        <i val="0"/>
        <condense val="0"/>
        <extend val="0"/>
      </font>
      <fill>
        <patternFill>
          <bgColor indexed="10"/>
        </patternFill>
      </fill>
    </dxf>
    <dxf>
      <fill>
        <patternFill>
          <bgColor indexed="11"/>
        </patternFill>
      </fill>
    </dxf>
    <dxf>
      <font>
        <b/>
        <i val="0"/>
        <condense val="0"/>
        <extend val="0"/>
      </font>
      <fill>
        <patternFill>
          <bgColor indexed="10"/>
        </patternFill>
      </fill>
    </dxf>
    <dxf>
      <fill>
        <patternFill>
          <bgColor indexed="41"/>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5" fmlaLink="Factors!$J$6" fmlaRange="Factors!$J4:$J5" val="0"/>
</file>

<file path=xl/ctrlProps/ctrlProp10.xml><?xml version="1.0" encoding="utf-8"?>
<formControlPr xmlns="http://schemas.microsoft.com/office/spreadsheetml/2009/9/main" objectType="Drop" dropLines="3" dropStyle="combo" dx="15" fmlaLink="Factors!$J$90" fmlaRange="Factors!$J88:$J89" sel="2" val="0"/>
</file>

<file path=xl/ctrlProps/ctrlProp11.xml><?xml version="1.0" encoding="utf-8"?>
<formControlPr xmlns="http://schemas.microsoft.com/office/spreadsheetml/2009/9/main" objectType="Drop" dropLines="2" dropStyle="combo" dx="15" fmlaLink="Factors!$J$97" fmlaRange="Factors!$J95:$J96" val="0"/>
</file>

<file path=xl/ctrlProps/ctrlProp12.xml><?xml version="1.0" encoding="utf-8"?>
<formControlPr xmlns="http://schemas.microsoft.com/office/spreadsheetml/2009/9/main" objectType="Drop" dropLines="2" dropStyle="combo" dx="15" fmlaLink="Factors!$J$80" fmlaRange="Factors!$J78:$J79" val="0"/>
</file>

<file path=xl/ctrlProps/ctrlProp13.xml><?xml version="1.0" encoding="utf-8"?>
<formControlPr xmlns="http://schemas.microsoft.com/office/spreadsheetml/2009/9/main" objectType="Drop" dropLines="2" dropStyle="combo" dx="15" fmlaLink="Factors!$J$93" fmlaRange="Factors!$J8:$J9" val="0"/>
</file>

<file path=xl/ctrlProps/ctrlProp14.xml><?xml version="1.0" encoding="utf-8"?>
<formControlPr xmlns="http://schemas.microsoft.com/office/spreadsheetml/2009/9/main" objectType="Drop" dropLines="2" dropStyle="combo" dx="15" fmlaLink="Factors!$J$72" fmlaRange="Factors!$J70:$J71" sel="2" val="0"/>
</file>

<file path=xl/ctrlProps/ctrlProp15.xml><?xml version="1.0" encoding="utf-8"?>
<formControlPr xmlns="http://schemas.microsoft.com/office/spreadsheetml/2009/9/main" objectType="Drop" dropLines="10" dropStyle="combo" dx="15" fmlaLink="Factors!$AE$14" fmlaRange="Factors!$AE$4:$AE$13" sel="4" val="0"/>
</file>

<file path=xl/ctrlProps/ctrlProp16.xml><?xml version="1.0" encoding="utf-8"?>
<formControlPr xmlns="http://schemas.microsoft.com/office/spreadsheetml/2009/9/main" objectType="Drop" dropLines="10" dropStyle="combo" dx="15" fmlaLink="Factors!$AE$11" fmlaRange="Factors!$AE4:$AE13" sel="2" val="0"/>
</file>

<file path=xl/ctrlProps/ctrlProp17.xml><?xml version="1.0" encoding="utf-8"?>
<formControlPr xmlns="http://schemas.microsoft.com/office/spreadsheetml/2009/9/main" objectType="Drop" dropLines="10" dropStyle="combo" dx="15" fmlaLink="Factors!$AE$34" fmlaRange="Factors!$AE4:$AE13" val="0"/>
</file>

<file path=xl/ctrlProps/ctrlProp18.xml><?xml version="1.0" encoding="utf-8"?>
<formControlPr xmlns="http://schemas.microsoft.com/office/spreadsheetml/2009/9/main" objectType="Drop" dropLines="2" dropStyle="combo" dx="15" fmlaLink="Factors!$AL$5" fmlaRange="Factors!$J8:$J9" val="0"/>
</file>

<file path=xl/ctrlProps/ctrlProp19.xml><?xml version="1.0" encoding="utf-8"?>
<formControlPr xmlns="http://schemas.microsoft.com/office/spreadsheetml/2009/9/main" objectType="Drop" dropLines="2" dropStyle="combo" dx="15" fmlaLink="Factors!$J$27" fmlaRange="Factors!$J25:$J26" val="0"/>
</file>

<file path=xl/ctrlProps/ctrlProp2.xml><?xml version="1.0" encoding="utf-8"?>
<formControlPr xmlns="http://schemas.microsoft.com/office/spreadsheetml/2009/9/main" objectType="Drop" dropLines="50" dropStyle="combo" dx="15" fmlaLink="Factors!$A66" fmlaRange="Factors!$B3:$B65" sel="22" val="21"/>
</file>

<file path=xl/ctrlProps/ctrlProp20.xml><?xml version="1.0" encoding="utf-8"?>
<formControlPr xmlns="http://schemas.microsoft.com/office/spreadsheetml/2009/9/main" objectType="Drop" dropLines="2" dropStyle="combo" dx="15" fmlaLink="Factors!$J$35" fmlaRange="Factors!$J33:$J34" val="0"/>
</file>

<file path=xl/ctrlProps/ctrlProp21.xml><?xml version="1.0" encoding="utf-8"?>
<formControlPr xmlns="http://schemas.microsoft.com/office/spreadsheetml/2009/9/main" objectType="Drop" dropLines="2" dropStyle="combo" dx="15" fmlaLink="Factors!$J$47" fmlaRange="Factors!$J45:$J46" val="0"/>
</file>

<file path=xl/ctrlProps/ctrlProp22.xml><?xml version="1.0" encoding="utf-8"?>
<formControlPr xmlns="http://schemas.microsoft.com/office/spreadsheetml/2009/9/main" objectType="Drop" dropLines="2" dropStyle="combo" dx="15" fmlaLink="Factors!$J$51" fmlaRange="Factors!$J49:$J50" val="0"/>
</file>

<file path=xl/ctrlProps/ctrlProp23.xml><?xml version="1.0" encoding="utf-8"?>
<formControlPr xmlns="http://schemas.microsoft.com/office/spreadsheetml/2009/9/main" objectType="Drop" dropLines="7" dropStyle="combo" dx="15" fmlaLink="Factors!$AE$23" fmlaRange="Factors!$AE16:$AE22" sel="6" val="0"/>
</file>

<file path=xl/ctrlProps/ctrlProp24.xml><?xml version="1.0" encoding="utf-8"?>
<formControlPr xmlns="http://schemas.microsoft.com/office/spreadsheetml/2009/9/main" objectType="Drop" dropLines="2" dropStyle="combo" dx="15" fmlaLink="Factors!$J$58" fmlaRange="Factors!$J8:$J9" sel="2" val="0"/>
</file>

<file path=xl/ctrlProps/ctrlProp25.xml><?xml version="1.0" encoding="utf-8"?>
<formControlPr xmlns="http://schemas.microsoft.com/office/spreadsheetml/2009/9/main" objectType="Drop" dropLines="12" dropStyle="combo" dx="15" fmlaLink="Factors!$E$36" fmlaRange="Factors!$E$4:$E$15" sel="5" val="0"/>
</file>

<file path=xl/ctrlProps/ctrlProp26.xml><?xml version="1.0" encoding="utf-8"?>
<formControlPr xmlns="http://schemas.microsoft.com/office/spreadsheetml/2009/9/main" objectType="Drop" dropLines="31" dropStyle="combo" dx="15" fmlaLink="Factors!$F$36" fmlaRange="Factors!$F$4:$F$34" sel="5" val="0"/>
</file>

<file path=xl/ctrlProps/ctrlProp27.xml><?xml version="1.0" encoding="utf-8"?>
<formControlPr xmlns="http://schemas.microsoft.com/office/spreadsheetml/2009/9/main" objectType="Drop" dropLines="12" dropStyle="combo" dx="15" fmlaLink="Factors!$E$37" fmlaRange="Factors!$E$4:$E$15" sel="11" val="0"/>
</file>

<file path=xl/ctrlProps/ctrlProp28.xml><?xml version="1.0" encoding="utf-8"?>
<formControlPr xmlns="http://schemas.microsoft.com/office/spreadsheetml/2009/9/main" objectType="Drop" dropLines="31" dropStyle="combo" dx="15" fmlaLink="Factors!$F$37" fmlaRange="Factors!$F$4:$F$34" sel="29" val="0"/>
</file>

<file path=xl/ctrlProps/ctrlProp29.xml><?xml version="1.0" encoding="utf-8"?>
<formControlPr xmlns="http://schemas.microsoft.com/office/spreadsheetml/2009/9/main" objectType="Drop" dropLines="2" dropStyle="combo" dx="15" fmlaLink="Factors!$J$105" fmlaRange="Factors!$J$103:$J$104" sel="2" val="0"/>
</file>

<file path=xl/ctrlProps/ctrlProp3.xml><?xml version="1.0" encoding="utf-8"?>
<formControlPr xmlns="http://schemas.microsoft.com/office/spreadsheetml/2009/9/main" objectType="Drop" dropLines="75" dropStyle="combo" dx="15" fmlaLink="Factors!$A67" fmlaRange="Factors!$B69:$B987" sel="53" val="52"/>
</file>

<file path=xl/ctrlProps/ctrlProp30.xml><?xml version="1.0" encoding="utf-8"?>
<formControlPr xmlns="http://schemas.microsoft.com/office/spreadsheetml/2009/9/main" objectType="Drop" dropLines="2" dropStyle="combo" dx="15" fmlaLink="Factors!$AL$4" fmlaRange="Factors!$J8:$J9" val="0"/>
</file>

<file path=xl/ctrlProps/ctrlProp31.xml><?xml version="1.0" encoding="utf-8"?>
<formControlPr xmlns="http://schemas.microsoft.com/office/spreadsheetml/2009/9/main" objectType="Drop" dropLines="2" dropStyle="combo" dx="15" fmlaLink="Factors!$J$109" fmlaRange="Factors!$J107:$J108" val="0"/>
</file>

<file path=xl/ctrlProps/ctrlProp32.xml><?xml version="1.0" encoding="utf-8"?>
<formControlPr xmlns="http://schemas.microsoft.com/office/spreadsheetml/2009/9/main" objectType="Drop" dropLines="3" dropStyle="combo" dx="15" fmlaLink="Factors!$V$14" fmlaRange="Factors!$V11:$V13" sel="2" val="0"/>
</file>

<file path=xl/ctrlProps/ctrlProp33.xml><?xml version="1.0" encoding="utf-8"?>
<formControlPr xmlns="http://schemas.microsoft.com/office/spreadsheetml/2009/9/main" objectType="Drop" dropLines="2" dropStyle="combo" dx="15" fmlaLink="Factors!$T13" fmlaRange="Factors!$T11:$T12" sel="2" val="0"/>
</file>

<file path=xl/ctrlProps/ctrlProp34.xml><?xml version="1.0" encoding="utf-8"?>
<formControlPr xmlns="http://schemas.microsoft.com/office/spreadsheetml/2009/9/main" objectType="Drop" dropLines="3" dropStyle="combo" dx="15" fmlaLink="Factors!$V$20" fmlaRange="Factors!$V11:$V13" sel="2" val="0"/>
</file>

<file path=xl/ctrlProps/ctrlProp35.xml><?xml version="1.0" encoding="utf-8"?>
<formControlPr xmlns="http://schemas.microsoft.com/office/spreadsheetml/2009/9/main" objectType="Drop" dropLines="3" dropStyle="combo" dx="15" fmlaLink="Factors!J67" fmlaRange="Factors!$J64:$J66" val="0"/>
</file>

<file path=xl/ctrlProps/ctrlProp36.xml><?xml version="1.0" encoding="utf-8"?>
<formControlPr xmlns="http://schemas.microsoft.com/office/spreadsheetml/2009/9/main" objectType="Drop" dropLines="2" dropStyle="combo" dx="15" fmlaLink="Factors!$J$62" fmlaRange="Factors!$J60:$J61" val="0"/>
</file>

<file path=xl/ctrlProps/ctrlProp37.xml><?xml version="1.0" encoding="utf-8"?>
<formControlPr xmlns="http://schemas.microsoft.com/office/spreadsheetml/2009/9/main" objectType="Drop" dropLines="2" dropStyle="combo" dx="15" fmlaLink="Factors!$AL$6" fmlaRange="Factors!$J8:$J9" sel="2" val="0"/>
</file>

<file path=xl/ctrlProps/ctrlProp38.xml><?xml version="1.0" encoding="utf-8"?>
<formControlPr xmlns="http://schemas.microsoft.com/office/spreadsheetml/2009/9/main" objectType="Drop" dropLines="2" dropStyle="combo" dx="15" fmlaLink="Factors!$AE$28" fmlaRange="Factors!$AE$26:$AE$27" sel="2" val="0"/>
</file>

<file path=xl/ctrlProps/ctrlProp39.xml><?xml version="1.0" encoding="utf-8"?>
<formControlPr xmlns="http://schemas.microsoft.com/office/spreadsheetml/2009/9/main" objectType="Drop" dropLines="2" dropStyle="combo" dx="15" fmlaLink="Factors!$J$10" fmlaRange="Factors!$J8:$J9" val="0"/>
</file>

<file path=xl/ctrlProps/ctrlProp4.xml><?xml version="1.0" encoding="utf-8"?>
<formControlPr xmlns="http://schemas.microsoft.com/office/spreadsheetml/2009/9/main" objectType="Drop" dropLines="2" dropStyle="combo" dx="15" fmlaLink="Factors!$J$23" fmlaRange="Factors!$J20:$J21" val="0"/>
</file>

<file path=xl/ctrlProps/ctrlProp40.xml><?xml version="1.0" encoding="utf-8"?>
<formControlPr xmlns="http://schemas.microsoft.com/office/spreadsheetml/2009/9/main" objectType="CheckBox" fmlaLink="Factors!P27" lockText="1"/>
</file>

<file path=xl/ctrlProps/ctrlProp41.xml><?xml version="1.0" encoding="utf-8"?>
<formControlPr xmlns="http://schemas.microsoft.com/office/spreadsheetml/2009/9/main" objectType="Drop" dropLines="3" dropStyle="combo" dx="15" fmlaLink="Factors!$Y$6" fmlaRange="Factors!$Y3:$Y5" val="0"/>
</file>

<file path=xl/ctrlProps/ctrlProp42.xml><?xml version="1.0" encoding="utf-8"?>
<formControlPr xmlns="http://schemas.microsoft.com/office/spreadsheetml/2009/9/main" objectType="Drop" dropLines="3" dropStyle="combo" dx="15" fmlaLink="Factors!$Z$6" fmlaRange="Factors!$Z3:$Z5" sel="2" val="0"/>
</file>

<file path=xl/ctrlProps/ctrlProp43.xml><?xml version="1.0" encoding="utf-8"?>
<formControlPr xmlns="http://schemas.microsoft.com/office/spreadsheetml/2009/9/main" objectType="Drop" dropLines="2" dropStyle="combo" dx="15" fmlaLink="Factors!$Y$40" fmlaRange="Factors!$Y$37:$Y38" val="0"/>
</file>

<file path=xl/ctrlProps/ctrlProp44.xml><?xml version="1.0" encoding="utf-8"?>
<formControlPr xmlns="http://schemas.microsoft.com/office/spreadsheetml/2009/9/main" objectType="Drop" dropLines="2" dropStyle="combo" dx="15" fmlaLink="Factors!$AA$40" fmlaRange="Factors!$AA$37:$AA38" val="0"/>
</file>

<file path=xl/ctrlProps/ctrlProp45.xml><?xml version="1.0" encoding="utf-8"?>
<formControlPr xmlns="http://schemas.microsoft.com/office/spreadsheetml/2009/9/main" objectType="Drop" dropLines="3" dropStyle="combo" dx="15" fmlaLink="Factors!$J$116" fmlaRange="Factors!$J111:$J113" val="0"/>
</file>

<file path=xl/ctrlProps/ctrlProp46.xml><?xml version="1.0" encoding="utf-8"?>
<formControlPr xmlns="http://schemas.microsoft.com/office/spreadsheetml/2009/9/main" objectType="Drop" dropLines="3" dropStyle="combo" dx="15" fmlaLink="Factors!$J$114" fmlaRange="Factors!$J111:$J113" val="0"/>
</file>

<file path=xl/ctrlProps/ctrlProp47.xml><?xml version="1.0" encoding="utf-8"?>
<formControlPr xmlns="http://schemas.microsoft.com/office/spreadsheetml/2009/9/main" objectType="Drop" dropLines="3" dropStyle="combo" dx="15" fmlaLink="Factors!$J$115" fmlaRange="Factors!$J111:$J113" val="0"/>
</file>

<file path=xl/ctrlProps/ctrlProp5.xml><?xml version="1.0" encoding="utf-8"?>
<formControlPr xmlns="http://schemas.microsoft.com/office/spreadsheetml/2009/9/main" objectType="Drop" dropLines="4" dropStyle="combo" dx="15" fmlaLink="Factors!$J$57" fmlaRange="Factors!$J53:$J56" val="0"/>
</file>

<file path=xl/ctrlProps/ctrlProp6.xml><?xml version="1.0" encoding="utf-8"?>
<formControlPr xmlns="http://schemas.microsoft.com/office/spreadsheetml/2009/9/main" objectType="Drop" dropLines="2" dropStyle="combo" dx="15" fmlaLink="Factors!$J$86" fmlaRange="Factors!$J83:$J84" val="0"/>
</file>

<file path=xl/ctrlProps/ctrlProp7.xml><?xml version="1.0" encoding="utf-8"?>
<formControlPr xmlns="http://schemas.microsoft.com/office/spreadsheetml/2009/9/main" objectType="Drop" dropLines="2" dropStyle="combo" dx="15" fmlaLink="Factors!$J$76" fmlaRange="Factors!$J74:$J75" val="0"/>
</file>

<file path=xl/ctrlProps/ctrlProp8.xml><?xml version="1.0" encoding="utf-8"?>
<formControlPr xmlns="http://schemas.microsoft.com/office/spreadsheetml/2009/9/main" objectType="Drop" dropLines="7" dropStyle="combo" dx="15" fmlaLink="Factors!$AE$32" fmlaRange="Factors!$AE4:$AE13" sel="0" val="0"/>
</file>

<file path=xl/ctrlProps/ctrlProp9.xml><?xml version="1.0" encoding="utf-8"?>
<formControlPr xmlns="http://schemas.microsoft.com/office/spreadsheetml/2009/9/main" objectType="Drop" dropLines="2" dropStyle="combo" dx="15" fmlaLink="Factors!$AL$12" fmlaRange="Factors!$J8:$J9"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647700</xdr:colOff>
          <xdr:row>5</xdr:row>
          <xdr:rowOff>142875</xdr:rowOff>
        </xdr:from>
        <xdr:to>
          <xdr:col>3</xdr:col>
          <xdr:colOff>2028825</xdr:colOff>
          <xdr:row>5</xdr:row>
          <xdr:rowOff>352425</xdr:rowOff>
        </xdr:to>
        <xdr:sp macro="" textlink="">
          <xdr:nvSpPr>
            <xdr:cNvPr id="3079" name="Drop Down 7"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647700</xdr:colOff>
          <xdr:row>8</xdr:row>
          <xdr:rowOff>47625</xdr:rowOff>
        </xdr:from>
        <xdr:to>
          <xdr:col>3</xdr:col>
          <xdr:colOff>2028825</xdr:colOff>
          <xdr:row>8</xdr:row>
          <xdr:rowOff>247650</xdr:rowOff>
        </xdr:to>
        <xdr:sp macro="" textlink="">
          <xdr:nvSpPr>
            <xdr:cNvPr id="3080" name="Drop Down 8" hidden="1">
              <a:extLst>
                <a:ext uri="{63B3BB69-23CF-44E3-9099-C40C66FF867C}">
                  <a14:compatExt spid="_x0000_s3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9</xdr:row>
          <xdr:rowOff>47625</xdr:rowOff>
        </xdr:from>
        <xdr:to>
          <xdr:col>3</xdr:col>
          <xdr:colOff>1819275</xdr:colOff>
          <xdr:row>9</xdr:row>
          <xdr:rowOff>247650</xdr:rowOff>
        </xdr:to>
        <xdr:sp macro="" textlink="">
          <xdr:nvSpPr>
            <xdr:cNvPr id="3081" name="Drop Down 9"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xdr:twoCellAnchor>
    <xdr:from>
      <xdr:col>6</xdr:col>
      <xdr:colOff>0</xdr:colOff>
      <xdr:row>14</xdr:row>
      <xdr:rowOff>114300</xdr:rowOff>
    </xdr:from>
    <xdr:to>
      <xdr:col>8</xdr:col>
      <xdr:colOff>609600</xdr:colOff>
      <xdr:row>20</xdr:row>
      <xdr:rowOff>57150</xdr:rowOff>
    </xdr:to>
    <xdr:sp macro="" textlink="">
      <xdr:nvSpPr>
        <xdr:cNvPr id="3093" name="AutoShape 21"/>
        <xdr:cNvSpPr>
          <a:spLocks noChangeArrowheads="1"/>
        </xdr:cNvSpPr>
      </xdr:nvSpPr>
      <xdr:spPr bwMode="auto">
        <a:xfrm>
          <a:off x="8477250" y="3562350"/>
          <a:ext cx="2124075" cy="1238250"/>
        </a:xfrm>
        <a:prstGeom prst="wedgeRectCallout">
          <a:avLst>
            <a:gd name="adj1" fmla="val -33231"/>
            <a:gd name="adj2" fmla="val 73231"/>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1100"/>
            </a:lnSpc>
            <a:defRPr sz="1000"/>
          </a:pPr>
          <a:r>
            <a:rPr lang="en-US" sz="1000" b="0" i="0" u="none" strike="noStrike" baseline="0">
              <a:solidFill>
                <a:srgbClr val="000000"/>
              </a:solidFill>
              <a:latin typeface="Arial"/>
              <a:cs typeface="Arial"/>
            </a:rPr>
            <a:t>Insert Explanation in this colored square/ column, if required by "Flag" in box to the left.  It will appear on the "Assessment Results" worksheet. (It does not matter if it is not all entirely visible on this worksheet)</a:t>
          </a:r>
        </a:p>
        <a:p>
          <a:pPr algn="l" rtl="0">
            <a:lnSpc>
              <a:spcPts val="1300"/>
            </a:lnSpc>
            <a:defRPr sz="1000"/>
          </a:pPr>
          <a:endParaRPr lang="en-US" sz="10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4</xdr:col>
          <xdr:colOff>114300</xdr:colOff>
          <xdr:row>31</xdr:row>
          <xdr:rowOff>104775</xdr:rowOff>
        </xdr:from>
        <xdr:to>
          <xdr:col>4</xdr:col>
          <xdr:colOff>952500</xdr:colOff>
          <xdr:row>31</xdr:row>
          <xdr:rowOff>381000</xdr:rowOff>
        </xdr:to>
        <xdr:sp macro="" textlink="">
          <xdr:nvSpPr>
            <xdr:cNvPr id="3114" name="Drop Down 42" hidden="1">
              <a:extLst>
                <a:ext uri="{63B3BB69-23CF-44E3-9099-C40C66FF867C}">
                  <a14:compatExt spid="_x0000_s31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2562225</xdr:colOff>
          <xdr:row>32</xdr:row>
          <xdr:rowOff>228600</xdr:rowOff>
        </xdr:from>
        <xdr:to>
          <xdr:col>4</xdr:col>
          <xdr:colOff>1076325</xdr:colOff>
          <xdr:row>32</xdr:row>
          <xdr:rowOff>495300</xdr:rowOff>
        </xdr:to>
        <xdr:sp macro="" textlink="">
          <xdr:nvSpPr>
            <xdr:cNvPr id="3126" name="Drop Down 54" hidden="1">
              <a:extLst>
                <a:ext uri="{63B3BB69-23CF-44E3-9099-C40C66FF867C}">
                  <a14:compatExt spid="_x0000_s3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42</xdr:row>
          <xdr:rowOff>66675</xdr:rowOff>
        </xdr:from>
        <xdr:to>
          <xdr:col>4</xdr:col>
          <xdr:colOff>1028700</xdr:colOff>
          <xdr:row>42</xdr:row>
          <xdr:rowOff>314325</xdr:rowOff>
        </xdr:to>
        <xdr:sp macro="" textlink="">
          <xdr:nvSpPr>
            <xdr:cNvPr id="3127" name="Drop Down 55" hidden="1">
              <a:extLst>
                <a:ext uri="{63B3BB69-23CF-44E3-9099-C40C66FF867C}">
                  <a14:compatExt spid="_x0000_s3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36</xdr:row>
          <xdr:rowOff>104775</xdr:rowOff>
        </xdr:from>
        <xdr:to>
          <xdr:col>4</xdr:col>
          <xdr:colOff>990600</xdr:colOff>
          <xdr:row>36</xdr:row>
          <xdr:rowOff>352425</xdr:rowOff>
        </xdr:to>
        <xdr:sp macro="" textlink="">
          <xdr:nvSpPr>
            <xdr:cNvPr id="3128" name="Drop Down 56" hidden="1">
              <a:extLst>
                <a:ext uri="{63B3BB69-23CF-44E3-9099-C40C66FF867C}">
                  <a14:compatExt spid="_x0000_s3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2667000</xdr:colOff>
          <xdr:row>36</xdr:row>
          <xdr:rowOff>0</xdr:rowOff>
        </xdr:from>
        <xdr:to>
          <xdr:col>20</xdr:col>
          <xdr:colOff>28575</xdr:colOff>
          <xdr:row>36</xdr:row>
          <xdr:rowOff>0</xdr:rowOff>
        </xdr:to>
        <xdr:sp macro="" textlink="">
          <xdr:nvSpPr>
            <xdr:cNvPr id="3129" name="Drop Down 57" hidden="1">
              <a:extLst>
                <a:ext uri="{63B3BB69-23CF-44E3-9099-C40C66FF867C}">
                  <a14:compatExt spid="_x0000_s3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41</xdr:row>
          <xdr:rowOff>38100</xdr:rowOff>
        </xdr:from>
        <xdr:to>
          <xdr:col>4</xdr:col>
          <xdr:colOff>1019175</xdr:colOff>
          <xdr:row>41</xdr:row>
          <xdr:rowOff>295275</xdr:rowOff>
        </xdr:to>
        <xdr:sp macro="" textlink="">
          <xdr:nvSpPr>
            <xdr:cNvPr id="3131" name="Drop Down 59" hidden="1">
              <a:extLst>
                <a:ext uri="{63B3BB69-23CF-44E3-9099-C40C66FF867C}">
                  <a14:compatExt spid="_x0000_s3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33</xdr:row>
          <xdr:rowOff>66675</xdr:rowOff>
        </xdr:from>
        <xdr:to>
          <xdr:col>4</xdr:col>
          <xdr:colOff>981075</xdr:colOff>
          <xdr:row>33</xdr:row>
          <xdr:rowOff>285750</xdr:rowOff>
        </xdr:to>
        <xdr:sp macro="" textlink="">
          <xdr:nvSpPr>
            <xdr:cNvPr id="3132" name="Drop Down 60" hidden="1">
              <a:extLst>
                <a:ext uri="{63B3BB69-23CF-44E3-9099-C40C66FF867C}">
                  <a14:compatExt spid="_x0000_s3132"/>
                </a:ext>
              </a:extLst>
            </xdr:cNvPr>
            <xdr:cNvSpPr/>
          </xdr:nvSpPr>
          <xdr:spPr>
            <a:xfrm>
              <a:off x="0" y="0"/>
              <a:ext cx="0" cy="0"/>
            </a:xfrm>
            <a:prstGeom prst="rect">
              <a:avLst/>
            </a:prstGeom>
          </xdr:spPr>
        </xdr:sp>
        <xdr:clientData/>
      </xdr:twoCellAnchor>
    </mc:Choice>
    <mc:Fallback/>
  </mc:AlternateContent>
  <xdr:twoCellAnchor>
    <xdr:from>
      <xdr:col>5</xdr:col>
      <xdr:colOff>295275</xdr:colOff>
      <xdr:row>3</xdr:row>
      <xdr:rowOff>0</xdr:rowOff>
    </xdr:from>
    <xdr:to>
      <xdr:col>8</xdr:col>
      <xdr:colOff>952500</xdr:colOff>
      <xdr:row>13</xdr:row>
      <xdr:rowOff>476250</xdr:rowOff>
    </xdr:to>
    <xdr:pic>
      <xdr:nvPicPr>
        <xdr:cNvPr id="3133" name="Picture 61" descr="peakofsea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72300" y="533400"/>
          <a:ext cx="3971925"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xdr:col>
          <xdr:colOff>161925</xdr:colOff>
          <xdr:row>44</xdr:row>
          <xdr:rowOff>200025</xdr:rowOff>
        </xdr:from>
        <xdr:to>
          <xdr:col>4</xdr:col>
          <xdr:colOff>1019175</xdr:colOff>
          <xdr:row>44</xdr:row>
          <xdr:rowOff>447675</xdr:rowOff>
        </xdr:to>
        <xdr:sp macro="" textlink="">
          <xdr:nvSpPr>
            <xdr:cNvPr id="3140" name="Drop Down 68" hidden="1">
              <a:extLst>
                <a:ext uri="{63B3BB69-23CF-44E3-9099-C40C66FF867C}">
                  <a14:compatExt spid="_x0000_s31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43</xdr:row>
          <xdr:rowOff>57150</xdr:rowOff>
        </xdr:from>
        <xdr:to>
          <xdr:col>4</xdr:col>
          <xdr:colOff>1019175</xdr:colOff>
          <xdr:row>43</xdr:row>
          <xdr:rowOff>304800</xdr:rowOff>
        </xdr:to>
        <xdr:sp macro="" textlink="">
          <xdr:nvSpPr>
            <xdr:cNvPr id="3142" name="Drop Down 70" hidden="1">
              <a:extLst>
                <a:ext uri="{63B3BB69-23CF-44E3-9099-C40C66FF867C}">
                  <a14:compatExt spid="_x0000_s314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47</xdr:row>
          <xdr:rowOff>190500</xdr:rowOff>
        </xdr:from>
        <xdr:to>
          <xdr:col>4</xdr:col>
          <xdr:colOff>981075</xdr:colOff>
          <xdr:row>47</xdr:row>
          <xdr:rowOff>438150</xdr:rowOff>
        </xdr:to>
        <xdr:sp macro="" textlink="">
          <xdr:nvSpPr>
            <xdr:cNvPr id="3143" name="Drop Down 71" hidden="1">
              <a:extLst>
                <a:ext uri="{63B3BB69-23CF-44E3-9099-C40C66FF867C}">
                  <a14:compatExt spid="_x0000_s3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48</xdr:row>
          <xdr:rowOff>142875</xdr:rowOff>
        </xdr:from>
        <xdr:to>
          <xdr:col>4</xdr:col>
          <xdr:colOff>990600</xdr:colOff>
          <xdr:row>48</xdr:row>
          <xdr:rowOff>390525</xdr:rowOff>
        </xdr:to>
        <xdr:sp macro="" textlink="">
          <xdr:nvSpPr>
            <xdr:cNvPr id="3144" name="Drop Down 72" hidden="1">
              <a:extLst>
                <a:ext uri="{63B3BB69-23CF-44E3-9099-C40C66FF867C}">
                  <a14:compatExt spid="_x0000_s3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2667000</xdr:colOff>
          <xdr:row>37</xdr:row>
          <xdr:rowOff>142875</xdr:rowOff>
        </xdr:from>
        <xdr:to>
          <xdr:col>4</xdr:col>
          <xdr:colOff>1095375</xdr:colOff>
          <xdr:row>37</xdr:row>
          <xdr:rowOff>390525</xdr:rowOff>
        </xdr:to>
        <xdr:sp macro="" textlink="">
          <xdr:nvSpPr>
            <xdr:cNvPr id="3145" name="Drop Down 73" hidden="1">
              <a:extLst>
                <a:ext uri="{63B3BB69-23CF-44E3-9099-C40C66FF867C}">
                  <a14:compatExt spid="_x0000_s314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58</xdr:row>
          <xdr:rowOff>0</xdr:rowOff>
        </xdr:from>
        <xdr:to>
          <xdr:col>3</xdr:col>
          <xdr:colOff>0</xdr:colOff>
          <xdr:row>58</xdr:row>
          <xdr:rowOff>0</xdr:rowOff>
        </xdr:to>
        <xdr:sp macro="" textlink="">
          <xdr:nvSpPr>
            <xdr:cNvPr id="11267" name="Drop Down 3" hidden="1">
              <a:extLst>
                <a:ext uri="{63B3BB69-23CF-44E3-9099-C40C66FF867C}">
                  <a14:compatExt spid="_x0000_s1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1428750</xdr:colOff>
          <xdr:row>36</xdr:row>
          <xdr:rowOff>314325</xdr:rowOff>
        </xdr:from>
        <xdr:to>
          <xdr:col>5</xdr:col>
          <xdr:colOff>0</xdr:colOff>
          <xdr:row>36</xdr:row>
          <xdr:rowOff>619125</xdr:rowOff>
        </xdr:to>
        <xdr:sp macro="" textlink="">
          <xdr:nvSpPr>
            <xdr:cNvPr id="11268" name="Drop Down 4" hidden="1">
              <a:extLst>
                <a:ext uri="{63B3BB69-23CF-44E3-9099-C40C66FF867C}">
                  <a14:compatExt spid="_x0000_s1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40</xdr:row>
          <xdr:rowOff>114300</xdr:rowOff>
        </xdr:from>
        <xdr:to>
          <xdr:col>4</xdr:col>
          <xdr:colOff>981075</xdr:colOff>
          <xdr:row>40</xdr:row>
          <xdr:rowOff>361950</xdr:rowOff>
        </xdr:to>
        <xdr:sp macro="" textlink="">
          <xdr:nvSpPr>
            <xdr:cNvPr id="11269" name="Drop Down 5" hidden="1">
              <a:extLst>
                <a:ext uri="{63B3BB69-23CF-44E3-9099-C40C66FF867C}">
                  <a14:compatExt spid="_x0000_s112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42</xdr:row>
          <xdr:rowOff>219075</xdr:rowOff>
        </xdr:from>
        <xdr:to>
          <xdr:col>4</xdr:col>
          <xdr:colOff>981075</xdr:colOff>
          <xdr:row>42</xdr:row>
          <xdr:rowOff>466725</xdr:rowOff>
        </xdr:to>
        <xdr:sp macro="" textlink="">
          <xdr:nvSpPr>
            <xdr:cNvPr id="11270" name="Drop Down 6" hidden="1">
              <a:extLst>
                <a:ext uri="{63B3BB69-23CF-44E3-9099-C40C66FF867C}">
                  <a14:compatExt spid="_x0000_s112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43</xdr:row>
          <xdr:rowOff>9525</xdr:rowOff>
        </xdr:from>
        <xdr:to>
          <xdr:col>4</xdr:col>
          <xdr:colOff>981075</xdr:colOff>
          <xdr:row>43</xdr:row>
          <xdr:rowOff>257175</xdr:rowOff>
        </xdr:to>
        <xdr:sp macro="" textlink="">
          <xdr:nvSpPr>
            <xdr:cNvPr id="11271" name="Drop Down 7" hidden="1">
              <a:extLst>
                <a:ext uri="{63B3BB69-23CF-44E3-9099-C40C66FF867C}">
                  <a14:compatExt spid="_x0000_s112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47</xdr:row>
          <xdr:rowOff>28575</xdr:rowOff>
        </xdr:from>
        <xdr:to>
          <xdr:col>4</xdr:col>
          <xdr:colOff>1038225</xdr:colOff>
          <xdr:row>47</xdr:row>
          <xdr:rowOff>276225</xdr:rowOff>
        </xdr:to>
        <xdr:sp macro="" textlink="">
          <xdr:nvSpPr>
            <xdr:cNvPr id="11272" name="Drop Down 8" hidden="1">
              <a:extLst>
                <a:ext uri="{63B3BB69-23CF-44E3-9099-C40C66FF867C}">
                  <a14:compatExt spid="_x0000_s112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48</xdr:row>
          <xdr:rowOff>180975</xdr:rowOff>
        </xdr:from>
        <xdr:to>
          <xdr:col>4</xdr:col>
          <xdr:colOff>1038225</xdr:colOff>
          <xdr:row>48</xdr:row>
          <xdr:rowOff>428625</xdr:rowOff>
        </xdr:to>
        <xdr:sp macro="" textlink="">
          <xdr:nvSpPr>
            <xdr:cNvPr id="11273" name="Drop Down 9" hidden="1">
              <a:extLst>
                <a:ext uri="{63B3BB69-23CF-44E3-9099-C40C66FF867C}">
                  <a14:compatExt spid="_x0000_s112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53</xdr:row>
          <xdr:rowOff>28575</xdr:rowOff>
        </xdr:from>
        <xdr:to>
          <xdr:col>5</xdr:col>
          <xdr:colOff>28575</xdr:colOff>
          <xdr:row>53</xdr:row>
          <xdr:rowOff>266700</xdr:rowOff>
        </xdr:to>
        <xdr:sp macro="" textlink="">
          <xdr:nvSpPr>
            <xdr:cNvPr id="11274" name="Drop Down 10" hidden="1">
              <a:extLst>
                <a:ext uri="{63B3BB69-23CF-44E3-9099-C40C66FF867C}">
                  <a14:compatExt spid="_x0000_s1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57</xdr:row>
          <xdr:rowOff>66675</xdr:rowOff>
        </xdr:from>
        <xdr:to>
          <xdr:col>4</xdr:col>
          <xdr:colOff>1047750</xdr:colOff>
          <xdr:row>57</xdr:row>
          <xdr:rowOff>314325</xdr:rowOff>
        </xdr:to>
        <xdr:sp macro="" textlink="">
          <xdr:nvSpPr>
            <xdr:cNvPr id="11275" name="Drop Down 11" hidden="1">
              <a:extLst>
                <a:ext uri="{63B3BB69-23CF-44E3-9099-C40C66FF867C}">
                  <a14:compatExt spid="_x0000_s112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47625</xdr:rowOff>
        </xdr:from>
        <xdr:to>
          <xdr:col>4</xdr:col>
          <xdr:colOff>800100</xdr:colOff>
          <xdr:row>4</xdr:row>
          <xdr:rowOff>257175</xdr:rowOff>
        </xdr:to>
        <xdr:sp macro="" textlink="">
          <xdr:nvSpPr>
            <xdr:cNvPr id="11276" name="Drop Down 12" hidden="1">
              <a:extLst>
                <a:ext uri="{63B3BB69-23CF-44E3-9099-C40C66FF867C}">
                  <a14:compatExt spid="_x0000_s1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809625</xdr:colOff>
          <xdr:row>4</xdr:row>
          <xdr:rowOff>66675</xdr:rowOff>
        </xdr:from>
        <xdr:to>
          <xdr:col>5</xdr:col>
          <xdr:colOff>209550</xdr:colOff>
          <xdr:row>4</xdr:row>
          <xdr:rowOff>276225</xdr:rowOff>
        </xdr:to>
        <xdr:sp macro="" textlink="">
          <xdr:nvSpPr>
            <xdr:cNvPr id="11277" name="Drop Down 13" hidden="1">
              <a:extLst>
                <a:ext uri="{63B3BB69-23CF-44E3-9099-C40C66FF867C}">
                  <a14:compatExt spid="_x0000_s11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304800</xdr:rowOff>
        </xdr:from>
        <xdr:to>
          <xdr:col>4</xdr:col>
          <xdr:colOff>809625</xdr:colOff>
          <xdr:row>5</xdr:row>
          <xdr:rowOff>161925</xdr:rowOff>
        </xdr:to>
        <xdr:sp macro="" textlink="">
          <xdr:nvSpPr>
            <xdr:cNvPr id="11278" name="Drop Down 14" hidden="1">
              <a:extLst>
                <a:ext uri="{63B3BB69-23CF-44E3-9099-C40C66FF867C}">
                  <a14:compatExt spid="_x0000_s1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4</xdr:row>
          <xdr:rowOff>304800</xdr:rowOff>
        </xdr:from>
        <xdr:to>
          <xdr:col>5</xdr:col>
          <xdr:colOff>219075</xdr:colOff>
          <xdr:row>5</xdr:row>
          <xdr:rowOff>161925</xdr:rowOff>
        </xdr:to>
        <xdr:sp macro="" textlink="">
          <xdr:nvSpPr>
            <xdr:cNvPr id="11279" name="Drop Down 15" hidden="1">
              <a:extLst>
                <a:ext uri="{63B3BB69-23CF-44E3-9099-C40C66FF867C}">
                  <a14:compatExt spid="_x0000_s11279"/>
                </a:ext>
              </a:extLst>
            </xdr:cNvPr>
            <xdr:cNvSpPr/>
          </xdr:nvSpPr>
          <xdr:spPr>
            <a:xfrm>
              <a:off x="0" y="0"/>
              <a:ext cx="0" cy="0"/>
            </a:xfrm>
            <a:prstGeom prst="rect">
              <a:avLst/>
            </a:prstGeom>
          </xdr:spPr>
        </xdr:sp>
        <xdr:clientData/>
      </xdr:twoCellAnchor>
    </mc:Choice>
    <mc:Fallback/>
  </mc:AlternateContent>
  <xdr:twoCellAnchor>
    <xdr:from>
      <xdr:col>5</xdr:col>
      <xdr:colOff>419100</xdr:colOff>
      <xdr:row>15</xdr:row>
      <xdr:rowOff>47625</xdr:rowOff>
    </xdr:from>
    <xdr:to>
      <xdr:col>8</xdr:col>
      <xdr:colOff>1057275</xdr:colOff>
      <xdr:row>19</xdr:row>
      <xdr:rowOff>266700</xdr:rowOff>
    </xdr:to>
    <xdr:sp macro="" textlink="">
      <xdr:nvSpPr>
        <xdr:cNvPr id="11282" name="AutoShape 18"/>
        <xdr:cNvSpPr>
          <a:spLocks noChangeArrowheads="1"/>
        </xdr:cNvSpPr>
      </xdr:nvSpPr>
      <xdr:spPr bwMode="auto">
        <a:xfrm>
          <a:off x="7134225" y="4248150"/>
          <a:ext cx="3733800" cy="1181100"/>
        </a:xfrm>
        <a:prstGeom prst="wedgeRectCallout">
          <a:avLst>
            <a:gd name="adj1" fmla="val -57653"/>
            <a:gd name="adj2" fmla="val 27421"/>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sz="1000" b="0" i="0" u="none" strike="noStrike" baseline="0">
              <a:solidFill>
                <a:srgbClr val="000000"/>
              </a:solidFill>
              <a:latin typeface="Arial"/>
              <a:cs typeface="Arial"/>
            </a:rPr>
            <a:t>Note: High or Medium Consequence sites trigger a check on Punchthrough going onto location: calculations to be used rather than estimates of Survivability: and a check against scour or sliding on location for mat units.  If mitigations exist that downrates the consequence, then type "downrated" instead of the number to indicate there "was" a consequence that is downrated and the number will reduce to the default addition of other consequences</a:t>
          </a:r>
        </a:p>
      </xdr:txBody>
    </xdr:sp>
    <xdr:clientData/>
  </xdr:twoCellAnchor>
  <xdr:twoCellAnchor>
    <xdr:from>
      <xdr:col>5</xdr:col>
      <xdr:colOff>390525</xdr:colOff>
      <xdr:row>25</xdr:row>
      <xdr:rowOff>66675</xdr:rowOff>
    </xdr:from>
    <xdr:to>
      <xdr:col>8</xdr:col>
      <xdr:colOff>1028700</xdr:colOff>
      <xdr:row>27</xdr:row>
      <xdr:rowOff>142875</xdr:rowOff>
    </xdr:to>
    <xdr:sp macro="" textlink="">
      <xdr:nvSpPr>
        <xdr:cNvPr id="11284" name="AutoShape 20"/>
        <xdr:cNvSpPr>
          <a:spLocks noChangeArrowheads="1"/>
        </xdr:cNvSpPr>
      </xdr:nvSpPr>
      <xdr:spPr bwMode="auto">
        <a:xfrm>
          <a:off x="7105650" y="7172325"/>
          <a:ext cx="3733800" cy="438150"/>
        </a:xfrm>
        <a:prstGeom prst="wedgeRectCallout">
          <a:avLst>
            <a:gd name="adj1" fmla="val -57653"/>
            <a:gd name="adj2" fmla="val 8694"/>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Note: As above, type in "downrated"  if mitigating factors presented in  the Explanation provide for downgrading of risk from criteria set.</a:t>
          </a:r>
        </a:p>
      </xdr:txBody>
    </xdr:sp>
    <xdr:clientData/>
  </xdr:twoCellAnchor>
  <mc:AlternateContent xmlns:mc="http://schemas.openxmlformats.org/markup-compatibility/2006">
    <mc:Choice xmlns:a14="http://schemas.microsoft.com/office/drawing/2010/main" Requires="a14">
      <xdr:twoCellAnchor>
        <xdr:from>
          <xdr:col>4</xdr:col>
          <xdr:colOff>114300</xdr:colOff>
          <xdr:row>53</xdr:row>
          <xdr:rowOff>333375</xdr:rowOff>
        </xdr:from>
        <xdr:to>
          <xdr:col>4</xdr:col>
          <xdr:colOff>1143000</xdr:colOff>
          <xdr:row>53</xdr:row>
          <xdr:rowOff>571500</xdr:rowOff>
        </xdr:to>
        <xdr:sp macro="" textlink="">
          <xdr:nvSpPr>
            <xdr:cNvPr id="11285" name="Drop Down 21" hidden="1">
              <a:extLst>
                <a:ext uri="{63B3BB69-23CF-44E3-9099-C40C66FF867C}">
                  <a14:compatExt spid="_x0000_s1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41</xdr:row>
          <xdr:rowOff>123825</xdr:rowOff>
        </xdr:from>
        <xdr:to>
          <xdr:col>4</xdr:col>
          <xdr:colOff>990600</xdr:colOff>
          <xdr:row>41</xdr:row>
          <xdr:rowOff>371475</xdr:rowOff>
        </xdr:to>
        <xdr:sp macro="" textlink="">
          <xdr:nvSpPr>
            <xdr:cNvPr id="11286" name="Drop Down 22" hidden="1">
              <a:extLst>
                <a:ext uri="{63B3BB69-23CF-44E3-9099-C40C66FF867C}">
                  <a14:compatExt spid="_x0000_s112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43</xdr:row>
          <xdr:rowOff>295275</xdr:rowOff>
        </xdr:from>
        <xdr:to>
          <xdr:col>4</xdr:col>
          <xdr:colOff>981075</xdr:colOff>
          <xdr:row>43</xdr:row>
          <xdr:rowOff>542925</xdr:rowOff>
        </xdr:to>
        <xdr:sp macro="" textlink="">
          <xdr:nvSpPr>
            <xdr:cNvPr id="11287" name="Drop Down 23" hidden="1">
              <a:extLst>
                <a:ext uri="{63B3BB69-23CF-44E3-9099-C40C66FF867C}">
                  <a14:compatExt spid="_x0000_s11287"/>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295275</xdr:colOff>
          <xdr:row>36</xdr:row>
          <xdr:rowOff>457200</xdr:rowOff>
        </xdr:from>
        <xdr:to>
          <xdr:col>2</xdr:col>
          <xdr:colOff>1143000</xdr:colOff>
          <xdr:row>36</xdr:row>
          <xdr:rowOff>723900</xdr:rowOff>
        </xdr:to>
        <xdr:sp macro="" textlink="">
          <xdr:nvSpPr>
            <xdr:cNvPr id="4100" name="Drop Down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36</xdr:row>
          <xdr:rowOff>142875</xdr:rowOff>
        </xdr:from>
        <xdr:to>
          <xdr:col>2</xdr:col>
          <xdr:colOff>1143000</xdr:colOff>
          <xdr:row>36</xdr:row>
          <xdr:rowOff>400050</xdr:rowOff>
        </xdr:to>
        <xdr:sp macro="" textlink="">
          <xdr:nvSpPr>
            <xdr:cNvPr id="4101" name="Drop Down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44</xdr:row>
          <xdr:rowOff>219075</xdr:rowOff>
        </xdr:from>
        <xdr:to>
          <xdr:col>5</xdr:col>
          <xdr:colOff>1181100</xdr:colOff>
          <xdr:row>45</xdr:row>
          <xdr:rowOff>257175</xdr:rowOff>
        </xdr:to>
        <xdr:sp macro="" textlink="">
          <xdr:nvSpPr>
            <xdr:cNvPr id="4106" name="Drop Down 10" hidden="1">
              <a:extLst>
                <a:ext uri="{63B3BB69-23CF-44E3-9099-C40C66FF867C}">
                  <a14:compatExt spid="_x0000_s4106"/>
                </a:ext>
              </a:extLst>
            </xdr:cNvPr>
            <xdr:cNvSpPr/>
          </xdr:nvSpPr>
          <xdr:spPr>
            <a:xfrm>
              <a:off x="0" y="0"/>
              <a:ext cx="0" cy="0"/>
            </a:xfrm>
            <a:prstGeom prst="rect">
              <a:avLst/>
            </a:prstGeom>
          </xdr:spPr>
        </xdr:sp>
        <xdr:clientData fLocksWithSheet="0"/>
      </xdr:twoCellAnchor>
    </mc:Choice>
    <mc:Fallback/>
  </mc:AlternateContent>
  <xdr:twoCellAnchor>
    <xdr:from>
      <xdr:col>3</xdr:col>
      <xdr:colOff>114300</xdr:colOff>
      <xdr:row>3</xdr:row>
      <xdr:rowOff>0</xdr:rowOff>
    </xdr:from>
    <xdr:to>
      <xdr:col>6</xdr:col>
      <xdr:colOff>542925</xdr:colOff>
      <xdr:row>6</xdr:row>
      <xdr:rowOff>9525</xdr:rowOff>
    </xdr:to>
    <xdr:sp macro="" textlink="">
      <xdr:nvSpPr>
        <xdr:cNvPr id="4114" name="AutoShape 18"/>
        <xdr:cNvSpPr>
          <a:spLocks noChangeArrowheads="1"/>
        </xdr:cNvSpPr>
      </xdr:nvSpPr>
      <xdr:spPr bwMode="auto">
        <a:xfrm>
          <a:off x="4619625" y="533400"/>
          <a:ext cx="4486275" cy="828675"/>
        </a:xfrm>
        <a:prstGeom prst="wedgeRectCallout">
          <a:avLst>
            <a:gd name="adj1" fmla="val -19491"/>
            <a:gd name="adj2" fmla="val 5153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worksheet's job is to develop the appropriate airgap, API 95J, or API Int-Met and to interrogate the various standards for wave height, wind speed, and current parameters from API 95J, API Int-Met and GOM Annex. If Site Specific numbers are available it requires you fill in those numbers here. Int-Met data is provided for comparison purposes only. </a:t>
          </a:r>
        </a:p>
      </xdr:txBody>
    </xdr:sp>
    <xdr:clientData/>
  </xdr:twoCellAnchor>
  <xdr:twoCellAnchor>
    <xdr:from>
      <xdr:col>3</xdr:col>
      <xdr:colOff>85725</xdr:colOff>
      <xdr:row>18</xdr:row>
      <xdr:rowOff>85725</xdr:rowOff>
    </xdr:from>
    <xdr:to>
      <xdr:col>3</xdr:col>
      <xdr:colOff>485775</xdr:colOff>
      <xdr:row>18</xdr:row>
      <xdr:rowOff>85725</xdr:rowOff>
    </xdr:to>
    <xdr:sp macro="" textlink="">
      <xdr:nvSpPr>
        <xdr:cNvPr id="4115" name="Line 19"/>
        <xdr:cNvSpPr>
          <a:spLocks noChangeShapeType="1"/>
        </xdr:cNvSpPr>
      </xdr:nvSpPr>
      <xdr:spPr bwMode="auto">
        <a:xfrm>
          <a:off x="4591050" y="50768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85725</xdr:colOff>
      <xdr:row>28</xdr:row>
      <xdr:rowOff>123825</xdr:rowOff>
    </xdr:from>
    <xdr:to>
      <xdr:col>3</xdr:col>
      <xdr:colOff>485775</xdr:colOff>
      <xdr:row>28</xdr:row>
      <xdr:rowOff>123825</xdr:rowOff>
    </xdr:to>
    <xdr:sp macro="" textlink="">
      <xdr:nvSpPr>
        <xdr:cNvPr id="4117" name="Line 21"/>
        <xdr:cNvSpPr>
          <a:spLocks noChangeShapeType="1"/>
        </xdr:cNvSpPr>
      </xdr:nvSpPr>
      <xdr:spPr bwMode="auto">
        <a:xfrm>
          <a:off x="4591050" y="69818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95250</xdr:colOff>
      <xdr:row>34</xdr:row>
      <xdr:rowOff>66675</xdr:rowOff>
    </xdr:from>
    <xdr:to>
      <xdr:col>3</xdr:col>
      <xdr:colOff>495300</xdr:colOff>
      <xdr:row>34</xdr:row>
      <xdr:rowOff>66675</xdr:rowOff>
    </xdr:to>
    <xdr:sp macro="" textlink="">
      <xdr:nvSpPr>
        <xdr:cNvPr id="4119" name="Line 23"/>
        <xdr:cNvSpPr>
          <a:spLocks noChangeShapeType="1"/>
        </xdr:cNvSpPr>
      </xdr:nvSpPr>
      <xdr:spPr bwMode="auto">
        <a:xfrm>
          <a:off x="4600575" y="8343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1057275</xdr:colOff>
      <xdr:row>6</xdr:row>
      <xdr:rowOff>152400</xdr:rowOff>
    </xdr:from>
    <xdr:to>
      <xdr:col>5</xdr:col>
      <xdr:colOff>838200</xdr:colOff>
      <xdr:row>13</xdr:row>
      <xdr:rowOff>28575</xdr:rowOff>
    </xdr:to>
    <xdr:sp macro="" textlink="">
      <xdr:nvSpPr>
        <xdr:cNvPr id="4121" name="AutoShape 25"/>
        <xdr:cNvSpPr>
          <a:spLocks noChangeArrowheads="1"/>
        </xdr:cNvSpPr>
      </xdr:nvSpPr>
      <xdr:spPr bwMode="auto">
        <a:xfrm>
          <a:off x="6172200" y="1504950"/>
          <a:ext cx="1857375" cy="2019300"/>
        </a:xfrm>
        <a:prstGeom prst="wedgeRectCallout">
          <a:avLst>
            <a:gd name="adj1" fmla="val 47958"/>
            <a:gd name="adj2" fmla="val 79569"/>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Arial"/>
              <a:cs typeface="Arial"/>
            </a:rPr>
            <a:t>P</a:t>
          </a:r>
          <a:r>
            <a:rPr lang="en-US" sz="1000" b="1" i="0" u="none" strike="noStrike" baseline="0">
              <a:solidFill>
                <a:srgbClr val="000000"/>
              </a:solidFill>
              <a:latin typeface="Arial"/>
              <a:cs typeface="Arial"/>
            </a:rPr>
            <a:t>lease NOTE WARNING: </a:t>
          </a:r>
        </a:p>
        <a:p>
          <a:pPr algn="l" rtl="0">
            <a:defRPr sz="1000"/>
          </a:pPr>
          <a:r>
            <a:rPr lang="en-US" sz="1000" b="1" i="0" u="none" strike="noStrike" baseline="0">
              <a:solidFill>
                <a:srgbClr val="000000"/>
              </a:solidFill>
              <a:latin typeface="Arial"/>
              <a:cs typeface="Arial"/>
            </a:rPr>
            <a:t>The numbers generated for the GoM Annex and API Int-Met need to be verified for correctness and accuracy. They are produced by curve fitting to the charts within these documents which should be referenced for correctness and change as appropriate.</a:t>
          </a:r>
        </a:p>
        <a:p>
          <a:pPr algn="l" rtl="0">
            <a:defRPr sz="1000"/>
          </a:pPr>
          <a:endParaRPr lang="en-US" sz="1000" b="1" i="0" u="none" strike="noStrike" baseline="0">
            <a:solidFill>
              <a:srgbClr val="000000"/>
            </a:solidFill>
            <a:latin typeface="Arial"/>
            <a:cs typeface="Arial"/>
          </a:endParaRPr>
        </a:p>
      </xdr:txBody>
    </xdr:sp>
    <xdr:clientData/>
  </xdr:twoCellAnchor>
  <xdr:twoCellAnchor>
    <xdr:from>
      <xdr:col>3</xdr:col>
      <xdr:colOff>38100</xdr:colOff>
      <xdr:row>38</xdr:row>
      <xdr:rowOff>76200</xdr:rowOff>
    </xdr:from>
    <xdr:to>
      <xdr:col>3</xdr:col>
      <xdr:colOff>571500</xdr:colOff>
      <xdr:row>38</xdr:row>
      <xdr:rowOff>76200</xdr:rowOff>
    </xdr:to>
    <xdr:sp macro="" textlink="">
      <xdr:nvSpPr>
        <xdr:cNvPr id="4122" name="Line 26"/>
        <xdr:cNvSpPr>
          <a:spLocks noChangeShapeType="1"/>
        </xdr:cNvSpPr>
      </xdr:nvSpPr>
      <xdr:spPr bwMode="auto">
        <a:xfrm>
          <a:off x="4543425" y="9744075"/>
          <a:ext cx="533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1228725</xdr:colOff>
          <xdr:row>26</xdr:row>
          <xdr:rowOff>38100</xdr:rowOff>
        </xdr:from>
        <xdr:to>
          <xdr:col>1</xdr:col>
          <xdr:colOff>1762125</xdr:colOff>
          <xdr:row>26</xdr:row>
          <xdr:rowOff>238125</xdr:rowOff>
        </xdr:to>
        <xdr:sp macro="" textlink="">
          <xdr:nvSpPr>
            <xdr:cNvPr id="4129" name="Drop Down 33" hidden="1">
              <a:extLst>
                <a:ext uri="{63B3BB69-23CF-44E3-9099-C40C66FF867C}">
                  <a14:compatExt spid="_x0000_s4129"/>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352425</xdr:colOff>
          <xdr:row>36</xdr:row>
          <xdr:rowOff>57150</xdr:rowOff>
        </xdr:from>
        <xdr:to>
          <xdr:col>1</xdr:col>
          <xdr:colOff>1238250</xdr:colOff>
          <xdr:row>36</xdr:row>
          <xdr:rowOff>266700</xdr:rowOff>
        </xdr:to>
        <xdr:sp macro="" textlink="">
          <xdr:nvSpPr>
            <xdr:cNvPr id="8223" name="Drop Down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542925</xdr:colOff>
          <xdr:row>22</xdr:row>
          <xdr:rowOff>47625</xdr:rowOff>
        </xdr:from>
        <xdr:to>
          <xdr:col>1</xdr:col>
          <xdr:colOff>1428750</xdr:colOff>
          <xdr:row>22</xdr:row>
          <xdr:rowOff>247650</xdr:rowOff>
        </xdr:to>
        <xdr:sp macro="" textlink="">
          <xdr:nvSpPr>
            <xdr:cNvPr id="8233" name="Drop Down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21</xdr:row>
          <xdr:rowOff>85725</xdr:rowOff>
        </xdr:from>
        <xdr:to>
          <xdr:col>1</xdr:col>
          <xdr:colOff>1514475</xdr:colOff>
          <xdr:row>21</xdr:row>
          <xdr:rowOff>295275</xdr:rowOff>
        </xdr:to>
        <xdr:sp macro="" textlink="">
          <xdr:nvSpPr>
            <xdr:cNvPr id="8234" name="Drop Down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xdr:twoCellAnchor>
    <xdr:from>
      <xdr:col>1</xdr:col>
      <xdr:colOff>1562100</xdr:colOff>
      <xdr:row>29</xdr:row>
      <xdr:rowOff>161925</xdr:rowOff>
    </xdr:from>
    <xdr:to>
      <xdr:col>2</xdr:col>
      <xdr:colOff>923925</xdr:colOff>
      <xdr:row>29</xdr:row>
      <xdr:rowOff>161925</xdr:rowOff>
    </xdr:to>
    <xdr:sp macro="" textlink="">
      <xdr:nvSpPr>
        <xdr:cNvPr id="8241" name="Line 49"/>
        <xdr:cNvSpPr>
          <a:spLocks noChangeShapeType="1"/>
        </xdr:cNvSpPr>
      </xdr:nvSpPr>
      <xdr:spPr bwMode="auto">
        <a:xfrm>
          <a:off x="4562475" y="10696575"/>
          <a:ext cx="1019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295275</xdr:colOff>
      <xdr:row>17</xdr:row>
      <xdr:rowOff>285750</xdr:rowOff>
    </xdr:from>
    <xdr:to>
      <xdr:col>1</xdr:col>
      <xdr:colOff>1314450</xdr:colOff>
      <xdr:row>17</xdr:row>
      <xdr:rowOff>285750</xdr:rowOff>
    </xdr:to>
    <xdr:sp macro="" textlink="">
      <xdr:nvSpPr>
        <xdr:cNvPr id="8254" name="Line 62"/>
        <xdr:cNvSpPr>
          <a:spLocks noChangeShapeType="1"/>
        </xdr:cNvSpPr>
      </xdr:nvSpPr>
      <xdr:spPr bwMode="auto">
        <a:xfrm>
          <a:off x="3295650" y="5991225"/>
          <a:ext cx="1019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295275</xdr:colOff>
      <xdr:row>8</xdr:row>
      <xdr:rowOff>66675</xdr:rowOff>
    </xdr:from>
    <xdr:to>
      <xdr:col>1</xdr:col>
      <xdr:colOff>1314450</xdr:colOff>
      <xdr:row>8</xdr:row>
      <xdr:rowOff>66675</xdr:rowOff>
    </xdr:to>
    <xdr:sp macro="" textlink="">
      <xdr:nvSpPr>
        <xdr:cNvPr id="8256" name="Line 64"/>
        <xdr:cNvSpPr>
          <a:spLocks noChangeShapeType="1"/>
        </xdr:cNvSpPr>
      </xdr:nvSpPr>
      <xdr:spPr bwMode="auto">
        <a:xfrm>
          <a:off x="3295650" y="1895475"/>
          <a:ext cx="1019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381000</xdr:colOff>
      <xdr:row>10</xdr:row>
      <xdr:rowOff>123825</xdr:rowOff>
    </xdr:from>
    <xdr:to>
      <xdr:col>1</xdr:col>
      <xdr:colOff>1400175</xdr:colOff>
      <xdr:row>10</xdr:row>
      <xdr:rowOff>123825</xdr:rowOff>
    </xdr:to>
    <xdr:sp macro="" textlink="">
      <xdr:nvSpPr>
        <xdr:cNvPr id="8257" name="Line 65"/>
        <xdr:cNvSpPr>
          <a:spLocks noChangeShapeType="1"/>
        </xdr:cNvSpPr>
      </xdr:nvSpPr>
      <xdr:spPr bwMode="auto">
        <a:xfrm>
          <a:off x="3381375" y="2924175"/>
          <a:ext cx="1019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238125</xdr:colOff>
      <xdr:row>11</xdr:row>
      <xdr:rowOff>285750</xdr:rowOff>
    </xdr:from>
    <xdr:to>
      <xdr:col>2</xdr:col>
      <xdr:colOff>1257300</xdr:colOff>
      <xdr:row>11</xdr:row>
      <xdr:rowOff>285750</xdr:rowOff>
    </xdr:to>
    <xdr:sp macro="" textlink="">
      <xdr:nvSpPr>
        <xdr:cNvPr id="8258" name="Line 66"/>
        <xdr:cNvSpPr>
          <a:spLocks noChangeShapeType="1"/>
        </xdr:cNvSpPr>
      </xdr:nvSpPr>
      <xdr:spPr bwMode="auto">
        <a:xfrm>
          <a:off x="4895850" y="3667125"/>
          <a:ext cx="1019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3028950</xdr:colOff>
      <xdr:row>76</xdr:row>
      <xdr:rowOff>114300</xdr:rowOff>
    </xdr:from>
    <xdr:to>
      <xdr:col>3</xdr:col>
      <xdr:colOff>4048125</xdr:colOff>
      <xdr:row>76</xdr:row>
      <xdr:rowOff>114300</xdr:rowOff>
    </xdr:to>
    <xdr:sp macro="" textlink="">
      <xdr:nvSpPr>
        <xdr:cNvPr id="8259" name="Line 67"/>
        <xdr:cNvSpPr>
          <a:spLocks noChangeShapeType="1"/>
        </xdr:cNvSpPr>
      </xdr:nvSpPr>
      <xdr:spPr bwMode="auto">
        <a:xfrm>
          <a:off x="9220200" y="20031075"/>
          <a:ext cx="1019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895350</xdr:colOff>
      <xdr:row>0</xdr:row>
      <xdr:rowOff>0</xdr:rowOff>
    </xdr:from>
    <xdr:to>
      <xdr:col>3</xdr:col>
      <xdr:colOff>3552825</xdr:colOff>
      <xdr:row>2</xdr:row>
      <xdr:rowOff>57150</xdr:rowOff>
    </xdr:to>
    <xdr:sp macro="" textlink="">
      <xdr:nvSpPr>
        <xdr:cNvPr id="8261" name="AutoShape 69"/>
        <xdr:cNvSpPr>
          <a:spLocks noChangeArrowheads="1"/>
        </xdr:cNvSpPr>
      </xdr:nvSpPr>
      <xdr:spPr bwMode="auto">
        <a:xfrm>
          <a:off x="7086600" y="0"/>
          <a:ext cx="2657475" cy="638175"/>
        </a:xfrm>
        <a:prstGeom prst="wedgeRectCallout">
          <a:avLst>
            <a:gd name="adj1" fmla="val -32796"/>
            <a:gd name="adj2" fmla="val 60449"/>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Note: Many of the items on this worksheet are input from other worksheets, and assembled on this page as a reminder of answers given elsewhere related to Geotech matters.</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19</xdr:row>
          <xdr:rowOff>371475</xdr:rowOff>
        </xdr:from>
        <xdr:to>
          <xdr:col>1</xdr:col>
          <xdr:colOff>828675</xdr:colOff>
          <xdr:row>19</xdr:row>
          <xdr:rowOff>581025</xdr:rowOff>
        </xdr:to>
        <xdr:sp macro="" textlink="">
          <xdr:nvSpPr>
            <xdr:cNvPr id="6153" name="Drop Down 9" hidden="1">
              <a:extLst>
                <a:ext uri="{63B3BB69-23CF-44E3-9099-C40C66FF867C}">
                  <a14:compatExt spid="_x0000_s6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1295400</xdr:colOff>
          <xdr:row>41</xdr:row>
          <xdr:rowOff>0</xdr:rowOff>
        </xdr:from>
        <xdr:to>
          <xdr:col>4</xdr:col>
          <xdr:colOff>609600</xdr:colOff>
          <xdr:row>41</xdr:row>
          <xdr:rowOff>0</xdr:rowOff>
        </xdr:to>
        <xdr:sp macro="" textlink="">
          <xdr:nvSpPr>
            <xdr:cNvPr id="6157" name="Check Box 13" hidden="1">
              <a:extLst>
                <a:ext uri="{63B3BB69-23CF-44E3-9099-C40C66FF867C}">
                  <a14:compatExt spid="_x0000_s61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57150</xdr:rowOff>
        </xdr:from>
        <xdr:to>
          <xdr:col>5</xdr:col>
          <xdr:colOff>0</xdr:colOff>
          <xdr:row>25</xdr:row>
          <xdr:rowOff>304800</xdr:rowOff>
        </xdr:to>
        <xdr:sp macro="" textlink="">
          <xdr:nvSpPr>
            <xdr:cNvPr id="6160" name="Drop Down 16" hidden="1">
              <a:extLst>
                <a:ext uri="{63B3BB69-23CF-44E3-9099-C40C66FF867C}">
                  <a14:compatExt spid="_x0000_s6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57150</xdr:rowOff>
        </xdr:from>
        <xdr:to>
          <xdr:col>6</xdr:col>
          <xdr:colOff>0</xdr:colOff>
          <xdr:row>25</xdr:row>
          <xdr:rowOff>295275</xdr:rowOff>
        </xdr:to>
        <xdr:sp macro="" textlink="">
          <xdr:nvSpPr>
            <xdr:cNvPr id="6163" name="Drop Down 19" hidden="1">
              <a:extLst>
                <a:ext uri="{63B3BB69-23CF-44E3-9099-C40C66FF867C}">
                  <a14:compatExt spid="_x0000_s6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35</xdr:row>
          <xdr:rowOff>114300</xdr:rowOff>
        </xdr:from>
        <xdr:to>
          <xdr:col>6</xdr:col>
          <xdr:colOff>1304925</xdr:colOff>
          <xdr:row>35</xdr:row>
          <xdr:rowOff>371475</xdr:rowOff>
        </xdr:to>
        <xdr:sp macro="" textlink="">
          <xdr:nvSpPr>
            <xdr:cNvPr id="6173" name="Drop Down 29" hidden="1">
              <a:extLst>
                <a:ext uri="{63B3BB69-23CF-44E3-9099-C40C66FF867C}">
                  <a14:compatExt spid="_x0000_s6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35</xdr:row>
          <xdr:rowOff>104775</xdr:rowOff>
        </xdr:from>
        <xdr:to>
          <xdr:col>7</xdr:col>
          <xdr:colOff>1066800</xdr:colOff>
          <xdr:row>35</xdr:row>
          <xdr:rowOff>361950</xdr:rowOff>
        </xdr:to>
        <xdr:sp macro="" textlink="">
          <xdr:nvSpPr>
            <xdr:cNvPr id="6175" name="Drop Down 31" hidden="1">
              <a:extLst>
                <a:ext uri="{63B3BB69-23CF-44E3-9099-C40C66FF867C}">
                  <a14:compatExt spid="_x0000_s6175"/>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8</xdr:row>
          <xdr:rowOff>95250</xdr:rowOff>
        </xdr:from>
        <xdr:to>
          <xdr:col>4</xdr:col>
          <xdr:colOff>800100</xdr:colOff>
          <xdr:row>8</xdr:row>
          <xdr:rowOff>295275</xdr:rowOff>
        </xdr:to>
        <xdr:sp macro="" textlink="">
          <xdr:nvSpPr>
            <xdr:cNvPr id="14337" name="Drop Down 1" hidden="1">
              <a:extLst>
                <a:ext uri="{63B3BB69-23CF-44E3-9099-C40C66FF867C}">
                  <a14:compatExt spid="_x0000_s1433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xdr:row>
          <xdr:rowOff>57150</xdr:rowOff>
        </xdr:from>
        <xdr:to>
          <xdr:col>4</xdr:col>
          <xdr:colOff>819150</xdr:colOff>
          <xdr:row>6</xdr:row>
          <xdr:rowOff>257175</xdr:rowOff>
        </xdr:to>
        <xdr:sp macro="" textlink="">
          <xdr:nvSpPr>
            <xdr:cNvPr id="14338" name="Drop Down 2" hidden="1">
              <a:extLst>
                <a:ext uri="{63B3BB69-23CF-44E3-9099-C40C66FF867C}">
                  <a14:compatExt spid="_x0000_s1433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180975</xdr:rowOff>
        </xdr:from>
        <xdr:to>
          <xdr:col>4</xdr:col>
          <xdr:colOff>819150</xdr:colOff>
          <xdr:row>7</xdr:row>
          <xdr:rowOff>361950</xdr:rowOff>
        </xdr:to>
        <xdr:sp macro="" textlink="">
          <xdr:nvSpPr>
            <xdr:cNvPr id="14339" name="Drop Down 3" hidden="1">
              <a:extLst>
                <a:ext uri="{63B3BB69-23CF-44E3-9099-C40C66FF867C}">
                  <a14:compatExt spid="_x0000_s14339"/>
                </a:ext>
              </a:extLst>
            </xdr:cNvPr>
            <xdr:cNvSpPr/>
          </xdr:nvSpPr>
          <xdr:spPr>
            <a:xfrm>
              <a:off x="0" y="0"/>
              <a:ext cx="0" cy="0"/>
            </a:xfrm>
            <a:prstGeom prst="rect">
              <a:avLst/>
            </a:prstGeom>
          </xdr:spPr>
        </xdr:sp>
        <xdr:clientData fLocksWithSheet="0"/>
      </xdr:twoCellAnchor>
    </mc:Choice>
    <mc:Fallback/>
  </mc:AlternateContent>
  <xdr:twoCellAnchor>
    <xdr:from>
      <xdr:col>5</xdr:col>
      <xdr:colOff>1257300</xdr:colOff>
      <xdr:row>10</xdr:row>
      <xdr:rowOff>104775</xdr:rowOff>
    </xdr:from>
    <xdr:to>
      <xdr:col>5</xdr:col>
      <xdr:colOff>1447800</xdr:colOff>
      <xdr:row>10</xdr:row>
      <xdr:rowOff>114300</xdr:rowOff>
    </xdr:to>
    <xdr:sp macro="" textlink="">
      <xdr:nvSpPr>
        <xdr:cNvPr id="14340" name="Line 4"/>
        <xdr:cNvSpPr>
          <a:spLocks noChangeShapeType="1"/>
        </xdr:cNvSpPr>
      </xdr:nvSpPr>
      <xdr:spPr bwMode="auto">
        <a:xfrm flipV="1">
          <a:off x="7143750" y="3533775"/>
          <a:ext cx="190500" cy="952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1247775</xdr:colOff>
      <xdr:row>9</xdr:row>
      <xdr:rowOff>85725</xdr:rowOff>
    </xdr:from>
    <xdr:to>
      <xdr:col>5</xdr:col>
      <xdr:colOff>1447800</xdr:colOff>
      <xdr:row>9</xdr:row>
      <xdr:rowOff>95250</xdr:rowOff>
    </xdr:to>
    <xdr:sp macro="" textlink="">
      <xdr:nvSpPr>
        <xdr:cNvPr id="14341" name="Line 5"/>
        <xdr:cNvSpPr>
          <a:spLocks noChangeShapeType="1"/>
        </xdr:cNvSpPr>
      </xdr:nvSpPr>
      <xdr:spPr bwMode="auto">
        <a:xfrm flipV="1">
          <a:off x="7134225" y="3038475"/>
          <a:ext cx="200025" cy="952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752475</xdr:colOff>
      <xdr:row>63</xdr:row>
      <xdr:rowOff>152400</xdr:rowOff>
    </xdr:from>
    <xdr:to>
      <xdr:col>1</xdr:col>
      <xdr:colOff>2152650</xdr:colOff>
      <xdr:row>63</xdr:row>
      <xdr:rowOff>152400</xdr:rowOff>
    </xdr:to>
    <xdr:sp macro="" textlink="">
      <xdr:nvSpPr>
        <xdr:cNvPr id="10246" name="Line 6"/>
        <xdr:cNvSpPr>
          <a:spLocks noChangeShapeType="1"/>
        </xdr:cNvSpPr>
      </xdr:nvSpPr>
      <xdr:spPr bwMode="auto">
        <a:xfrm>
          <a:off x="4933950" y="21869400"/>
          <a:ext cx="1400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752475</xdr:colOff>
      <xdr:row>67</xdr:row>
      <xdr:rowOff>123825</xdr:rowOff>
    </xdr:from>
    <xdr:to>
      <xdr:col>1</xdr:col>
      <xdr:colOff>2152650</xdr:colOff>
      <xdr:row>67</xdr:row>
      <xdr:rowOff>123825</xdr:rowOff>
    </xdr:to>
    <xdr:sp macro="" textlink="">
      <xdr:nvSpPr>
        <xdr:cNvPr id="10247" name="Line 7"/>
        <xdr:cNvSpPr>
          <a:spLocks noChangeShapeType="1"/>
        </xdr:cNvSpPr>
      </xdr:nvSpPr>
      <xdr:spPr bwMode="auto">
        <a:xfrm>
          <a:off x="4933950" y="24317325"/>
          <a:ext cx="1400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752475</xdr:colOff>
      <xdr:row>39</xdr:row>
      <xdr:rowOff>200025</xdr:rowOff>
    </xdr:from>
    <xdr:to>
      <xdr:col>1</xdr:col>
      <xdr:colOff>2152650</xdr:colOff>
      <xdr:row>39</xdr:row>
      <xdr:rowOff>200025</xdr:rowOff>
    </xdr:to>
    <xdr:sp macro="" textlink="">
      <xdr:nvSpPr>
        <xdr:cNvPr id="10248" name="Line 8"/>
        <xdr:cNvSpPr>
          <a:spLocks noChangeShapeType="1"/>
        </xdr:cNvSpPr>
      </xdr:nvSpPr>
      <xdr:spPr bwMode="auto">
        <a:xfrm>
          <a:off x="4933950" y="13354050"/>
          <a:ext cx="1400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752475</xdr:colOff>
      <xdr:row>77</xdr:row>
      <xdr:rowOff>304800</xdr:rowOff>
    </xdr:from>
    <xdr:to>
      <xdr:col>1</xdr:col>
      <xdr:colOff>2152650</xdr:colOff>
      <xdr:row>77</xdr:row>
      <xdr:rowOff>304800</xdr:rowOff>
    </xdr:to>
    <xdr:sp macro="" textlink="">
      <xdr:nvSpPr>
        <xdr:cNvPr id="10250" name="Line 10"/>
        <xdr:cNvSpPr>
          <a:spLocks noChangeShapeType="1"/>
        </xdr:cNvSpPr>
      </xdr:nvSpPr>
      <xdr:spPr bwMode="auto">
        <a:xfrm>
          <a:off x="4933950" y="30022800"/>
          <a:ext cx="1400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752475</xdr:colOff>
      <xdr:row>60</xdr:row>
      <xdr:rowOff>200025</xdr:rowOff>
    </xdr:from>
    <xdr:to>
      <xdr:col>1</xdr:col>
      <xdr:colOff>2152650</xdr:colOff>
      <xdr:row>60</xdr:row>
      <xdr:rowOff>200025</xdr:rowOff>
    </xdr:to>
    <xdr:sp macro="" textlink="">
      <xdr:nvSpPr>
        <xdr:cNvPr id="10251" name="Line 11"/>
        <xdr:cNvSpPr>
          <a:spLocks noChangeShapeType="1"/>
        </xdr:cNvSpPr>
      </xdr:nvSpPr>
      <xdr:spPr bwMode="auto">
        <a:xfrm>
          <a:off x="4933950" y="20059650"/>
          <a:ext cx="1400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733425</xdr:colOff>
      <xdr:row>71</xdr:row>
      <xdr:rowOff>390525</xdr:rowOff>
    </xdr:from>
    <xdr:to>
      <xdr:col>1</xdr:col>
      <xdr:colOff>2133600</xdr:colOff>
      <xdr:row>71</xdr:row>
      <xdr:rowOff>390525</xdr:rowOff>
    </xdr:to>
    <xdr:sp macro="" textlink="">
      <xdr:nvSpPr>
        <xdr:cNvPr id="10252" name="Line 12"/>
        <xdr:cNvSpPr>
          <a:spLocks noChangeShapeType="1"/>
        </xdr:cNvSpPr>
      </xdr:nvSpPr>
      <xdr:spPr bwMode="auto">
        <a:xfrm>
          <a:off x="4914900" y="26393775"/>
          <a:ext cx="1400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35.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3.xml"/><Relationship Id="rId3" Type="http://schemas.openxmlformats.org/officeDocument/2006/relationships/vmlDrawing" Target="../drawings/vmlDrawing5.vml"/><Relationship Id="rId7" Type="http://schemas.openxmlformats.org/officeDocument/2006/relationships/ctrlProp" Target="../ctrlProps/ctrlProp4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41.xml"/><Relationship Id="rId5" Type="http://schemas.openxmlformats.org/officeDocument/2006/relationships/ctrlProp" Target="../ctrlProps/ctrlProp40.xml"/><Relationship Id="rId4" Type="http://schemas.openxmlformats.org/officeDocument/2006/relationships/ctrlProp" Target="../ctrlProps/ctrlProp39.xml"/><Relationship Id="rId9" Type="http://schemas.openxmlformats.org/officeDocument/2006/relationships/ctrlProp" Target="../ctrlProps/ctrlProp4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sum(G63:G4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70"/>
  <sheetViews>
    <sheetView tabSelected="1" topLeftCell="A4" zoomScale="75" zoomScaleNormal="75" zoomScaleSheetLayoutView="75" workbookViewId="0">
      <selection activeCell="B6" sqref="B6:G6"/>
    </sheetView>
  </sheetViews>
  <sheetFormatPr defaultRowHeight="12.75" x14ac:dyDescent="0.2"/>
  <cols>
    <col min="1" max="1" width="9.7109375" style="51" bestFit="1" customWidth="1"/>
    <col min="2" max="2" width="9.140625" style="51"/>
    <col min="3" max="3" width="9.42578125" style="51" bestFit="1" customWidth="1"/>
    <col min="4" max="6" width="9.140625" style="51"/>
    <col min="7" max="7" width="30.5703125" style="51" customWidth="1"/>
    <col min="8" max="8" width="3.5703125" style="51" customWidth="1"/>
    <col min="9" max="9" width="11.85546875" style="51" customWidth="1"/>
    <col min="10" max="16384" width="9.140625" style="51"/>
  </cols>
  <sheetData>
    <row r="1" spans="1:12" ht="32.25" customHeight="1" thickTop="1" thickBot="1" x14ac:dyDescent="0.25">
      <c r="A1" s="920" t="s">
        <v>700</v>
      </c>
      <c r="B1" s="921"/>
      <c r="C1" s="921"/>
      <c r="D1" s="921"/>
      <c r="E1" s="921"/>
      <c r="F1" s="921"/>
      <c r="G1" s="922"/>
      <c r="H1" s="69"/>
      <c r="I1" s="69"/>
      <c r="J1" s="69"/>
      <c r="K1" s="69"/>
      <c r="L1" s="69"/>
    </row>
    <row r="2" spans="1:12" ht="14.25" thickTop="1" thickBot="1" x14ac:dyDescent="0.25">
      <c r="A2" s="226"/>
      <c r="B2" s="226"/>
      <c r="C2" s="226"/>
      <c r="D2" s="226"/>
      <c r="E2" s="226"/>
      <c r="F2" s="226"/>
      <c r="G2" s="239"/>
      <c r="H2" s="239"/>
      <c r="I2" s="239"/>
      <c r="J2" s="239"/>
      <c r="K2" s="226"/>
      <c r="L2" s="226"/>
    </row>
    <row r="3" spans="1:12" ht="13.5" thickTop="1" x14ac:dyDescent="0.2">
      <c r="A3" s="577" t="s">
        <v>431</v>
      </c>
      <c r="B3" s="926" t="s">
        <v>538</v>
      </c>
      <c r="C3" s="927"/>
      <c r="D3" s="927"/>
      <c r="E3" s="927"/>
      <c r="F3" s="927"/>
      <c r="G3" s="928"/>
      <c r="H3" s="226"/>
      <c r="I3" s="226"/>
      <c r="J3" s="226"/>
      <c r="K3" s="226"/>
      <c r="L3" s="226"/>
    </row>
    <row r="4" spans="1:12" ht="20.25" customHeight="1" x14ac:dyDescent="0.2">
      <c r="A4" s="578">
        <v>39883</v>
      </c>
      <c r="B4" s="923" t="s">
        <v>365</v>
      </c>
      <c r="C4" s="924"/>
      <c r="D4" s="924"/>
      <c r="E4" s="924"/>
      <c r="F4" s="924"/>
      <c r="G4" s="925"/>
      <c r="H4" s="226"/>
      <c r="I4" s="226"/>
      <c r="J4" s="226"/>
      <c r="K4" s="226"/>
      <c r="L4" s="226"/>
    </row>
    <row r="5" spans="1:12" ht="120" customHeight="1" x14ac:dyDescent="0.2">
      <c r="A5" s="893">
        <v>39896</v>
      </c>
      <c r="B5" s="911" t="s">
        <v>775</v>
      </c>
      <c r="C5" s="912"/>
      <c r="D5" s="912"/>
      <c r="E5" s="912"/>
      <c r="F5" s="912"/>
      <c r="G5" s="913"/>
      <c r="H5" s="226"/>
      <c r="I5" s="226"/>
      <c r="J5" s="226"/>
      <c r="K5" s="226"/>
      <c r="L5" s="226"/>
    </row>
    <row r="6" spans="1:12" ht="30.75" customHeight="1" x14ac:dyDescent="0.2">
      <c r="A6" s="893">
        <v>39910</v>
      </c>
      <c r="B6" s="929" t="s">
        <v>421</v>
      </c>
      <c r="C6" s="915"/>
      <c r="D6" s="915"/>
      <c r="E6" s="915"/>
      <c r="F6" s="915"/>
      <c r="G6" s="916"/>
      <c r="H6" s="226"/>
      <c r="I6" s="226"/>
      <c r="J6" s="226"/>
      <c r="K6" s="226"/>
      <c r="L6" s="226"/>
    </row>
    <row r="7" spans="1:12" ht="12.75" customHeight="1" thickBot="1" x14ac:dyDescent="0.25">
      <c r="A7" s="579" t="s">
        <v>222</v>
      </c>
      <c r="B7" s="917" t="s">
        <v>222</v>
      </c>
      <c r="C7" s="918"/>
      <c r="D7" s="918"/>
      <c r="E7" s="918"/>
      <c r="F7" s="918"/>
      <c r="G7" s="919"/>
      <c r="H7" s="226"/>
      <c r="I7" s="157"/>
      <c r="J7" s="157"/>
      <c r="K7" s="157"/>
      <c r="L7" s="157"/>
    </row>
    <row r="8" spans="1:12" ht="14.25" thickTop="1" thickBot="1" x14ac:dyDescent="0.25">
      <c r="A8" s="226"/>
      <c r="B8" s="226"/>
      <c r="C8" s="226"/>
      <c r="D8" s="226"/>
      <c r="E8" s="226"/>
      <c r="F8" s="226"/>
      <c r="G8" s="226"/>
      <c r="H8" s="226"/>
      <c r="I8" s="157"/>
      <c r="J8" s="157"/>
      <c r="K8" s="157"/>
      <c r="L8" s="157"/>
    </row>
    <row r="9" spans="1:12" ht="13.5" thickTop="1" x14ac:dyDescent="0.2">
      <c r="A9" s="902" t="s">
        <v>62</v>
      </c>
      <c r="B9" s="903"/>
      <c r="C9" s="903"/>
      <c r="D9" s="903"/>
      <c r="E9" s="903"/>
      <c r="F9" s="903"/>
      <c r="G9" s="904"/>
      <c r="H9" s="226"/>
      <c r="I9" s="157"/>
      <c r="J9" s="157"/>
      <c r="K9" s="157"/>
      <c r="L9" s="157"/>
    </row>
    <row r="10" spans="1:12" ht="25.5" customHeight="1" x14ac:dyDescent="0.2">
      <c r="A10" s="908" t="s">
        <v>491</v>
      </c>
      <c r="B10" s="909"/>
      <c r="C10" s="909"/>
      <c r="D10" s="909"/>
      <c r="E10" s="909"/>
      <c r="F10" s="909"/>
      <c r="G10" s="910"/>
      <c r="H10" s="226"/>
      <c r="I10" s="157"/>
      <c r="J10" s="157"/>
      <c r="K10" s="157"/>
      <c r="L10" s="157"/>
    </row>
    <row r="11" spans="1:12" ht="29.25" customHeight="1" x14ac:dyDescent="0.2">
      <c r="A11" s="911" t="s">
        <v>467</v>
      </c>
      <c r="B11" s="912"/>
      <c r="C11" s="912"/>
      <c r="D11" s="912"/>
      <c r="E11" s="912"/>
      <c r="F11" s="912"/>
      <c r="G11" s="913"/>
      <c r="H11" s="226"/>
      <c r="I11" s="157"/>
      <c r="J11" s="157"/>
      <c r="K11" s="157"/>
      <c r="L11" s="157"/>
    </row>
    <row r="12" spans="1:12" ht="29.25" customHeight="1" x14ac:dyDescent="0.2">
      <c r="A12" s="355" t="s">
        <v>704</v>
      </c>
      <c r="B12" s="339"/>
      <c r="C12" s="339"/>
      <c r="D12" s="339"/>
      <c r="E12" s="339"/>
      <c r="F12" s="339"/>
      <c r="G12" s="340"/>
      <c r="H12" s="226"/>
      <c r="I12" s="157"/>
      <c r="J12" s="157"/>
      <c r="K12" s="157"/>
      <c r="L12" s="157"/>
    </row>
    <row r="13" spans="1:12" x14ac:dyDescent="0.2">
      <c r="A13" s="72" t="s">
        <v>60</v>
      </c>
      <c r="B13" s="74"/>
      <c r="C13" s="74"/>
      <c r="D13" s="74"/>
      <c r="E13" s="74"/>
      <c r="F13" s="74"/>
      <c r="G13" s="75"/>
      <c r="I13" s="69"/>
      <c r="J13" s="69"/>
      <c r="K13" s="69"/>
      <c r="L13" s="69"/>
    </row>
    <row r="14" spans="1:12" ht="33" customHeight="1" x14ac:dyDescent="0.2">
      <c r="A14" s="905" t="s">
        <v>492</v>
      </c>
      <c r="B14" s="906"/>
      <c r="C14" s="906"/>
      <c r="D14" s="906"/>
      <c r="E14" s="906"/>
      <c r="F14" s="906"/>
      <c r="G14" s="907"/>
      <c r="I14" s="226"/>
      <c r="J14" s="226"/>
      <c r="K14" s="226"/>
      <c r="L14" s="226"/>
    </row>
    <row r="15" spans="1:12" x14ac:dyDescent="0.2">
      <c r="A15" s="905" t="s">
        <v>59</v>
      </c>
      <c r="B15" s="906"/>
      <c r="C15" s="906"/>
      <c r="D15" s="906"/>
      <c r="E15" s="906"/>
      <c r="F15" s="906"/>
      <c r="G15" s="907"/>
      <c r="L15" s="226"/>
    </row>
    <row r="16" spans="1:12" ht="18.75" customHeight="1" x14ac:dyDescent="0.2">
      <c r="A16" s="72" t="s">
        <v>61</v>
      </c>
      <c r="B16" s="73"/>
      <c r="C16" s="73"/>
      <c r="D16" s="74"/>
      <c r="E16" s="74"/>
      <c r="F16" s="74"/>
      <c r="G16" s="75"/>
      <c r="L16" s="226"/>
    </row>
    <row r="17" spans="1:12" ht="27.75" customHeight="1" thickBot="1" x14ac:dyDescent="0.25">
      <c r="A17" s="914" t="s">
        <v>656</v>
      </c>
      <c r="B17" s="915"/>
      <c r="C17" s="915"/>
      <c r="D17" s="915"/>
      <c r="E17" s="915"/>
      <c r="F17" s="915"/>
      <c r="G17" s="916"/>
      <c r="L17" s="226"/>
    </row>
    <row r="18" spans="1:12" ht="105" customHeight="1" thickTop="1" thickBot="1" x14ac:dyDescent="0.25">
      <c r="A18" s="899" t="s">
        <v>396</v>
      </c>
      <c r="B18" s="900"/>
      <c r="C18" s="900"/>
      <c r="D18" s="900"/>
      <c r="E18" s="900"/>
      <c r="F18" s="900"/>
      <c r="G18" s="901"/>
      <c r="L18" s="226"/>
    </row>
    <row r="19" spans="1:12" ht="14.25" thickTop="1" thickBot="1" x14ac:dyDescent="0.25">
      <c r="A19" s="78"/>
      <c r="B19" s="78"/>
      <c r="C19" s="78"/>
      <c r="E19" s="51" t="s">
        <v>222</v>
      </c>
      <c r="L19" s="226"/>
    </row>
    <row r="20" spans="1:12" ht="13.5" thickTop="1" x14ac:dyDescent="0.2">
      <c r="A20" s="43"/>
      <c r="B20" s="44"/>
      <c r="C20" s="79" t="s">
        <v>489</v>
      </c>
      <c r="D20" s="80"/>
      <c r="E20" s="80"/>
      <c r="F20" s="80"/>
      <c r="G20" s="81"/>
      <c r="L20" s="226"/>
    </row>
    <row r="21" spans="1:12" ht="13.5" thickBot="1" x14ac:dyDescent="0.25">
      <c r="A21" s="45"/>
      <c r="B21" s="46"/>
      <c r="C21" s="72" t="s">
        <v>490</v>
      </c>
      <c r="D21" s="74"/>
      <c r="E21" s="74"/>
      <c r="F21" s="74"/>
      <c r="G21" s="75"/>
      <c r="L21" s="226"/>
    </row>
    <row r="22" spans="1:12" ht="15" customHeight="1" thickTop="1" thickBot="1" x14ac:dyDescent="0.25">
      <c r="A22" s="47"/>
      <c r="B22" s="48"/>
      <c r="C22" s="72" t="s">
        <v>736</v>
      </c>
      <c r="D22" s="74"/>
      <c r="E22" s="74"/>
      <c r="F22" s="74"/>
      <c r="G22" s="75"/>
      <c r="I22" s="225"/>
      <c r="J22" s="225"/>
      <c r="K22" s="225"/>
      <c r="L22" s="225"/>
    </row>
    <row r="23" spans="1:12" ht="14.25" thickTop="1" thickBot="1" x14ac:dyDescent="0.25">
      <c r="A23" s="49"/>
      <c r="B23" s="50"/>
      <c r="C23" s="76" t="s">
        <v>392</v>
      </c>
      <c r="D23" s="77"/>
      <c r="E23" s="77"/>
      <c r="F23" s="77"/>
      <c r="G23" s="82"/>
      <c r="I23" s="226"/>
      <c r="J23" s="226"/>
      <c r="K23" s="226"/>
      <c r="L23" s="226"/>
    </row>
    <row r="24" spans="1:12" ht="14.25" thickTop="1" thickBot="1" x14ac:dyDescent="0.25">
      <c r="A24" s="171"/>
      <c r="B24" s="172"/>
      <c r="C24" s="170" t="s">
        <v>2</v>
      </c>
      <c r="D24" s="106"/>
      <c r="E24" s="106"/>
      <c r="F24" s="106"/>
      <c r="G24" s="90"/>
    </row>
    <row r="25" spans="1:12" ht="14.25" thickTop="1" thickBot="1" x14ac:dyDescent="0.25">
      <c r="A25" s="895">
        <v>123</v>
      </c>
      <c r="B25" s="896"/>
      <c r="C25" s="95" t="s">
        <v>393</v>
      </c>
      <c r="D25" s="96"/>
      <c r="E25" s="96"/>
      <c r="F25" s="96"/>
      <c r="G25" s="94"/>
    </row>
    <row r="26" spans="1:12" ht="14.25" thickTop="1" thickBot="1" x14ac:dyDescent="0.25">
      <c r="A26" s="897">
        <v>123</v>
      </c>
      <c r="B26" s="898"/>
      <c r="C26" s="95" t="s">
        <v>394</v>
      </c>
      <c r="D26" s="96"/>
      <c r="E26" s="96"/>
      <c r="F26" s="96"/>
      <c r="G26" s="94"/>
    </row>
    <row r="27" spans="1:12" ht="14.25" thickTop="1" thickBot="1" x14ac:dyDescent="0.25"/>
    <row r="28" spans="1:12" s="541" customFormat="1" ht="40.5" customHeight="1" thickTop="1" x14ac:dyDescent="0.2">
      <c r="A28" s="930" t="s">
        <v>391</v>
      </c>
      <c r="B28" s="930"/>
      <c r="C28" s="930"/>
      <c r="D28" s="931"/>
      <c r="E28" s="932" t="s">
        <v>222</v>
      </c>
      <c r="F28" s="933"/>
      <c r="G28" s="934"/>
      <c r="J28" s="489"/>
    </row>
    <row r="29" spans="1:12" s="541" customFormat="1" ht="40.5" customHeight="1" thickBot="1" x14ac:dyDescent="0.25">
      <c r="A29" s="930" t="s">
        <v>613</v>
      </c>
      <c r="B29" s="930"/>
      <c r="C29" s="930"/>
      <c r="D29" s="931"/>
      <c r="E29" s="935" t="s">
        <v>222</v>
      </c>
      <c r="F29" s="936"/>
      <c r="G29" s="937"/>
      <c r="J29" s="489"/>
    </row>
    <row r="30" spans="1:12" ht="13.5" thickTop="1" x14ac:dyDescent="0.2"/>
    <row r="31" spans="1:12" ht="18" customHeight="1" x14ac:dyDescent="0.2"/>
    <row r="32" spans="1:12" ht="18" customHeight="1" x14ac:dyDescent="0.2">
      <c r="A32" s="78"/>
      <c r="B32" s="78"/>
      <c r="C32" s="78"/>
    </row>
    <row r="33" spans="1:3" x14ac:dyDescent="0.2">
      <c r="A33" s="78"/>
      <c r="B33" s="78"/>
      <c r="C33" s="78"/>
    </row>
    <row r="34" spans="1:3" x14ac:dyDescent="0.2">
      <c r="A34" s="78"/>
      <c r="B34" s="71"/>
      <c r="C34" s="78"/>
    </row>
    <row r="35" spans="1:3" x14ac:dyDescent="0.2">
      <c r="A35" s="78"/>
      <c r="B35" s="78"/>
      <c r="C35" s="78"/>
    </row>
    <row r="36" spans="1:3" x14ac:dyDescent="0.2">
      <c r="A36" s="78"/>
      <c r="B36" s="78"/>
      <c r="C36" s="78"/>
    </row>
    <row r="37" spans="1:3" x14ac:dyDescent="0.2">
      <c r="A37" s="78"/>
      <c r="B37" s="78"/>
      <c r="C37" s="78"/>
    </row>
    <row r="38" spans="1:3" x14ac:dyDescent="0.2">
      <c r="A38" s="78"/>
      <c r="B38" s="78"/>
      <c r="C38" s="78"/>
    </row>
    <row r="39" spans="1:3" x14ac:dyDescent="0.2">
      <c r="A39" s="78"/>
      <c r="B39" s="78"/>
      <c r="C39" s="78"/>
    </row>
    <row r="40" spans="1:3" x14ac:dyDescent="0.2">
      <c r="A40" s="78"/>
      <c r="B40" s="78"/>
      <c r="C40" s="78"/>
    </row>
    <row r="41" spans="1:3" x14ac:dyDescent="0.2">
      <c r="A41" s="78"/>
      <c r="B41" s="78"/>
      <c r="C41" s="78"/>
    </row>
    <row r="42" spans="1:3" x14ac:dyDescent="0.2">
      <c r="A42" s="78"/>
      <c r="B42" s="71"/>
      <c r="C42" s="78"/>
    </row>
    <row r="43" spans="1:3" x14ac:dyDescent="0.2">
      <c r="A43" s="78"/>
      <c r="B43" s="78"/>
      <c r="C43" s="78"/>
    </row>
    <row r="44" spans="1:3" x14ac:dyDescent="0.2">
      <c r="A44" s="78"/>
      <c r="B44" s="78"/>
      <c r="C44" s="78"/>
    </row>
    <row r="45" spans="1:3" x14ac:dyDescent="0.2">
      <c r="A45" s="78"/>
      <c r="B45" s="78"/>
      <c r="C45" s="78"/>
    </row>
    <row r="46" spans="1:3" x14ac:dyDescent="0.2">
      <c r="A46" s="78"/>
      <c r="B46" s="78"/>
      <c r="C46" s="78"/>
    </row>
    <row r="47" spans="1:3" x14ac:dyDescent="0.2">
      <c r="A47" s="78"/>
      <c r="B47" s="78"/>
      <c r="C47" s="78"/>
    </row>
    <row r="48" spans="1:3" x14ac:dyDescent="0.2">
      <c r="A48" s="78"/>
      <c r="B48" s="78"/>
      <c r="C48" s="78"/>
    </row>
    <row r="49" spans="1:3" x14ac:dyDescent="0.2">
      <c r="A49" s="78"/>
      <c r="B49" s="78"/>
      <c r="C49" s="78"/>
    </row>
    <row r="50" spans="1:3" x14ac:dyDescent="0.2">
      <c r="A50" s="78"/>
      <c r="B50" s="78"/>
      <c r="C50" s="78"/>
    </row>
    <row r="51" spans="1:3" x14ac:dyDescent="0.2">
      <c r="A51" s="78"/>
      <c r="B51" s="78"/>
      <c r="C51" s="78"/>
    </row>
    <row r="52" spans="1:3" x14ac:dyDescent="0.2">
      <c r="A52" s="78"/>
      <c r="B52" s="78"/>
      <c r="C52" s="78"/>
    </row>
    <row r="53" spans="1:3" x14ac:dyDescent="0.2">
      <c r="A53" s="78"/>
      <c r="B53" s="78"/>
      <c r="C53" s="78"/>
    </row>
    <row r="54" spans="1:3" x14ac:dyDescent="0.2">
      <c r="A54" s="78"/>
      <c r="B54" s="78"/>
      <c r="C54" s="78"/>
    </row>
    <row r="55" spans="1:3" x14ac:dyDescent="0.2">
      <c r="A55" s="78"/>
      <c r="B55" s="78"/>
      <c r="C55" s="78"/>
    </row>
    <row r="56" spans="1:3" x14ac:dyDescent="0.2">
      <c r="A56" s="78"/>
      <c r="B56" s="78"/>
      <c r="C56" s="78"/>
    </row>
    <row r="57" spans="1:3" x14ac:dyDescent="0.2">
      <c r="A57" s="78"/>
      <c r="B57" s="78"/>
      <c r="C57" s="78"/>
    </row>
    <row r="58" spans="1:3" x14ac:dyDescent="0.2">
      <c r="A58" s="78"/>
      <c r="B58" s="78"/>
      <c r="C58" s="78"/>
    </row>
    <row r="59" spans="1:3" x14ac:dyDescent="0.2">
      <c r="A59" s="78"/>
      <c r="B59" s="78"/>
      <c r="C59" s="78"/>
    </row>
    <row r="60" spans="1:3" x14ac:dyDescent="0.2">
      <c r="A60" s="78"/>
      <c r="B60" s="78"/>
      <c r="C60" s="78"/>
    </row>
    <row r="61" spans="1:3" x14ac:dyDescent="0.2">
      <c r="A61" s="78"/>
      <c r="B61" s="78"/>
      <c r="C61" s="78"/>
    </row>
    <row r="62" spans="1:3" x14ac:dyDescent="0.2">
      <c r="A62" s="78"/>
      <c r="B62" s="78"/>
      <c r="C62" s="78"/>
    </row>
    <row r="63" spans="1:3" x14ac:dyDescent="0.2">
      <c r="A63" s="78"/>
      <c r="B63" s="78"/>
      <c r="C63" s="78"/>
    </row>
    <row r="64" spans="1:3" x14ac:dyDescent="0.2">
      <c r="A64" s="78"/>
      <c r="B64" s="78"/>
      <c r="C64" s="78"/>
    </row>
    <row r="65" spans="1:3" x14ac:dyDescent="0.2">
      <c r="A65" s="78"/>
      <c r="B65" s="78"/>
      <c r="C65" s="78"/>
    </row>
    <row r="66" spans="1:3" x14ac:dyDescent="0.2">
      <c r="A66" s="78"/>
      <c r="B66" s="78"/>
      <c r="C66" s="78"/>
    </row>
    <row r="67" spans="1:3" x14ac:dyDescent="0.2">
      <c r="A67" s="78"/>
      <c r="B67" s="78"/>
      <c r="C67" s="78"/>
    </row>
    <row r="68" spans="1:3" x14ac:dyDescent="0.2">
      <c r="A68" s="78"/>
      <c r="B68" s="78"/>
      <c r="C68" s="78"/>
    </row>
    <row r="69" spans="1:3" x14ac:dyDescent="0.2">
      <c r="A69" s="78"/>
      <c r="B69" s="78"/>
      <c r="C69" s="78"/>
    </row>
    <row r="70" spans="1:3" x14ac:dyDescent="0.2">
      <c r="A70" s="78"/>
      <c r="B70" s="78"/>
      <c r="C70" s="78"/>
    </row>
  </sheetData>
  <sheetProtection password="83AF" sheet="1" objects="1" scenarios="1" formatRows="0"/>
  <mergeCells count="19">
    <mergeCell ref="A28:D28"/>
    <mergeCell ref="E28:G28"/>
    <mergeCell ref="E29:G29"/>
    <mergeCell ref="A29:D29"/>
    <mergeCell ref="B7:G7"/>
    <mergeCell ref="A1:G1"/>
    <mergeCell ref="B4:G4"/>
    <mergeCell ref="B3:G3"/>
    <mergeCell ref="B5:G5"/>
    <mergeCell ref="B6:G6"/>
    <mergeCell ref="A25:B25"/>
    <mergeCell ref="A26:B26"/>
    <mergeCell ref="A18:G18"/>
    <mergeCell ref="A9:G9"/>
    <mergeCell ref="A14:G14"/>
    <mergeCell ref="A15:G15"/>
    <mergeCell ref="A10:G10"/>
    <mergeCell ref="A11:G11"/>
    <mergeCell ref="A17:G17"/>
  </mergeCells>
  <phoneticPr fontId="4" type="noConversion"/>
  <pageMargins left="0.87" right="0.25" top="1" bottom="0.65" header="0.5" footer="0.5"/>
  <pageSetup scale="90" orientation="portrait" horizontalDpi="1200" verticalDpi="1200" r:id="rId1"/>
  <headerFooter alignWithMargins="0">
    <oddHeader>&amp;L&amp;F&amp;C&amp;A</oddHead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10"/>
    <pageSetUpPr fitToPage="1"/>
  </sheetPr>
  <dimension ref="A1:X75"/>
  <sheetViews>
    <sheetView topLeftCell="A12" zoomScaleNormal="100" workbookViewId="0">
      <selection activeCell="B13" sqref="B13"/>
    </sheetView>
  </sheetViews>
  <sheetFormatPr defaultRowHeight="12.75" x14ac:dyDescent="0.2"/>
  <cols>
    <col min="1" max="1" width="18.85546875" style="83" customWidth="1"/>
    <col min="2" max="2" width="37.7109375" style="83" customWidth="1"/>
    <col min="3" max="3" width="23.140625" style="83" customWidth="1"/>
    <col min="4" max="4" width="7.85546875" style="83" customWidth="1"/>
    <col min="5" max="5" width="23.140625" style="83" customWidth="1"/>
    <col min="6" max="6" width="8.7109375" style="84" customWidth="1"/>
    <col min="7" max="7" width="16.28515625" style="84" customWidth="1"/>
    <col min="8" max="9" width="9.140625" style="84"/>
    <col min="10" max="16384" width="9.140625" style="83"/>
  </cols>
  <sheetData>
    <row r="1" spans="1:24" s="135" customFormat="1" ht="14.25" thickTop="1" thickBot="1" x14ac:dyDescent="0.25">
      <c r="A1" s="140" t="s">
        <v>284</v>
      </c>
      <c r="B1" s="775"/>
      <c r="C1" s="141"/>
      <c r="D1" s="83"/>
      <c r="E1" s="83"/>
      <c r="F1" s="83"/>
      <c r="G1" s="83"/>
      <c r="H1" s="83"/>
      <c r="I1" s="83"/>
      <c r="J1" s="83"/>
      <c r="K1" s="83"/>
      <c r="L1" s="83"/>
      <c r="M1" s="83"/>
      <c r="N1" s="83"/>
      <c r="O1" s="83"/>
      <c r="P1" s="83"/>
      <c r="Q1" s="83"/>
      <c r="R1" s="83"/>
      <c r="S1" s="83"/>
      <c r="T1" s="83"/>
      <c r="U1" s="83"/>
      <c r="V1" s="83"/>
      <c r="W1" s="83"/>
      <c r="X1" s="83"/>
    </row>
    <row r="2" spans="1:24" s="135" customFormat="1" ht="14.25" thickTop="1" thickBot="1" x14ac:dyDescent="0.25">
      <c r="A2" s="144" t="s">
        <v>517</v>
      </c>
      <c r="B2" s="776"/>
      <c r="C2" s="145" t="s">
        <v>222</v>
      </c>
      <c r="D2" s="83"/>
      <c r="E2" s="219"/>
      <c r="F2" s="83"/>
      <c r="G2" s="83"/>
      <c r="H2" s="83"/>
      <c r="I2" s="83"/>
      <c r="J2" s="83"/>
      <c r="K2" s="83"/>
      <c r="L2" s="83"/>
      <c r="M2" s="83"/>
      <c r="N2" s="83"/>
      <c r="O2" s="83"/>
      <c r="P2" s="83"/>
      <c r="Q2" s="83"/>
      <c r="R2" s="83"/>
      <c r="S2" s="83"/>
      <c r="T2" s="83"/>
      <c r="U2" s="83"/>
      <c r="V2" s="83"/>
      <c r="W2" s="83"/>
      <c r="X2" s="83"/>
    </row>
    <row r="3" spans="1:24" s="18" customFormat="1" ht="13.5" thickTop="1" x14ac:dyDescent="0.2">
      <c r="A3" s="142" t="s">
        <v>514</v>
      </c>
      <c r="B3" s="777"/>
      <c r="C3" s="143"/>
      <c r="D3" s="83"/>
      <c r="E3" s="221"/>
      <c r="F3" s="83"/>
      <c r="G3" s="83"/>
      <c r="H3" s="83"/>
      <c r="I3" s="83"/>
      <c r="J3" s="83"/>
      <c r="K3" s="83"/>
      <c r="L3" s="83"/>
      <c r="M3" s="83"/>
      <c r="N3" s="83"/>
      <c r="O3" s="83"/>
      <c r="P3" s="83"/>
      <c r="Q3" s="83"/>
      <c r="R3" s="83"/>
      <c r="S3" s="83"/>
      <c r="T3" s="83"/>
      <c r="U3" s="83"/>
      <c r="V3" s="83"/>
      <c r="W3" s="83"/>
      <c r="X3" s="83"/>
    </row>
    <row r="4" spans="1:24" x14ac:dyDescent="0.2">
      <c r="A4" s="121" t="s">
        <v>272</v>
      </c>
      <c r="B4" s="778">
        <f xml:space="preserve"> 2.16124*10^-9*$B$12^4 - 2.31488*10^-6*$B$12^3 + 8.41479*10^-4*$B$12^2 - 1.22302*10^-1*$B$12^1 + 7.31946*10^1</f>
        <v>67.480884902400007</v>
      </c>
      <c r="C4" s="122" t="s">
        <v>226</v>
      </c>
      <c r="E4" s="222"/>
      <c r="F4" s="83"/>
      <c r="G4" s="83"/>
      <c r="H4" s="83"/>
      <c r="I4" s="83"/>
    </row>
    <row r="5" spans="1:24" x14ac:dyDescent="0.2">
      <c r="A5" s="121" t="s">
        <v>273</v>
      </c>
      <c r="B5" s="779">
        <f xml:space="preserve"> 1.58675*10^-9*$B$12^4 - 1.48344*10^-6*$B$12^3 + 4.48201*10^-4*$B$12^2 - 4.33168*10^-2*$B$12^1 + 6.0708*10^1</f>
        <v>60.885726719999994</v>
      </c>
      <c r="C5" s="122" t="s">
        <v>226</v>
      </c>
      <c r="E5" s="222"/>
      <c r="F5" s="83"/>
      <c r="G5" s="83"/>
      <c r="H5" s="83"/>
      <c r="I5" s="83"/>
    </row>
    <row r="6" spans="1:24" x14ac:dyDescent="0.2">
      <c r="A6" s="121" t="s">
        <v>274</v>
      </c>
      <c r="B6" s="780">
        <f xml:space="preserve"> 3.2381*10^-10*B12^4 - 2.2381*10^-7*B12^3 + 2.33333*10^-5*B12^2 + 1.18095*10^-2*B12 + 5.09771*10^1</f>
        <v>53.135752505600003</v>
      </c>
      <c r="C6" s="123" t="s">
        <v>226</v>
      </c>
      <c r="E6" s="223"/>
      <c r="F6" s="83"/>
      <c r="G6" s="83"/>
      <c r="H6" s="83"/>
      <c r="I6" s="83"/>
    </row>
    <row r="7" spans="1:24" s="18" customFormat="1" x14ac:dyDescent="0.2">
      <c r="A7" s="136" t="s">
        <v>515</v>
      </c>
      <c r="B7" s="781"/>
      <c r="C7" s="137"/>
      <c r="D7" s="83"/>
      <c r="E7" s="223"/>
      <c r="F7" s="83"/>
      <c r="G7" s="83"/>
      <c r="H7" s="83"/>
      <c r="I7" s="83"/>
      <c r="J7" s="83"/>
      <c r="K7" s="83"/>
      <c r="L7" s="83"/>
      <c r="M7" s="83"/>
      <c r="N7" s="83"/>
      <c r="O7" s="83"/>
      <c r="P7" s="83"/>
      <c r="Q7" s="83"/>
      <c r="R7" s="83"/>
      <c r="S7" s="83"/>
      <c r="T7" s="83"/>
      <c r="U7" s="83"/>
      <c r="V7" s="83"/>
      <c r="W7" s="83"/>
      <c r="X7" s="83"/>
    </row>
    <row r="8" spans="1:24" x14ac:dyDescent="0.2">
      <c r="A8" s="121" t="s">
        <v>272</v>
      </c>
      <c r="B8" s="782">
        <f xml:space="preserve"> -2.95714*10^-9*$B$12^4 + 3.28214*10^-6*$B$12^3 - 1.37*10^-3*$B$12^2 + 2.64607*10^-1*$B$12^1 + 2.02529*10^1</f>
        <v>40.407802553599993</v>
      </c>
      <c r="C8" s="122" t="s">
        <v>352</v>
      </c>
      <c r="E8" s="222"/>
    </row>
    <row r="9" spans="1:24" ht="13.5" thickBot="1" x14ac:dyDescent="0.25">
      <c r="A9" s="121" t="s">
        <v>273</v>
      </c>
      <c r="B9" s="779">
        <f xml:space="preserve"> -7.42857*10^-10*$B$12^4 + 1.10952*10^-6*$B$12^3 - 6.4*10^-4*$B$12^2 + 1.67976*10^-1*$B$12^1 + 2.05671*10^1</f>
        <v>36.89072323968</v>
      </c>
      <c r="C9" s="122" t="s">
        <v>352</v>
      </c>
      <c r="E9" s="220"/>
    </row>
    <row r="10" spans="1:24" ht="13.5" thickTop="1" x14ac:dyDescent="0.2">
      <c r="A10" s="121" t="s">
        <v>274</v>
      </c>
      <c r="B10" s="783">
        <f xml:space="preserve"> -2.00952*10^-9*B12^4 + 2.25952*10^-6*B12^3 - 9.68333*10^-4*B12^2 + 1.97476*10^-1*B12 + 1.61771*10^1</f>
        <v>32.363858604800001</v>
      </c>
      <c r="C10" s="122" t="s">
        <v>352</v>
      </c>
      <c r="E10" s="23" t="s">
        <v>314</v>
      </c>
      <c r="F10" s="119"/>
      <c r="G10" s="119"/>
      <c r="H10" s="119"/>
      <c r="I10" s="120"/>
    </row>
    <row r="11" spans="1:24" s="18" customFormat="1" x14ac:dyDescent="0.2">
      <c r="A11" s="136" t="s">
        <v>516</v>
      </c>
      <c r="B11" s="781"/>
      <c r="C11" s="137"/>
      <c r="E11" s="136" t="s">
        <v>168</v>
      </c>
      <c r="F11" s="138">
        <f>LOCATION!$D$19</f>
        <v>92</v>
      </c>
      <c r="G11" s="138"/>
      <c r="H11" s="138"/>
      <c r="I11" s="139"/>
      <c r="K11" s="83"/>
      <c r="L11" s="83"/>
      <c r="M11" s="83"/>
      <c r="N11" s="83"/>
      <c r="O11" s="83"/>
      <c r="P11" s="83"/>
      <c r="Q11" s="83"/>
      <c r="R11" s="83"/>
      <c r="S11" s="83"/>
      <c r="T11" s="83"/>
      <c r="U11" s="83"/>
      <c r="V11" s="83"/>
      <c r="W11" s="83"/>
      <c r="X11" s="83"/>
    </row>
    <row r="12" spans="1:24" x14ac:dyDescent="0.2">
      <c r="A12" s="121" t="s">
        <v>69</v>
      </c>
      <c r="B12" s="784">
        <f>LOCATION!$D$12</f>
        <v>240</v>
      </c>
      <c r="C12" s="122" t="s">
        <v>352</v>
      </c>
      <c r="E12" s="121"/>
      <c r="F12" s="124" t="s">
        <v>222</v>
      </c>
      <c r="G12" s="124" t="s">
        <v>309</v>
      </c>
      <c r="H12" s="124" t="s">
        <v>308</v>
      </c>
      <c r="I12" s="125" t="s">
        <v>310</v>
      </c>
    </row>
    <row r="13" spans="1:24" x14ac:dyDescent="0.2">
      <c r="A13" s="121" t="s">
        <v>69</v>
      </c>
      <c r="B13" s="784">
        <f>B12/3.2808</f>
        <v>73.152889539136794</v>
      </c>
      <c r="C13" s="122" t="s">
        <v>327</v>
      </c>
      <c r="E13" s="121" t="s">
        <v>303</v>
      </c>
      <c r="F13" s="124">
        <v>0</v>
      </c>
      <c r="G13" s="124"/>
      <c r="H13" s="124"/>
      <c r="I13" s="125"/>
    </row>
    <row r="14" spans="1:24" ht="13.5" thickBot="1" x14ac:dyDescent="0.25">
      <c r="A14" s="146" t="s">
        <v>300</v>
      </c>
      <c r="B14" s="785">
        <f>IF(LOCATION!$D$19&gt;97.0001,0,IF(LOCATION!$D$19&gt;95.0001,1,IF(LOCATION!$D$19&gt;94,2,IF(LOCATION!$D$19&gt;90.5,3,IF(LOCATION!$D$19&gt;89.5,4,IF(LOCATION!$D$19&gt;86.5,5,IF(LOCATION!$D$19&gt;85.5,6,IF(LOCATION!$D$19&gt;82.499,7))))))))</f>
        <v>3</v>
      </c>
      <c r="C14" s="147" t="s">
        <v>353</v>
      </c>
      <c r="E14" s="121" t="s">
        <v>232</v>
      </c>
      <c r="F14" s="124">
        <v>1</v>
      </c>
      <c r="G14" s="124"/>
      <c r="H14" s="124"/>
      <c r="I14" s="125" t="s">
        <v>222</v>
      </c>
      <c r="J14" s="83" t="s">
        <v>222</v>
      </c>
    </row>
    <row r="15" spans="1:24" ht="14.25" thickTop="1" thickBot="1" x14ac:dyDescent="0.25">
      <c r="A15" s="150" t="s">
        <v>333</v>
      </c>
      <c r="B15" s="786"/>
      <c r="C15" s="151"/>
      <c r="E15" s="121" t="s">
        <v>304</v>
      </c>
      <c r="F15" s="124">
        <v>2</v>
      </c>
      <c r="G15" s="124" t="s">
        <v>83</v>
      </c>
      <c r="H15" s="124">
        <f>($F$11-94)/1</f>
        <v>-2</v>
      </c>
      <c r="I15" s="125">
        <f>ABS(H15)</f>
        <v>2</v>
      </c>
    </row>
    <row r="16" spans="1:24" ht="13.5" thickTop="1" x14ac:dyDescent="0.2">
      <c r="A16" s="148" t="s">
        <v>276</v>
      </c>
      <c r="B16" s="787">
        <f>IF($B$14=7,B27,IF($B$14=5,B33,IF($B$14=3,B39,IF($B$14=1,B45,IF($B$14=6,$I$21*B27+(1-$I$21)*B33,IF($B$14=4,$I$21*B33+(1-$I$21)*B39,IF($B$14=2,$I$21*B39+($I$21-1)*B45)))))))</f>
        <v>13.19693595986277</v>
      </c>
      <c r="C16" s="149" t="s">
        <v>327</v>
      </c>
      <c r="D16" s="152"/>
      <c r="E16" s="121" t="s">
        <v>305</v>
      </c>
      <c r="F16" s="124">
        <v>3</v>
      </c>
      <c r="G16" s="124"/>
      <c r="H16" s="124"/>
      <c r="I16" s="125"/>
    </row>
    <row r="17" spans="1:16" x14ac:dyDescent="0.2">
      <c r="A17" s="121" t="s">
        <v>277</v>
      </c>
      <c r="B17" s="784">
        <f>IF($B$14=7,B28,IF($B$14=5,B34,IF($B$14=3,B40,IF($B$14=1,B46,IF($B$14=6,$I$21*B28+(1-$I$21)*B34,IF($B$14=4,$I$21*B34+(1-$I$21)*B40,IF($B$14=2,$I$21*B40+($I$21-1)*B46)))))))</f>
        <v>18.89105944150235</v>
      </c>
      <c r="C17" s="122" t="s">
        <v>327</v>
      </c>
      <c r="D17" s="152" t="s">
        <v>222</v>
      </c>
      <c r="E17" s="121" t="s">
        <v>306</v>
      </c>
      <c r="F17" s="124">
        <v>4</v>
      </c>
      <c r="G17" s="124" t="s">
        <v>79</v>
      </c>
      <c r="H17" s="124">
        <f>($F$11-89.5)/1</f>
        <v>2.5</v>
      </c>
      <c r="I17" s="125">
        <f>ABS(H17)</f>
        <v>2.5</v>
      </c>
    </row>
    <row r="18" spans="1:16" x14ac:dyDescent="0.2">
      <c r="A18" s="121" t="s">
        <v>278</v>
      </c>
      <c r="B18" s="784">
        <f>IF($B$14=7,B29,IF($B$14=5,B35,IF($B$14=3,B41,IF($B$14=1,B47,IF($B$14=6,$I$21*B29+(1-$I$21)*B35,IF($B$14=4,$I$21*B35+(1-$I$21)*B41,IF($B$14=2,$I$21*B41+($I$21-1)*B47)))))))</f>
        <v>17.710063498238082</v>
      </c>
      <c r="C18" s="122" t="s">
        <v>327</v>
      </c>
      <c r="D18" s="152" t="s">
        <v>521</v>
      </c>
      <c r="E18" s="121" t="s">
        <v>234</v>
      </c>
      <c r="F18" s="124">
        <v>5</v>
      </c>
      <c r="G18" s="124"/>
      <c r="H18" s="124"/>
      <c r="I18" s="125"/>
    </row>
    <row r="19" spans="1:16" x14ac:dyDescent="0.2">
      <c r="A19" s="121" t="s">
        <v>279</v>
      </c>
      <c r="B19" s="784">
        <f>IF($B$14=7,B30,IF($B$14=5,B36,IF($B$14=3,B42,IF($B$14=1,B48,IF($B$14=6,$I$21*B30+(1-$I$21)*B36,IF($B$14=4,$I$21*B36+(1-$I$21)*B42,IF($B$14=2,$I$21*B42+($I$21-1)*B48)))))))</f>
        <v>15.623877741578664</v>
      </c>
      <c r="C19" s="122" t="s">
        <v>327</v>
      </c>
      <c r="D19" s="152" t="s">
        <v>522</v>
      </c>
      <c r="E19" s="121" t="s">
        <v>307</v>
      </c>
      <c r="F19" s="124">
        <v>6</v>
      </c>
      <c r="G19" s="124" t="s">
        <v>78</v>
      </c>
      <c r="H19" s="124">
        <f>($F$11-85.5)/1</f>
        <v>6.5</v>
      </c>
      <c r="I19" s="125">
        <f>ABS(H19)</f>
        <v>6.5</v>
      </c>
    </row>
    <row r="20" spans="1:16" x14ac:dyDescent="0.2">
      <c r="A20" s="121" t="s">
        <v>280</v>
      </c>
      <c r="B20" s="784">
        <f>IF($B$14=7,B31,IF($B$14=5,B37,IF($B$14=3,B43,IF($B$14=1,B49,IF($B$14=6,$I$21*B31+(1-$I$21)*B37,IF($B$14=4,$I$21*B37+(1-$I$21)*B43,IF($B$14=2,$I$21*B43+($I$21-1)*B49)))))))</f>
        <v>12.416673616372414</v>
      </c>
      <c r="C20" s="122" t="s">
        <v>327</v>
      </c>
      <c r="D20" s="152" t="s">
        <v>222</v>
      </c>
      <c r="E20" s="121" t="s">
        <v>235</v>
      </c>
      <c r="F20" s="124">
        <v>7</v>
      </c>
      <c r="G20" s="124"/>
      <c r="H20" s="124"/>
      <c r="I20" s="125"/>
    </row>
    <row r="21" spans="1:16" ht="13.5" thickBot="1" x14ac:dyDescent="0.25">
      <c r="A21" s="121" t="s">
        <v>745</v>
      </c>
      <c r="B21" s="784">
        <f>IF($B$14=7,'Zone Wind Speeds'!C4,IF($B$14=5,'Zone Wind Speeds'!C10,IF($B$14=3,'Zone Wind Speeds'!C16,IF($B$14=1,'Zone Wind Speeds'!C22,IF($B$14=6,$I$21*'Zone Wind Speeds'!C4+(1-$I$21)*'Zone Wind Speeds'!C10,IF($B$14=4,$I$21*'Zone Wind Speeds'!C10+(1-$I$21)*'Zone Wind Speeds'!C16,IF($B$14=2,$I$21*'Zone Wind Speeds'!C16+($I$21-1)*'Zone Wind Speeds'!C22)))))))</f>
        <v>58.4542</v>
      </c>
      <c r="C21" s="122" t="s">
        <v>226</v>
      </c>
      <c r="E21" s="126" t="s">
        <v>311</v>
      </c>
      <c r="F21" s="127"/>
      <c r="G21" s="127"/>
      <c r="H21" s="127" t="s">
        <v>222</v>
      </c>
      <c r="I21" s="128">
        <f>MIN(I15:I20)</f>
        <v>2</v>
      </c>
    </row>
    <row r="22" spans="1:16" ht="13.5" thickTop="1" x14ac:dyDescent="0.2">
      <c r="A22" s="121" t="s">
        <v>746</v>
      </c>
      <c r="B22" s="784">
        <f>IF($B$14=7,'Zone Wind Speeds'!C5,IF($B$14=5,'Zone Wind Speeds'!C11,IF($B$14=3,'Zone Wind Speeds'!C17,IF($B$14=1,'Zone Wind Speeds'!C23,IF($B$14=6,$I$21*'Zone Wind Speeds'!C5+(1-$I$21)*'Zone Wind Speeds'!C11,IF($B$14=4,$I$21*'Zone Wind Speeds'!C11+(1-$I$21)*'Zone Wind Speeds'!C17,IF($B$14=2,$I$21*'Zone Wind Speeds'!C17+($I$21-1)*'Zone Wind Speeds'!C23)))))))</f>
        <v>83.311799999999991</v>
      </c>
      <c r="C22" s="122" t="s">
        <v>226</v>
      </c>
    </row>
    <row r="23" spans="1:16" x14ac:dyDescent="0.2">
      <c r="A23" s="121" t="s">
        <v>747</v>
      </c>
      <c r="B23" s="784">
        <f>IF($B$14=7,'Zone Wind Speeds'!C6,IF($B$14=5,'Zone Wind Speeds'!C12,IF($B$14=3,'Zone Wind Speeds'!C18,IF($B$14=1,'Zone Wind Speeds'!C24,IF($B$14=6,$I$21*'Zone Wind Speeds'!C6+(1-$I$21)*'Zone Wind Speeds'!C12,IF($B$14=4,$I$21*'Zone Wind Speeds'!C12+(1-$I$21)*'Zone Wind Speeds'!C18,IF($B$14=2,$I$21*'Zone Wind Speeds'!C18+($I$21-1)*'Zone Wind Speeds'!C24)))))))</f>
        <v>93.604399999999998</v>
      </c>
      <c r="C23" s="122" t="s">
        <v>226</v>
      </c>
    </row>
    <row r="24" spans="1:16" x14ac:dyDescent="0.2">
      <c r="A24" s="121"/>
      <c r="B24" s="784"/>
      <c r="C24" s="122"/>
    </row>
    <row r="25" spans="1:16" ht="13.5" thickBot="1" x14ac:dyDescent="0.25">
      <c r="A25" s="146"/>
      <c r="B25" s="785"/>
      <c r="C25" s="147"/>
    </row>
    <row r="26" spans="1:16" s="18" customFormat="1" ht="14.25" thickTop="1" thickBot="1" x14ac:dyDescent="0.25">
      <c r="A26" s="150" t="s">
        <v>275</v>
      </c>
      <c r="B26" s="788"/>
      <c r="C26" s="151"/>
      <c r="F26" s="84"/>
      <c r="G26" s="17"/>
      <c r="H26" s="83"/>
      <c r="I26" s="83"/>
      <c r="J26" s="83"/>
      <c r="K26" s="83"/>
      <c r="L26" s="83"/>
      <c r="M26" s="83"/>
      <c r="N26" s="83"/>
      <c r="O26" s="83"/>
      <c r="P26" s="83"/>
    </row>
    <row r="27" spans="1:16" ht="13.5" thickTop="1" x14ac:dyDescent="0.2">
      <c r="A27" s="148" t="s">
        <v>313</v>
      </c>
      <c r="B27" s="789">
        <f>IF(B13&gt;100,0.008*B13+12.4,IF(B13&gt;18,0.0004*B13^2-0.0473*B13+14.46,IF(B13&gt;10,0.3125*B13+8.375,"N/A too Shallow")))</f>
        <v>13.140406423968891</v>
      </c>
      <c r="C27" s="149" t="s">
        <v>327</v>
      </c>
      <c r="G27" s="129"/>
      <c r="H27" s="130"/>
    </row>
    <row r="28" spans="1:16" x14ac:dyDescent="0.2">
      <c r="A28" s="121" t="s">
        <v>312</v>
      </c>
      <c r="B28" s="790">
        <f>IF(B13&gt;100,1.2177*10^-2*B13+1.8364*10^1,IF(B13&gt;10,-3.77331*10^-7*B13^4+1.04167*10^-4*B13^3-1.09025*10^-2*B13^2+5.55181*10^-1*B13+6.50833*10^0,"N/A too Shallow"))</f>
        <v>18.750671346678988</v>
      </c>
      <c r="C28" s="122" t="s">
        <v>327</v>
      </c>
      <c r="G28" s="129"/>
    </row>
    <row r="29" spans="1:16" x14ac:dyDescent="0.2">
      <c r="A29" s="121" t="s">
        <v>278</v>
      </c>
      <c r="B29" s="790">
        <f>IF(B13&gt;100,0.0115*B13 + 16.7,IF(B13&gt;10, -2.18531*10^-7*B13^4 + 6.35781*10^-5*B13^3 - 7.10635*10^-3*B13^2 + 3.99481*10^-1*B13 + 7.21667*10^0,"N/A too Shallow"))</f>
        <v>17.041965530898199</v>
      </c>
      <c r="C29" s="122" t="s">
        <v>327</v>
      </c>
      <c r="F29" s="129"/>
      <c r="G29" s="129"/>
    </row>
    <row r="30" spans="1:16" x14ac:dyDescent="0.2">
      <c r="A30" s="121" t="s">
        <v>279</v>
      </c>
      <c r="B30" s="790">
        <f>IF(B13&gt;100,y = 0.01*B13 + 15.1,IF(B13&gt;10,-1.71911*10^-7*B13^4 + 4.85043*10^-5*B13^3 - 5.39423*10^-3*B13^2 + 3.13914*10^-1*B13 + 7.35*10^0,"N/A too Shallow"))</f>
        <v>15.512133812298851</v>
      </c>
      <c r="C30" s="122" t="s">
        <v>327</v>
      </c>
      <c r="E30" s="83" t="s">
        <v>222</v>
      </c>
      <c r="F30" s="129"/>
    </row>
    <row r="31" spans="1:16" ht="13.5" thickBot="1" x14ac:dyDescent="0.25">
      <c r="A31" s="121" t="s">
        <v>280</v>
      </c>
      <c r="B31" s="790">
        <f>IF(B13&gt;100, 0.009*B13 + 12.2,IF(B13&gt;10,-1.8648*10^-7*B13^4 + 4.96309*10^-5*B13^3 - 5.13811*10^-3*B13^2 + 2.77863*10^-1*B13 + 5.7*10^0,"N/A too Shallow"))</f>
        <v>12.619300609116138</v>
      </c>
      <c r="C31" s="122" t="s">
        <v>327</v>
      </c>
      <c r="F31" s="129"/>
    </row>
    <row r="32" spans="1:16" s="18" customFormat="1" ht="14.25" thickTop="1" thickBot="1" x14ac:dyDescent="0.25">
      <c r="A32" s="150" t="s">
        <v>281</v>
      </c>
      <c r="B32" s="791"/>
      <c r="C32" s="151"/>
      <c r="D32" s="83"/>
      <c r="E32" s="83"/>
      <c r="F32" s="83"/>
      <c r="G32" s="83"/>
      <c r="H32" s="83"/>
      <c r="I32" s="83"/>
      <c r="J32" s="83"/>
      <c r="K32" s="83"/>
      <c r="L32" s="83"/>
      <c r="M32" s="83"/>
      <c r="N32" s="83"/>
      <c r="O32" s="83"/>
      <c r="P32" s="83"/>
    </row>
    <row r="33" spans="1:16" ht="13.5" thickTop="1" x14ac:dyDescent="0.2">
      <c r="A33" s="121" t="s">
        <v>276</v>
      </c>
      <c r="B33" s="790">
        <f>IF(B13&gt;100,0.008*B13 + 16.2,IF(B13&gt;21.5,2.04483*10^-9*B13^5 - 5.10543*10^-7*B13^4 + 3.10455*10^-5*B13^3 + 1.54389*10^-3*B13^2 - 2.15981*10^-1*B13 + 2.27201*10^1,IF(B13&gt;10, 0.4629*B13 + 8.48689,"N/A Too Shallow")))</f>
        <v>16.998912997556726</v>
      </c>
      <c r="C33" s="122" t="s">
        <v>327</v>
      </c>
      <c r="E33" s="18"/>
      <c r="G33" s="83"/>
      <c r="H33" s="83"/>
      <c r="I33" s="83"/>
    </row>
    <row r="34" spans="1:16" x14ac:dyDescent="0.2">
      <c r="A34" s="121" t="s">
        <v>277</v>
      </c>
      <c r="B34" s="790">
        <f>IF(B13&gt;100, 1.8*10^-2*B13+ 2.34*10^1,IF(B13&gt;10,-1.24126*10^-6*B13^4 + 3.27253*10^-4*B13^3 - 3.14272*10^-2*B13^2 + 1.35782*10^0*B13 + 4.5*10^-1,"N/A Too Shallow"))</f>
        <v>24.163368880062787</v>
      </c>
      <c r="C34" s="122" t="s">
        <v>327</v>
      </c>
      <c r="F34" s="129"/>
      <c r="G34" s="83"/>
      <c r="H34" s="83"/>
      <c r="I34" s="83"/>
    </row>
    <row r="35" spans="1:16" x14ac:dyDescent="0.2">
      <c r="A35" s="121" t="s">
        <v>278</v>
      </c>
      <c r="B35" s="790">
        <f>IF(B13&gt;100,  0.013*B13 + 22.5,IF(B13&gt;10,-1.37005*10^-6*B13^4 + 3.52727*10^-4*B13^3 - 3.28152*10^-2*B13^2 + 1.36505*10^0*B13 - 4.5*10^-1,"N/A Too Shallow"))</f>
        <v>22.64866548982339</v>
      </c>
      <c r="C35" s="122" t="s">
        <v>327</v>
      </c>
      <c r="F35" s="129"/>
      <c r="G35" s="83"/>
      <c r="H35" s="83"/>
      <c r="I35" s="83"/>
    </row>
    <row r="36" spans="1:16" x14ac:dyDescent="0.2">
      <c r="A36" s="121" t="s">
        <v>279</v>
      </c>
      <c r="B36" s="790">
        <f>IF(B13&gt;100,  0.0163*B13 + 19.57,IF(B13&gt;10,-1.08974*10^-6*B13^4 + 2.81061*10^-4*B13^3 - 2.63508*10^-2*B13^2 + 1.11517*10^0*B13 + 9.66667*10^-1,"N/A Too Shallow"))</f>
        <v>20.351504264442511</v>
      </c>
      <c r="C36" s="122" t="s">
        <v>327</v>
      </c>
      <c r="F36" s="129"/>
      <c r="G36" s="83"/>
      <c r="H36" s="83"/>
      <c r="I36" s="83"/>
    </row>
    <row r="37" spans="1:16" ht="13.5" thickBot="1" x14ac:dyDescent="0.25">
      <c r="A37" s="121" t="s">
        <v>280</v>
      </c>
      <c r="B37" s="790">
        <f>IF(B13&gt;100, 0.01*B13 + 15,IF(B13&gt;10,-7.53205*10^-7*B13^4 + 1.93891*10^-4*B13^3 - 1.80159*10^-2*B13^2 + 7.53335*10^-1*B13 + 2.19167*10^0,"N/A Too Shallow"))</f>
        <v>15.223353485958922</v>
      </c>
      <c r="C37" s="122" t="s">
        <v>327</v>
      </c>
      <c r="F37" s="129"/>
      <c r="G37" s="83"/>
      <c r="H37" s="83"/>
      <c r="I37" s="83"/>
    </row>
    <row r="38" spans="1:16" s="18" customFormat="1" ht="14.25" thickTop="1" thickBot="1" x14ac:dyDescent="0.25">
      <c r="A38" s="150" t="s">
        <v>282</v>
      </c>
      <c r="B38" s="791"/>
      <c r="C38" s="151"/>
      <c r="D38" s="83"/>
      <c r="E38" s="83"/>
      <c r="F38" s="83"/>
      <c r="G38" s="83"/>
      <c r="H38" s="83"/>
      <c r="I38" s="83"/>
      <c r="J38" s="83"/>
      <c r="K38" s="83"/>
      <c r="L38" s="83"/>
      <c r="M38" s="83"/>
      <c r="N38" s="83"/>
      <c r="O38" s="83"/>
      <c r="P38" s="83"/>
    </row>
    <row r="39" spans="1:16" ht="13.5" thickTop="1" x14ac:dyDescent="0.2">
      <c r="A39" s="121" t="s">
        <v>276</v>
      </c>
      <c r="B39" s="790">
        <f>IF(B13&gt;20,9.19165*10^-5*B13^2 - 1.84824*10^-2*B13 + 1.40571*10^1,IF(B13&gt;19, -1.9*B13 + 52.1,IF(B13&gt;10,  0.4222*B13 + 7.9778,"N/A Too Shallow")))</f>
        <v>13.19693595986277</v>
      </c>
      <c r="C39" s="122" t="s">
        <v>327</v>
      </c>
      <c r="E39" s="18"/>
      <c r="F39" s="129"/>
      <c r="G39" s="83"/>
      <c r="H39" s="83"/>
      <c r="I39" s="83"/>
    </row>
    <row r="40" spans="1:16" x14ac:dyDescent="0.2">
      <c r="A40" s="121" t="s">
        <v>277</v>
      </c>
      <c r="B40" s="790">
        <f>IF(B13&gt;100, 0.012*B13 + 18.6,IF(B13&gt;10, -2.7535*10^-7*B13^4 + 8.05264*10^-5*B13^3 - 8.94071*10^-3*B13^2 + 4.86962*10^-1*B13 + 7.475*10^0,"N/A Too Shallow"))</f>
        <v>18.89105944150235</v>
      </c>
      <c r="C40" s="122" t="s">
        <v>327</v>
      </c>
      <c r="F40" s="129"/>
      <c r="G40" s="83"/>
      <c r="H40" s="83"/>
      <c r="I40" s="83"/>
    </row>
    <row r="41" spans="1:16" x14ac:dyDescent="0.2">
      <c r="A41" s="121" t="s">
        <v>278</v>
      </c>
      <c r="B41" s="790">
        <f>IF(B13&gt;100,   0.013*B13 + 17,IF(B13&gt;10,-4.62558*10^-7*B13^4 + 1.20479*10^-4*B13^3 - 1.17721*10^-2*B13^2 + 5.5742*10^-1*B13 + 6.0125*10^0,"N/A Too Shallow"))</f>
        <v>17.710063498238082</v>
      </c>
      <c r="C41" s="122" t="s">
        <v>327</v>
      </c>
      <c r="F41" s="129"/>
      <c r="G41" s="83"/>
      <c r="H41" s="83"/>
      <c r="I41" s="83"/>
    </row>
    <row r="42" spans="1:16" x14ac:dyDescent="0.2">
      <c r="A42" s="121" t="s">
        <v>279</v>
      </c>
      <c r="B42" s="790">
        <f>IF(B13&gt;100, 0.01*B13 + 15.3,IF(B13&gt;10,-3.39452*10^-7*B13^4 + 9.05497*10^-5*B13^3 - 9.07241*10^-3*B13^2 + 4.44578*10^-1*B13 + 5.925*10^0,"N/A Too Shallow"))</f>
        <v>15.623877741578664</v>
      </c>
      <c r="C42" s="122" t="s">
        <v>327</v>
      </c>
      <c r="F42" s="129"/>
      <c r="G42" s="83"/>
      <c r="H42" s="83"/>
      <c r="I42" s="83"/>
    </row>
    <row r="43" spans="1:16" ht="13.5" thickBot="1" x14ac:dyDescent="0.25">
      <c r="A43" s="146" t="s">
        <v>280</v>
      </c>
      <c r="B43" s="792">
        <f>IF(B13&gt;100, 0.009*B13 + 12.1,IF(B13&gt;10,-2.41841*10^-7*B13^4 + 6.35004*10^-5*B13^3 - 6.27418*10^-3*B13^2 + 3.11575*10^-1*B13 + 5.26667*10^0,"N/A Too Shallow"))</f>
        <v>12.416673616372414</v>
      </c>
      <c r="C43" s="147" t="s">
        <v>327</v>
      </c>
      <c r="F43" s="129"/>
      <c r="G43" s="83"/>
      <c r="H43" s="83"/>
      <c r="I43" s="83"/>
    </row>
    <row r="44" spans="1:16" s="18" customFormat="1" ht="14.25" thickTop="1" thickBot="1" x14ac:dyDescent="0.25">
      <c r="A44" s="150" t="s">
        <v>283</v>
      </c>
      <c r="B44" s="791"/>
      <c r="C44" s="151"/>
      <c r="D44" s="83"/>
      <c r="E44" s="83"/>
      <c r="F44" s="83"/>
      <c r="G44" s="83"/>
      <c r="H44" s="83"/>
      <c r="I44" s="83"/>
      <c r="J44" s="83"/>
      <c r="K44" s="83"/>
      <c r="L44" s="83"/>
      <c r="M44" s="83"/>
      <c r="N44" s="83"/>
      <c r="O44" s="83"/>
      <c r="P44" s="83"/>
    </row>
    <row r="45" spans="1:16" ht="13.5" thickTop="1" x14ac:dyDescent="0.2">
      <c r="A45" s="148" t="s">
        <v>276</v>
      </c>
      <c r="B45" s="789">
        <f>IF(B13&gt;100,0.008*B13 + 13.2,IF(B13&gt;18.5,5.88844*10^-7*B13^4 - 1.59596*10^-4*B13^3 + 1.55554*10^-2*B13^2 - 6.42289*10^-1*B13 + 2.34263*10^1,IF(B13&gt;10, 0.5059*B13+6.4912,"N/A Too Shallow")))</f>
        <v>14.069517529942953</v>
      </c>
      <c r="C45" s="149" t="s">
        <v>327</v>
      </c>
      <c r="E45" s="18"/>
      <c r="G45" s="83"/>
      <c r="H45" s="83"/>
      <c r="I45" s="83"/>
    </row>
    <row r="46" spans="1:16" x14ac:dyDescent="0.2">
      <c r="A46" s="121" t="s">
        <v>277</v>
      </c>
      <c r="B46" s="790">
        <f>IF(B13&gt;100, 0.0115*B13 + 19.85,IF(B13&gt;10,-3.35082*10^-7*B13^4 + 9.64452*10^-5*B13^3 - 1.04706*10^-2*B13^2 + 5.53193*10^-1*B13 + 7.45*10^0,"N/A Too Shallow"))</f>
        <v>20.045214633439272</v>
      </c>
      <c r="C46" s="122" t="s">
        <v>327</v>
      </c>
      <c r="F46" s="129"/>
      <c r="G46" s="83"/>
      <c r="H46" s="83"/>
      <c r="I46" s="83"/>
    </row>
    <row r="47" spans="1:16" x14ac:dyDescent="0.2">
      <c r="A47" s="121" t="s">
        <v>278</v>
      </c>
      <c r="B47" s="790">
        <f>IF(B13&gt;100,  0.01*B13 + 17.1,IF(B13&gt;10,-5.82751*10^-9*B13^4 + 5.36131*10^-6*B13^3 - 1.52448*10^-3*B13^2 + 1.83456*10^-1*B13 + 1.025*10^1,"N/A Too Shallow"))</f>
        <v>17.444208454533275</v>
      </c>
      <c r="C47" s="122" t="s">
        <v>327</v>
      </c>
      <c r="F47" s="129"/>
      <c r="G47" s="83"/>
      <c r="H47" s="83"/>
      <c r="I47" s="83"/>
    </row>
    <row r="48" spans="1:16" x14ac:dyDescent="0.2">
      <c r="A48" s="121" t="s">
        <v>279</v>
      </c>
      <c r="B48" s="790">
        <f>IF(B13&gt;100,0.01*B13 + 14.8,IF(B13&gt;40, 3.71429*10^-2*B13 + 1.21714*10^1,IF(B13&gt;10, -5.08333*10^-4*B13^3 + 3.225*10^-2*B13^2 - 4.11667*10^-1*B13 + 1.09*10^1,"N/A Too Shallow")))</f>
        <v>14.888510460863206</v>
      </c>
      <c r="C48" s="122" t="s">
        <v>327</v>
      </c>
      <c r="F48" s="129"/>
      <c r="G48" s="83"/>
      <c r="H48" s="83"/>
      <c r="I48" s="83"/>
    </row>
    <row r="49" spans="1:9" ht="13.5" thickBot="1" x14ac:dyDescent="0.25">
      <c r="A49" s="126" t="s">
        <v>280</v>
      </c>
      <c r="B49" s="793">
        <f>IF(B13&gt;100,  0.005*B13 + 10.5,IF(B13&gt;10, -1.95221*10^-7*B13^4 + 5.46426*10^-5*B13^3 - 5.67861*10^-3*B13^2 + 2.8513*10^-1*B13 + 4.16667*10^0,"N/A Too Shallow"))</f>
        <v>10.436767438824985</v>
      </c>
      <c r="C49" s="131" t="s">
        <v>327</v>
      </c>
      <c r="F49" s="129"/>
      <c r="G49" s="83"/>
      <c r="H49" s="83"/>
      <c r="I49" s="83"/>
    </row>
    <row r="50" spans="1:9" ht="13.5" thickTop="1" x14ac:dyDescent="0.2">
      <c r="B50" s="132"/>
      <c r="G50" s="83"/>
      <c r="H50" s="83"/>
      <c r="I50" s="83"/>
    </row>
    <row r="51" spans="1:9" x14ac:dyDescent="0.2">
      <c r="B51" s="132"/>
      <c r="G51" s="83"/>
      <c r="H51" s="83"/>
      <c r="I51" s="83"/>
    </row>
    <row r="52" spans="1:9" x14ac:dyDescent="0.2">
      <c r="B52" s="132"/>
      <c r="G52" s="83"/>
      <c r="H52" s="83"/>
      <c r="I52" s="83"/>
    </row>
    <row r="53" spans="1:9" x14ac:dyDescent="0.2">
      <c r="B53" s="132"/>
      <c r="G53" s="83"/>
      <c r="H53" s="83"/>
      <c r="I53" s="83"/>
    </row>
    <row r="54" spans="1:9" ht="29.25" customHeight="1" x14ac:dyDescent="0.2">
      <c r="B54" s="132"/>
      <c r="G54" s="83"/>
      <c r="H54" s="83"/>
      <c r="I54" s="83"/>
    </row>
    <row r="55" spans="1:9" ht="29.25" customHeight="1" x14ac:dyDescent="0.2">
      <c r="B55" s="132"/>
      <c r="G55" s="83"/>
      <c r="H55" s="83"/>
      <c r="I55" s="83"/>
    </row>
    <row r="56" spans="1:9" ht="29.25" customHeight="1" x14ac:dyDescent="0.2">
      <c r="B56" s="133"/>
      <c r="G56" s="83"/>
      <c r="H56" s="83"/>
      <c r="I56" s="83"/>
    </row>
    <row r="57" spans="1:9" ht="29.25" customHeight="1" x14ac:dyDescent="0.2">
      <c r="B57" s="133"/>
      <c r="G57" s="83"/>
      <c r="H57" s="83"/>
      <c r="I57" s="83"/>
    </row>
    <row r="58" spans="1:9" x14ac:dyDescent="0.2">
      <c r="B58" s="133"/>
      <c r="G58" s="83"/>
      <c r="H58" s="83"/>
      <c r="I58" s="83"/>
    </row>
    <row r="59" spans="1:9" x14ac:dyDescent="0.2">
      <c r="B59" s="134"/>
      <c r="G59" s="83"/>
      <c r="H59" s="83"/>
      <c r="I59" s="83"/>
    </row>
    <row r="60" spans="1:9" x14ac:dyDescent="0.2">
      <c r="B60" s="134"/>
      <c r="G60" s="83"/>
      <c r="H60" s="83"/>
      <c r="I60" s="83"/>
    </row>
    <row r="61" spans="1:9" x14ac:dyDescent="0.2">
      <c r="B61" s="134"/>
      <c r="G61" s="83"/>
      <c r="H61" s="83"/>
      <c r="I61" s="83"/>
    </row>
    <row r="62" spans="1:9" x14ac:dyDescent="0.2">
      <c r="B62" s="134"/>
      <c r="G62" s="83"/>
      <c r="H62" s="83"/>
      <c r="I62" s="83"/>
    </row>
    <row r="63" spans="1:9" x14ac:dyDescent="0.2">
      <c r="B63" s="133"/>
      <c r="G63" s="83"/>
      <c r="H63" s="83"/>
      <c r="I63" s="83"/>
    </row>
    <row r="64" spans="1:9" x14ac:dyDescent="0.2">
      <c r="B64" s="133"/>
    </row>
    <row r="65" spans="2:2" x14ac:dyDescent="0.2">
      <c r="B65" s="133"/>
    </row>
    <row r="66" spans="2:2" x14ac:dyDescent="0.2">
      <c r="B66" s="133"/>
    </row>
    <row r="67" spans="2:2" x14ac:dyDescent="0.2">
      <c r="B67" s="133"/>
    </row>
    <row r="68" spans="2:2" x14ac:dyDescent="0.2">
      <c r="B68" s="133"/>
    </row>
    <row r="69" spans="2:2" x14ac:dyDescent="0.2">
      <c r="B69" s="133"/>
    </row>
    <row r="70" spans="2:2" x14ac:dyDescent="0.2">
      <c r="B70" s="133"/>
    </row>
    <row r="71" spans="2:2" x14ac:dyDescent="0.2">
      <c r="B71" s="133"/>
    </row>
    <row r="72" spans="2:2" x14ac:dyDescent="0.2">
      <c r="B72" s="133"/>
    </row>
    <row r="73" spans="2:2" x14ac:dyDescent="0.2">
      <c r="B73" s="133"/>
    </row>
    <row r="74" spans="2:2" x14ac:dyDescent="0.2">
      <c r="B74" s="133"/>
    </row>
    <row r="75" spans="2:2" x14ac:dyDescent="0.2">
      <c r="B75" s="133"/>
    </row>
  </sheetData>
  <sheetProtection password="83AF" sheet="1" objects="1" scenarios="1"/>
  <phoneticPr fontId="4" type="noConversion"/>
  <conditionalFormatting sqref="B14 B16:B24">
    <cfRule type="cellIs" priority="1" stopIfTrue="1" operator="greaterThan">
      <formula>0</formula>
    </cfRule>
  </conditionalFormatting>
  <printOptions gridLines="1"/>
  <pageMargins left="0.75" right="0.75" top="1" bottom="1" header="0.5" footer="0.5"/>
  <pageSetup scale="10" orientation="landscape" horizontalDpi="1200" verticalDpi="1200" r:id="rId1"/>
  <headerFooter alignWithMargins="0">
    <oddHeader>&amp;L&amp;F&amp;C&amp;A</oddHead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indexed="10"/>
    <pageSetUpPr fitToPage="1"/>
  </sheetPr>
  <dimension ref="A1:C53"/>
  <sheetViews>
    <sheetView zoomScaleNormal="100" workbookViewId="0">
      <selection activeCell="I25" sqref="I25"/>
    </sheetView>
  </sheetViews>
  <sheetFormatPr defaultRowHeight="12.75" x14ac:dyDescent="0.2"/>
  <cols>
    <col min="1" max="1" width="21.42578125" customWidth="1"/>
    <col min="2" max="2" width="23.7109375" customWidth="1"/>
    <col min="3" max="3" width="21.42578125" style="800" customWidth="1"/>
  </cols>
  <sheetData>
    <row r="1" spans="1:3" s="18" customFormat="1" ht="14.25" thickTop="1" thickBot="1" x14ac:dyDescent="0.25">
      <c r="A1" s="112" t="s">
        <v>287</v>
      </c>
      <c r="B1" s="113"/>
      <c r="C1" s="794"/>
    </row>
    <row r="2" spans="1:3" ht="13.5" thickTop="1" x14ac:dyDescent="0.2">
      <c r="A2" s="114" t="s">
        <v>224</v>
      </c>
      <c r="B2" s="115" t="s">
        <v>743</v>
      </c>
      <c r="C2" s="795" t="s">
        <v>224</v>
      </c>
    </row>
    <row r="3" spans="1:3" x14ac:dyDescent="0.2">
      <c r="A3" s="21" t="s">
        <v>223</v>
      </c>
      <c r="B3" s="115" t="s">
        <v>742</v>
      </c>
      <c r="C3" s="796" t="s">
        <v>88</v>
      </c>
    </row>
    <row r="4" spans="1:3" x14ac:dyDescent="0.2">
      <c r="A4" s="116">
        <v>10</v>
      </c>
      <c r="B4" s="117">
        <v>34.799999999999997</v>
      </c>
      <c r="C4" s="797">
        <f>1.942*B4</f>
        <v>67.581599999999995</v>
      </c>
    </row>
    <row r="5" spans="1:3" x14ac:dyDescent="0.2">
      <c r="A5" s="116">
        <v>50</v>
      </c>
      <c r="B5" s="117">
        <v>44.8</v>
      </c>
      <c r="C5" s="797">
        <f>1.942*B5</f>
        <v>87.001599999999996</v>
      </c>
    </row>
    <row r="6" spans="1:3" ht="13.5" thickBot="1" x14ac:dyDescent="0.25">
      <c r="A6" s="116">
        <v>100</v>
      </c>
      <c r="B6" s="117">
        <v>48.7</v>
      </c>
      <c r="C6" s="797">
        <f>1.942*B6</f>
        <v>94.575400000000002</v>
      </c>
    </row>
    <row r="7" spans="1:3" s="18" customFormat="1" ht="14.25" thickTop="1" thickBot="1" x14ac:dyDescent="0.25">
      <c r="A7" s="112" t="s">
        <v>271</v>
      </c>
      <c r="B7" s="113"/>
      <c r="C7" s="798"/>
    </row>
    <row r="8" spans="1:3" ht="13.5" thickTop="1" x14ac:dyDescent="0.2">
      <c r="A8" s="114" t="s">
        <v>224</v>
      </c>
      <c r="B8" s="115" t="s">
        <v>224</v>
      </c>
      <c r="C8" s="795" t="s">
        <v>224</v>
      </c>
    </row>
    <row r="9" spans="1:3" x14ac:dyDescent="0.2">
      <c r="A9" s="21" t="s">
        <v>223</v>
      </c>
      <c r="B9" s="115" t="s">
        <v>742</v>
      </c>
      <c r="C9" s="796" t="s">
        <v>88</v>
      </c>
    </row>
    <row r="10" spans="1:3" x14ac:dyDescent="0.2">
      <c r="A10" s="116">
        <v>10</v>
      </c>
      <c r="B10" s="117">
        <v>41</v>
      </c>
      <c r="C10" s="797">
        <f>1.942*B10</f>
        <v>79.622</v>
      </c>
    </row>
    <row r="11" spans="1:3" x14ac:dyDescent="0.2">
      <c r="A11" s="116">
        <v>50</v>
      </c>
      <c r="B11" s="117">
        <v>57.4</v>
      </c>
      <c r="C11" s="797">
        <f>1.942*B11</f>
        <v>111.4708</v>
      </c>
    </row>
    <row r="12" spans="1:3" ht="13.5" thickBot="1" x14ac:dyDescent="0.25">
      <c r="A12" s="116">
        <v>100</v>
      </c>
      <c r="B12" s="117">
        <v>62.8</v>
      </c>
      <c r="C12" s="797">
        <f>1.942*B12</f>
        <v>121.95759999999999</v>
      </c>
    </row>
    <row r="13" spans="1:3" ht="14.25" thickTop="1" thickBot="1" x14ac:dyDescent="0.25">
      <c r="A13" s="112" t="s">
        <v>286</v>
      </c>
      <c r="B13" s="113"/>
      <c r="C13" s="798"/>
    </row>
    <row r="14" spans="1:3" ht="13.5" thickTop="1" x14ac:dyDescent="0.2">
      <c r="A14" s="114" t="s">
        <v>224</v>
      </c>
      <c r="B14" s="115" t="s">
        <v>224</v>
      </c>
      <c r="C14" s="795" t="s">
        <v>224</v>
      </c>
    </row>
    <row r="15" spans="1:3" x14ac:dyDescent="0.2">
      <c r="A15" s="21" t="s">
        <v>223</v>
      </c>
      <c r="B15" s="115" t="s">
        <v>742</v>
      </c>
      <c r="C15" s="796" t="s">
        <v>88</v>
      </c>
    </row>
    <row r="16" spans="1:3" x14ac:dyDescent="0.2">
      <c r="A16" s="116">
        <v>10</v>
      </c>
      <c r="B16" s="117">
        <v>30.1</v>
      </c>
      <c r="C16" s="797">
        <f>1.942*B16</f>
        <v>58.4542</v>
      </c>
    </row>
    <row r="17" spans="1:3" x14ac:dyDescent="0.2">
      <c r="A17" s="116">
        <v>50</v>
      </c>
      <c r="B17" s="117">
        <v>42.9</v>
      </c>
      <c r="C17" s="797">
        <f>1.942*B17</f>
        <v>83.311799999999991</v>
      </c>
    </row>
    <row r="18" spans="1:3" ht="13.5" thickBot="1" x14ac:dyDescent="0.25">
      <c r="A18" s="116">
        <v>100</v>
      </c>
      <c r="B18" s="117">
        <v>48.2</v>
      </c>
      <c r="C18" s="797">
        <f>1.942*B18</f>
        <v>93.604399999999998</v>
      </c>
    </row>
    <row r="19" spans="1:3" ht="14.25" thickTop="1" thickBot="1" x14ac:dyDescent="0.25">
      <c r="A19" s="112" t="s">
        <v>285</v>
      </c>
      <c r="B19" s="113"/>
      <c r="C19" s="798"/>
    </row>
    <row r="20" spans="1:3" ht="13.5" thickTop="1" x14ac:dyDescent="0.2">
      <c r="A20" s="114" t="s">
        <v>224</v>
      </c>
      <c r="B20" s="115" t="s">
        <v>224</v>
      </c>
      <c r="C20" s="795" t="s">
        <v>224</v>
      </c>
    </row>
    <row r="21" spans="1:3" x14ac:dyDescent="0.2">
      <c r="A21" s="21" t="s">
        <v>223</v>
      </c>
      <c r="B21" s="115" t="s">
        <v>742</v>
      </c>
      <c r="C21" s="796" t="s">
        <v>88</v>
      </c>
    </row>
    <row r="22" spans="1:3" x14ac:dyDescent="0.2">
      <c r="A22" s="116">
        <v>10</v>
      </c>
      <c r="B22" s="117">
        <v>27</v>
      </c>
      <c r="C22" s="797">
        <f>1.942*B22</f>
        <v>52.433999999999997</v>
      </c>
    </row>
    <row r="23" spans="1:3" x14ac:dyDescent="0.2">
      <c r="A23" s="116">
        <v>50</v>
      </c>
      <c r="B23" s="117">
        <v>45.2</v>
      </c>
      <c r="C23" s="797">
        <f>1.942*B23</f>
        <v>87.778400000000005</v>
      </c>
    </row>
    <row r="24" spans="1:3" ht="13.5" thickBot="1" x14ac:dyDescent="0.25">
      <c r="A24" s="116">
        <v>100</v>
      </c>
      <c r="B24" s="117">
        <v>50.8</v>
      </c>
      <c r="C24" s="797">
        <f>1.942*B24</f>
        <v>98.653599999999997</v>
      </c>
    </row>
    <row r="25" spans="1:3" ht="14.25" thickTop="1" thickBot="1" x14ac:dyDescent="0.25">
      <c r="A25" s="112"/>
      <c r="B25" s="113"/>
      <c r="C25" s="798"/>
    </row>
    <row r="26" spans="1:3" ht="13.5" thickTop="1" x14ac:dyDescent="0.2">
      <c r="C26" s="799"/>
    </row>
    <row r="27" spans="1:3" x14ac:dyDescent="0.2">
      <c r="C27" s="799"/>
    </row>
    <row r="28" spans="1:3" x14ac:dyDescent="0.2">
      <c r="C28" s="799"/>
    </row>
    <row r="29" spans="1:3" x14ac:dyDescent="0.2">
      <c r="C29" s="799"/>
    </row>
    <row r="30" spans="1:3" x14ac:dyDescent="0.2">
      <c r="C30" s="799"/>
    </row>
    <row r="31" spans="1:3" x14ac:dyDescent="0.2">
      <c r="C31" s="799"/>
    </row>
    <row r="32" spans="1:3" x14ac:dyDescent="0.2">
      <c r="C32" s="799"/>
    </row>
    <row r="33" spans="3:3" x14ac:dyDescent="0.2">
      <c r="C33" s="799"/>
    </row>
    <row r="34" spans="3:3" x14ac:dyDescent="0.2">
      <c r="C34" s="799"/>
    </row>
    <row r="35" spans="3:3" x14ac:dyDescent="0.2">
      <c r="C35" s="799"/>
    </row>
    <row r="36" spans="3:3" x14ac:dyDescent="0.2">
      <c r="C36" s="799"/>
    </row>
    <row r="37" spans="3:3" x14ac:dyDescent="0.2">
      <c r="C37" s="799"/>
    </row>
    <row r="38" spans="3:3" x14ac:dyDescent="0.2">
      <c r="C38" s="799"/>
    </row>
    <row r="39" spans="3:3" x14ac:dyDescent="0.2">
      <c r="C39" s="799"/>
    </row>
    <row r="40" spans="3:3" x14ac:dyDescent="0.2">
      <c r="C40" s="799"/>
    </row>
    <row r="41" spans="3:3" x14ac:dyDescent="0.2">
      <c r="C41" s="799"/>
    </row>
    <row r="42" spans="3:3" x14ac:dyDescent="0.2">
      <c r="C42" s="799"/>
    </row>
    <row r="50" ht="29.25" customHeight="1" x14ac:dyDescent="0.2"/>
    <row r="51" ht="29.25" customHeight="1" x14ac:dyDescent="0.2"/>
    <row r="52" ht="29.25" customHeight="1" x14ac:dyDescent="0.2"/>
    <row r="53" ht="29.25" customHeight="1" x14ac:dyDescent="0.2"/>
  </sheetData>
  <sheetProtection password="83AF" sheet="1" objects="1" scenarios="1"/>
  <phoneticPr fontId="4" type="noConversion"/>
  <printOptions gridLines="1"/>
  <pageMargins left="0.75" right="0.75" top="1" bottom="1" header="0.5" footer="0.5"/>
  <pageSetup fitToHeight="2" orientation="landscape" horizontalDpi="1200" verticalDpi="1200" r:id="rId1"/>
  <headerFooter alignWithMargins="0">
    <oddHeader>&amp;L&amp;F&amp;C&amp;A</oddHeader>
    <oddFooter>&amp;R&amp;P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M54"/>
  <sheetViews>
    <sheetView showGridLines="0" topLeftCell="B1" zoomScale="75" zoomScaleNormal="75" zoomScaleSheetLayoutView="75" workbookViewId="0">
      <selection activeCell="B23" sqref="B23"/>
    </sheetView>
  </sheetViews>
  <sheetFormatPr defaultRowHeight="12.75" x14ac:dyDescent="0.2"/>
  <cols>
    <col min="1" max="1" width="9.140625" style="487"/>
    <col min="2" max="2" width="11.28515625" style="487" customWidth="1"/>
    <col min="3" max="3" width="20.140625" style="487" customWidth="1"/>
    <col min="4" max="4" width="42.85546875" style="487" customWidth="1"/>
    <col min="5" max="5" width="16.7109375" style="487" customWidth="1"/>
    <col min="6" max="6" width="27" style="487" bestFit="1" customWidth="1"/>
    <col min="7" max="7" width="12.5703125" style="487" customWidth="1"/>
    <col min="8" max="8" width="10.140625" style="487" bestFit="1" customWidth="1"/>
    <col min="9" max="9" width="16" style="487" customWidth="1"/>
    <col min="10" max="10" width="77.28515625" style="492" customWidth="1"/>
    <col min="11" max="11" width="15.85546875" style="487" bestFit="1" customWidth="1"/>
    <col min="12" max="12" width="7.7109375" style="487" customWidth="1"/>
    <col min="13" max="13" width="25" style="487" customWidth="1"/>
    <col min="14" max="16384" width="9.140625" style="487"/>
  </cols>
  <sheetData>
    <row r="1" spans="3:13" ht="13.5" thickBot="1" x14ac:dyDescent="0.25">
      <c r="D1" s="488" t="s">
        <v>693</v>
      </c>
      <c r="J1" s="489"/>
    </row>
    <row r="2" spans="3:13" ht="14.25" thickTop="1" thickBot="1" x14ac:dyDescent="0.25">
      <c r="C2" s="490"/>
      <c r="D2" s="491" t="s">
        <v>164</v>
      </c>
      <c r="E2" s="493"/>
      <c r="J2" s="489"/>
    </row>
    <row r="3" spans="3:13" ht="14.25" thickTop="1" thickBot="1" x14ac:dyDescent="0.25">
      <c r="J3" s="489"/>
    </row>
    <row r="4" spans="3:13" ht="13.5" thickTop="1" x14ac:dyDescent="0.2">
      <c r="C4" s="494" t="s">
        <v>694</v>
      </c>
      <c r="D4" s="480"/>
      <c r="E4" s="495"/>
      <c r="J4" s="489"/>
    </row>
    <row r="5" spans="3:13" x14ac:dyDescent="0.2">
      <c r="C5" s="496" t="s">
        <v>695</v>
      </c>
      <c r="D5" s="481"/>
      <c r="E5" s="497"/>
      <c r="J5" s="489"/>
    </row>
    <row r="6" spans="3:13" ht="38.25" x14ac:dyDescent="0.2">
      <c r="C6" s="496" t="s">
        <v>208</v>
      </c>
      <c r="D6" s="482"/>
      <c r="E6" s="497"/>
      <c r="J6" s="498" t="s">
        <v>1</v>
      </c>
    </row>
    <row r="7" spans="3:13" x14ac:dyDescent="0.2">
      <c r="C7" s="496" t="s">
        <v>229</v>
      </c>
      <c r="D7" s="481"/>
      <c r="E7" s="497"/>
      <c r="J7" s="489"/>
    </row>
    <row r="8" spans="3:13" x14ac:dyDescent="0.2">
      <c r="C8" s="496" t="s">
        <v>165</v>
      </c>
      <c r="D8" s="481"/>
      <c r="E8" s="497"/>
      <c r="J8" s="489"/>
    </row>
    <row r="9" spans="3:13" ht="24.75" customHeight="1" x14ac:dyDescent="0.2">
      <c r="C9" s="496" t="s">
        <v>65</v>
      </c>
      <c r="D9" s="482"/>
      <c r="E9" s="497" t="s">
        <v>222</v>
      </c>
      <c r="J9" s="978" t="s">
        <v>740</v>
      </c>
    </row>
    <row r="10" spans="3:13" ht="25.5" customHeight="1" x14ac:dyDescent="0.2">
      <c r="C10" s="496" t="s">
        <v>64</v>
      </c>
      <c r="D10" s="483"/>
      <c r="E10" s="497"/>
      <c r="J10" s="979"/>
    </row>
    <row r="11" spans="3:13" x14ac:dyDescent="0.2">
      <c r="C11" s="496" t="s">
        <v>231</v>
      </c>
      <c r="D11" s="484"/>
      <c r="E11" s="497"/>
      <c r="J11" s="489"/>
    </row>
    <row r="12" spans="3:13" ht="25.5" customHeight="1" x14ac:dyDescent="0.2">
      <c r="C12" s="496" t="s">
        <v>166</v>
      </c>
      <c r="D12" s="648">
        <v>240</v>
      </c>
      <c r="E12" s="869" t="str">
        <f>IF(D12&lt;32.2,"Lower Limit 32.2 ft (10 m)","Feet")</f>
        <v>Feet</v>
      </c>
      <c r="J12" s="978" t="s">
        <v>660</v>
      </c>
    </row>
    <row r="13" spans="3:13" x14ac:dyDescent="0.2">
      <c r="C13" s="496" t="s">
        <v>298</v>
      </c>
      <c r="D13" s="485"/>
      <c r="E13" s="497" t="s">
        <v>230</v>
      </c>
      <c r="J13" s="979"/>
    </row>
    <row r="14" spans="3:13" ht="38.25" x14ac:dyDescent="0.2">
      <c r="C14" s="496" t="s">
        <v>503</v>
      </c>
      <c r="D14" s="648">
        <v>410</v>
      </c>
      <c r="E14" s="497" t="s">
        <v>152</v>
      </c>
      <c r="J14" s="498" t="s">
        <v>585</v>
      </c>
    </row>
    <row r="15" spans="3:13" x14ac:dyDescent="0.2">
      <c r="C15" s="496" t="s">
        <v>504</v>
      </c>
      <c r="D15" s="648">
        <v>50</v>
      </c>
      <c r="E15" s="497" t="s">
        <v>152</v>
      </c>
      <c r="I15" s="499"/>
      <c r="J15" s="500"/>
      <c r="K15" s="499"/>
      <c r="L15" s="499"/>
      <c r="M15" s="499"/>
    </row>
    <row r="16" spans="3:13" x14ac:dyDescent="0.2">
      <c r="C16" s="496" t="s">
        <v>58</v>
      </c>
      <c r="D16" s="648">
        <v>62.6</v>
      </c>
      <c r="E16" s="497" t="s">
        <v>152</v>
      </c>
      <c r="I16" s="499"/>
      <c r="J16" s="500"/>
      <c r="K16" s="499"/>
      <c r="L16" s="499"/>
      <c r="M16" s="499"/>
    </row>
    <row r="17" spans="2:13" ht="25.5" x14ac:dyDescent="0.2">
      <c r="C17" s="501" t="str">
        <f>IF(Factors!J6=1,"Expected Penetration at full Preload", "Expected Penetration from bottom of mat")</f>
        <v>Expected Penetration at full Preload</v>
      </c>
      <c r="D17" s="648">
        <v>10</v>
      </c>
      <c r="E17" s="497" t="s">
        <v>152</v>
      </c>
      <c r="I17" s="499"/>
      <c r="J17" s="498" t="s">
        <v>3</v>
      </c>
      <c r="K17" s="499"/>
      <c r="L17" s="499"/>
      <c r="M17" s="499"/>
    </row>
    <row r="18" spans="2:13" x14ac:dyDescent="0.2">
      <c r="C18" s="496" t="s">
        <v>167</v>
      </c>
      <c r="D18" s="485"/>
      <c r="E18" s="497" t="s">
        <v>72</v>
      </c>
      <c r="I18" s="499"/>
      <c r="J18" s="500"/>
      <c r="K18" s="499"/>
      <c r="L18" s="499"/>
      <c r="M18" s="499"/>
    </row>
    <row r="19" spans="2:13" ht="25.5" x14ac:dyDescent="0.2">
      <c r="C19" s="496" t="s">
        <v>168</v>
      </c>
      <c r="D19" s="649">
        <v>92</v>
      </c>
      <c r="E19" s="497" t="s">
        <v>72</v>
      </c>
      <c r="I19" s="499"/>
      <c r="J19" s="498" t="s">
        <v>754</v>
      </c>
      <c r="K19" s="499"/>
      <c r="L19" s="499"/>
      <c r="M19" s="499"/>
    </row>
    <row r="20" spans="2:13" x14ac:dyDescent="0.2">
      <c r="C20" s="496" t="s">
        <v>169</v>
      </c>
      <c r="D20" s="484" t="s">
        <v>222</v>
      </c>
      <c r="E20" s="497" t="s">
        <v>152</v>
      </c>
      <c r="I20" s="499"/>
      <c r="J20" s="500"/>
      <c r="K20" s="499"/>
      <c r="L20" s="499"/>
      <c r="M20" s="499"/>
    </row>
    <row r="21" spans="2:13" ht="13.5" thickBot="1" x14ac:dyDescent="0.25">
      <c r="C21" s="502" t="s">
        <v>170</v>
      </c>
      <c r="D21" s="486"/>
      <c r="E21" s="503" t="s">
        <v>152</v>
      </c>
      <c r="I21" s="499"/>
      <c r="J21" s="500"/>
      <c r="K21" s="499"/>
      <c r="L21" s="499"/>
      <c r="M21" s="499"/>
    </row>
    <row r="22" spans="2:13" ht="14.25" thickTop="1" thickBot="1" x14ac:dyDescent="0.25">
      <c r="C22" s="504"/>
      <c r="D22" s="505"/>
      <c r="E22" s="506"/>
      <c r="I22" s="499"/>
      <c r="J22" s="500"/>
      <c r="K22" s="499"/>
      <c r="L22" s="499"/>
      <c r="M22" s="499"/>
    </row>
    <row r="23" spans="2:13" ht="52.5" thickTop="1" thickBot="1" x14ac:dyDescent="0.25">
      <c r="C23" s="507" t="s">
        <v>68</v>
      </c>
      <c r="D23" s="679" t="str">
        <f>IF(Factors!$N$152&gt;0,"Yes","Not in Mudslide Zone")</f>
        <v>Not in Mudslide Zone</v>
      </c>
      <c r="F23" s="508" t="str">
        <f>IF((D23="Yes"),"Please Explain Plans","")</f>
        <v/>
      </c>
      <c r="G23" s="988" t="s">
        <v>13</v>
      </c>
      <c r="H23" s="989"/>
      <c r="I23" s="990"/>
      <c r="J23" s="816" t="s">
        <v>662</v>
      </c>
      <c r="K23" s="509"/>
      <c r="L23" s="509"/>
      <c r="M23" s="509"/>
    </row>
    <row r="24" spans="2:13" ht="39" thickTop="1" x14ac:dyDescent="0.2">
      <c r="C24" s="507" t="s">
        <v>664</v>
      </c>
      <c r="D24" s="822" t="str">
        <f>'LEASEHOLDER Provided Data'!D36</f>
        <v>LOW CONSEQUENCE FROM INFRASTRUCTURE</v>
      </c>
      <c r="E24" s="487" t="s">
        <v>665</v>
      </c>
      <c r="F24" s="510"/>
      <c r="G24" s="511"/>
      <c r="I24" s="499"/>
      <c r="J24" s="498" t="s">
        <v>590</v>
      </c>
      <c r="K24" s="509"/>
      <c r="L24" s="509"/>
      <c r="M24" s="509"/>
    </row>
    <row r="25" spans="2:13" x14ac:dyDescent="0.2">
      <c r="C25" s="504" t="s">
        <v>71</v>
      </c>
      <c r="D25" s="679" t="str">
        <f>IF(OR(D19&lt;82.5,D19&gt;97.5),"Not in Gulf of Mexico",IF(D19&gt;=95,"West",IF(D19&gt;94,"Transition West to West-Central",IF(D19&gt;=90.5,"West Central",IF(D19&gt;89.5,"Transition West-Central to Central",IF(D19&gt;=86.5,"Central",IF(D19&gt;85.5,"Transition East to Central","East")))))))</f>
        <v>West Central</v>
      </c>
      <c r="E25" s="487" t="s">
        <v>666</v>
      </c>
      <c r="I25" s="499"/>
      <c r="J25" s="498" t="s">
        <v>398</v>
      </c>
      <c r="K25" s="509"/>
      <c r="L25" s="509"/>
      <c r="M25" s="509"/>
    </row>
    <row r="26" spans="2:13" ht="7.5" customHeight="1" thickBot="1" x14ac:dyDescent="0.25">
      <c r="C26" s="504"/>
      <c r="D26" s="505"/>
      <c r="E26" s="506"/>
      <c r="I26" s="499"/>
      <c r="J26" s="500"/>
      <c r="K26" s="509"/>
      <c r="L26" s="509"/>
      <c r="M26" s="509"/>
    </row>
    <row r="27" spans="2:13" ht="13.5" thickBot="1" x14ac:dyDescent="0.25">
      <c r="C27" s="504"/>
      <c r="D27" s="512" t="s">
        <v>654</v>
      </c>
      <c r="E27" s="544">
        <v>1976</v>
      </c>
      <c r="F27" s="487" t="s">
        <v>222</v>
      </c>
      <c r="G27" s="513"/>
      <c r="I27" s="499"/>
      <c r="J27" s="500"/>
      <c r="K27" s="509"/>
      <c r="L27" s="509"/>
      <c r="M27" s="509"/>
    </row>
    <row r="28" spans="2:13" ht="13.5" thickBot="1" x14ac:dyDescent="0.25">
      <c r="C28" s="504"/>
      <c r="D28" s="514" t="s">
        <v>655</v>
      </c>
      <c r="E28" s="545">
        <v>250</v>
      </c>
      <c r="I28" s="499"/>
      <c r="J28" s="489"/>
      <c r="K28" s="509"/>
      <c r="L28" s="509"/>
      <c r="M28" s="509"/>
    </row>
    <row r="29" spans="2:13" ht="39" thickBot="1" x14ac:dyDescent="0.25">
      <c r="D29" s="512" t="s">
        <v>729</v>
      </c>
      <c r="E29" s="515">
        <f>STRUCTURE!G5</f>
        <v>41.399999999999977</v>
      </c>
      <c r="F29" s="487" t="s">
        <v>663</v>
      </c>
      <c r="I29" s="499"/>
      <c r="J29" s="498" t="s">
        <v>755</v>
      </c>
      <c r="K29" s="509"/>
      <c r="L29" s="509"/>
      <c r="M29" s="509"/>
    </row>
    <row r="30" spans="2:13" s="516" customFormat="1" ht="6.75" customHeight="1" thickBot="1" x14ac:dyDescent="0.25">
      <c r="C30" s="517"/>
      <c r="D30" s="517"/>
      <c r="I30" s="518"/>
      <c r="J30" s="500"/>
      <c r="K30" s="519"/>
      <c r="L30" s="519"/>
      <c r="M30" s="519"/>
    </row>
    <row r="31" spans="2:13" ht="14.25" thickTop="1" thickBot="1" x14ac:dyDescent="0.25">
      <c r="B31" s="520" t="s">
        <v>222</v>
      </c>
      <c r="C31" s="521" t="s">
        <v>222</v>
      </c>
      <c r="D31" s="522" t="s">
        <v>474</v>
      </c>
      <c r="E31" s="523"/>
      <c r="F31" s="683"/>
      <c r="G31" s="991" t="s">
        <v>494</v>
      </c>
      <c r="H31" s="992"/>
      <c r="I31" s="993"/>
      <c r="J31" s="489"/>
    </row>
    <row r="32" spans="2:13" ht="39.75" thickTop="1" thickBot="1" x14ac:dyDescent="0.25">
      <c r="B32" s="982" t="s">
        <v>375</v>
      </c>
      <c r="C32" s="983"/>
      <c r="D32" s="984"/>
      <c r="E32" s="817"/>
      <c r="F32" s="818" t="str">
        <f>IF(Factors!$J$23=1,"","Please Explain")</f>
        <v/>
      </c>
      <c r="G32" s="944" t="s">
        <v>15</v>
      </c>
      <c r="H32" s="945"/>
      <c r="I32" s="946"/>
      <c r="J32" s="816" t="s">
        <v>756</v>
      </c>
    </row>
    <row r="33" spans="2:11" ht="61.5" customHeight="1" thickTop="1" thickBot="1" x14ac:dyDescent="0.25">
      <c r="B33" s="819"/>
      <c r="C33" s="669" t="s">
        <v>591</v>
      </c>
      <c r="D33" s="506"/>
      <c r="E33" s="528"/>
      <c r="F33" s="726" t="str">
        <f>IF(OR(Factors!$J$57=2,Factors!$J$57=3, Factors!J57=4),"Proceed to Metocean worksheet","")</f>
        <v/>
      </c>
      <c r="G33" s="987" t="s">
        <v>222</v>
      </c>
      <c r="H33" s="987"/>
      <c r="I33" s="987"/>
      <c r="J33" s="816" t="s">
        <v>399</v>
      </c>
      <c r="K33" s="487" t="s">
        <v>222</v>
      </c>
    </row>
    <row r="34" spans="2:11" ht="30" customHeight="1" thickTop="1" thickBot="1" x14ac:dyDescent="0.25">
      <c r="B34" s="961" t="s">
        <v>376</v>
      </c>
      <c r="C34" s="962"/>
      <c r="D34" s="962"/>
      <c r="E34" s="820"/>
      <c r="F34" s="821" t="str">
        <f>IF(Factors!J90=1,"Please Explain Precautions","")</f>
        <v/>
      </c>
      <c r="G34" s="956" t="s">
        <v>4</v>
      </c>
      <c r="H34" s="957"/>
      <c r="I34" s="958"/>
      <c r="J34" s="816" t="s">
        <v>400</v>
      </c>
    </row>
    <row r="35" spans="2:11" ht="6.75" customHeight="1" thickTop="1" thickBot="1" x14ac:dyDescent="0.25">
      <c r="B35" s="526"/>
      <c r="C35" s="492"/>
      <c r="D35" s="492"/>
      <c r="F35" s="524"/>
      <c r="G35" s="524"/>
      <c r="H35" s="524"/>
      <c r="I35" s="524"/>
      <c r="J35" s="489"/>
    </row>
    <row r="36" spans="2:11" ht="14.25" thickTop="1" thickBot="1" x14ac:dyDescent="0.25">
      <c r="B36" s="968" t="s">
        <v>737</v>
      </c>
      <c r="C36" s="969"/>
      <c r="D36" s="969"/>
      <c r="E36" s="969"/>
      <c r="F36" s="969"/>
      <c r="G36" s="969"/>
      <c r="H36" s="969"/>
      <c r="I36" s="970"/>
      <c r="J36" s="489"/>
    </row>
    <row r="37" spans="2:11" ht="32.25" customHeight="1" thickTop="1" thickBot="1" x14ac:dyDescent="0.25">
      <c r="B37" s="985" t="s">
        <v>397</v>
      </c>
      <c r="C37" s="986"/>
      <c r="D37" s="986"/>
      <c r="E37" s="527"/>
      <c r="F37" s="681" t="str">
        <f>IF(Factors!$J$76=2,"Please Explain &amp; Proceed to worksheets","")</f>
        <v/>
      </c>
      <c r="G37" s="944" t="s">
        <v>5</v>
      </c>
      <c r="H37" s="945"/>
      <c r="I37" s="946"/>
      <c r="J37" s="525" t="s">
        <v>752</v>
      </c>
    </row>
    <row r="38" spans="2:11" ht="44.25" customHeight="1" thickTop="1" x14ac:dyDescent="0.2">
      <c r="B38" s="950" t="s">
        <v>714</v>
      </c>
      <c r="C38" s="951"/>
      <c r="D38" s="951"/>
      <c r="E38" s="528"/>
      <c r="F38" s="724" t="str">
        <f>IF(Factors!AE14&gt;9, "Please Explain and/or Provide Return Period used","")</f>
        <v/>
      </c>
      <c r="G38" s="944" t="s">
        <v>16</v>
      </c>
      <c r="H38" s="945"/>
      <c r="I38" s="946"/>
      <c r="J38" s="525" t="s">
        <v>589</v>
      </c>
    </row>
    <row r="39" spans="2:11" ht="48.75" customHeight="1" thickBot="1" x14ac:dyDescent="0.25">
      <c r="B39" s="965" t="str">
        <f>'ASSESSMENT RESULTS'!$A$32</f>
        <v xml:space="preserve">Operator minimum required  Survival Storm (Full Population) was: </v>
      </c>
      <c r="C39" s="966"/>
      <c r="D39" s="966"/>
      <c r="E39" s="825" t="str">
        <f>'ASSESSMENT RESULTS'!$B$32</f>
        <v>10-Yr Int Met</v>
      </c>
      <c r="F39" s="725" t="str">
        <f>IF(Factors!$AE$34=7,"Explanation Given","")</f>
        <v/>
      </c>
      <c r="G39" s="971" t="str">
        <f>'LEASEHOLDER Provided Data'!G37:I37</f>
        <v xml:space="preserve">Leaseholder 4: </v>
      </c>
      <c r="H39" s="972"/>
      <c r="I39" s="973"/>
      <c r="J39" s="525" t="s">
        <v>51</v>
      </c>
    </row>
    <row r="40" spans="2:11" ht="7.5" customHeight="1" thickTop="1" thickBot="1" x14ac:dyDescent="0.25">
      <c r="J40" s="489"/>
    </row>
    <row r="41" spans="2:11" ht="14.25" thickTop="1" thickBot="1" x14ac:dyDescent="0.25">
      <c r="B41" s="952" t="s">
        <v>649</v>
      </c>
      <c r="C41" s="953"/>
      <c r="D41" s="953"/>
      <c r="E41" s="953"/>
      <c r="F41" s="953"/>
      <c r="G41" s="953"/>
      <c r="H41" s="954"/>
      <c r="I41" s="955"/>
      <c r="J41" s="489"/>
    </row>
    <row r="42" spans="2:11" ht="30.75" customHeight="1" thickTop="1" thickBot="1" x14ac:dyDescent="0.25">
      <c r="B42" s="529"/>
      <c r="C42" s="530"/>
      <c r="D42" s="531" t="str">
        <f>IF(Factors!J6=2, "Mat Rig: Please ignore","Is it anticipated there be equal to &lt; 4ft settlement in the GoM Annex Contingency case?")</f>
        <v>Is it anticipated there be equal to &lt; 4ft settlement in the GoM Annex Contingency case?</v>
      </c>
      <c r="E42" s="527"/>
      <c r="F42" s="681" t="str">
        <f>IF(Factors!$AL$12=2,"Please Explain and proceed to Geotech Page","")</f>
        <v/>
      </c>
      <c r="G42" s="944" t="s">
        <v>17</v>
      </c>
      <c r="H42" s="945"/>
      <c r="I42" s="946"/>
      <c r="J42" s="980" t="s">
        <v>757</v>
      </c>
    </row>
    <row r="43" spans="2:11" ht="27" customHeight="1" thickTop="1" x14ac:dyDescent="0.2">
      <c r="B43" s="532"/>
      <c r="C43" s="530"/>
      <c r="D43" s="531" t="str">
        <f>IF(Factors!J6=2, "Mat Rig: Please ignore","Is it anticipated there will be equal to or &lt;6 ft settlement in the GoM Annex Survival case?")</f>
        <v>Is it anticipated there will be equal to or &lt;6 ft settlement in the GoM Annex Survival case?</v>
      </c>
      <c r="E43" s="533"/>
      <c r="F43" s="681" t="str">
        <f>IF(Factors!$J$86=1,"","Please Explain and proceed to Geotech Page")</f>
        <v/>
      </c>
      <c r="G43" s="944" t="s">
        <v>18</v>
      </c>
      <c r="H43" s="945"/>
      <c r="I43" s="946"/>
      <c r="J43" s="981"/>
    </row>
    <row r="44" spans="2:11" ht="48" customHeight="1" thickBot="1" x14ac:dyDescent="0.25">
      <c r="B44" s="963" t="str">
        <f>IF(Factors!J6=2, "Mat Rig: Please ignore","Do you have a Calculated  Load-Penetration curve for the site specific location?" )</f>
        <v>Do you have a Calculated  Load-Penetration curve for the site specific location?</v>
      </c>
      <c r="C44" s="964"/>
      <c r="D44" s="964"/>
      <c r="E44" s="534"/>
      <c r="F44" s="967" t="str">
        <f>IF(AND(Factors!$J$80=2,Factors!$J$6=1), "Go To Geotech worksheet","Please attach Load-Penetration Curve for soils to at least half the spudcan diameter below expected penetration. Show stillwater and preload reactions on the curve")</f>
        <v>Please attach Load-Penetration Curve for soils to at least half the spudcan diameter below expected penetration. Show stillwater and preload reactions on the curve</v>
      </c>
      <c r="G44" s="918"/>
      <c r="H44" s="918"/>
      <c r="I44" s="919"/>
      <c r="J44" s="525" t="s">
        <v>667</v>
      </c>
    </row>
    <row r="45" spans="2:11" ht="47.25" customHeight="1" thickTop="1" thickBot="1" x14ac:dyDescent="0.25">
      <c r="B45" s="959" t="str">
        <f>IF(Factors!J6=2, "Mat Rig: Please ignore","Do any of the following apply making the jack-up prone to possible scour? 
The maximum penetration is &lt; (Max bearing area of spud can + 5ft on sand) AND
High current speed OR  Breaking wave")</f>
        <v>Do any of the following apply making the jack-up prone to possible scour? 
The maximum penetration is &lt; (Max bearing area of spud can + 5ft on sand) AND
High current speed OR  Breaking wave</v>
      </c>
      <c r="C45" s="960"/>
      <c r="D45" s="960"/>
      <c r="E45" s="534"/>
      <c r="F45" s="682" t="str">
        <f>IF(AND(Factors!$J$97=2,Factors!$J$6=1), "Please Explain Mitigation:","")</f>
        <v/>
      </c>
      <c r="G45" s="944" t="s">
        <v>19</v>
      </c>
      <c r="H45" s="945"/>
      <c r="I45" s="946"/>
      <c r="J45" s="525" t="s">
        <v>34</v>
      </c>
    </row>
    <row r="46" spans="2:11" ht="14.25" thickTop="1" thickBot="1" x14ac:dyDescent="0.25">
      <c r="B46" s="506"/>
      <c r="C46" s="506"/>
      <c r="D46" s="535"/>
      <c r="E46" s="506"/>
      <c r="F46" s="506"/>
      <c r="G46" s="506"/>
      <c r="J46" s="489"/>
    </row>
    <row r="47" spans="2:11" ht="14.25" thickTop="1" thickBot="1" x14ac:dyDescent="0.25">
      <c r="B47" s="974" t="s">
        <v>689</v>
      </c>
      <c r="C47" s="975"/>
      <c r="D47" s="975"/>
      <c r="E47" s="975"/>
      <c r="F47" s="975"/>
      <c r="G47" s="975"/>
      <c r="H47" s="976"/>
      <c r="I47" s="977"/>
      <c r="J47" s="489"/>
    </row>
    <row r="48" spans="2:11" s="516" customFormat="1" ht="59.25" customHeight="1" thickTop="1" thickBot="1" x14ac:dyDescent="0.25">
      <c r="B48" s="938" t="str">
        <f>IF(Factors!J6=1,"Independent Leg Rig: Please ignore","Is Soil shear strength &lt;100 psf at mat penetration level?  Note: Flag appears if either answer is YES or if the Value from the Geotech worksheet is below 100 psf)")</f>
        <v>Independent Leg Rig: Please ignore</v>
      </c>
      <c r="C48" s="900"/>
      <c r="D48" s="900"/>
      <c r="E48" s="538"/>
      <c r="F48" s="723" t="str">
        <f>IF(Factors!$J$6=1,"",IF(AND(Factors!J93=2, GEOTECH!B29&lt;100),"Proceed to Geotech Page: Value from Geotech worksheet:", IF(OR(Factors!$J$93=2,'LEASEHOLDER Provided Data'!$D$36="Low Consequence from Infrastructure"),"Value from Geotech Worksheet:","Proceed to Geotech Page: Value from Geotech worksheet:")))</f>
        <v/>
      </c>
      <c r="G48" s="947" t="str">
        <f>IF(Factors!J6=2,GEOTECH!B29,"")</f>
        <v/>
      </c>
      <c r="H48" s="948"/>
      <c r="I48" s="949"/>
      <c r="J48" s="525" t="s">
        <v>401</v>
      </c>
    </row>
    <row r="49" spans="1:10" s="539" customFormat="1" ht="39.75" thickTop="1" thickBot="1" x14ac:dyDescent="0.25">
      <c r="B49" s="536"/>
      <c r="C49" s="537"/>
      <c r="D49" s="672" t="str">
        <f>IF(Factors!J6=1,"Independent Leg Rig: Please ignore","Does the soil consist of Sand with High Current or Breaking Wave?")</f>
        <v>Independent Leg Rig: Please ignore</v>
      </c>
      <c r="E49" s="540"/>
      <c r="F49" s="680" t="str">
        <f>IF(Factors!$J$6=1,"",IF(OR(Factors!$J$72=2,'LEASEHOLDER Provided Data'!$D$36="Low Consequence from Infrastructure"),"","Explain potential to scour"))</f>
        <v/>
      </c>
      <c r="G49" s="944" t="s">
        <v>20</v>
      </c>
      <c r="H49" s="945"/>
      <c r="I49" s="946"/>
      <c r="J49" s="525" t="s">
        <v>402</v>
      </c>
    </row>
    <row r="50" spans="1:10" s="516" customFormat="1" ht="14.25" thickTop="1" thickBot="1" x14ac:dyDescent="0.25">
      <c r="B50" s="508"/>
      <c r="C50" s="508"/>
      <c r="D50" s="508"/>
      <c r="E50" s="508"/>
      <c r="F50" s="508"/>
      <c r="G50" s="508"/>
      <c r="H50" s="518"/>
      <c r="I50" s="518"/>
      <c r="J50" s="489"/>
    </row>
    <row r="51" spans="1:10" s="541" customFormat="1" ht="53.25" customHeight="1" thickTop="1" thickBot="1" x14ac:dyDescent="0.25">
      <c r="B51" s="939" t="s">
        <v>395</v>
      </c>
      <c r="C51" s="940"/>
      <c r="D51" s="941" t="s">
        <v>222</v>
      </c>
      <c r="E51" s="942"/>
      <c r="F51" s="942"/>
      <c r="G51" s="943"/>
      <c r="J51" s="498" t="s">
        <v>758</v>
      </c>
    </row>
    <row r="52" spans="1:10" s="541" customFormat="1" ht="18" customHeight="1" thickTop="1" x14ac:dyDescent="0.2">
      <c r="A52" s="506"/>
      <c r="B52" s="506"/>
      <c r="C52" s="506"/>
      <c r="D52" s="506"/>
      <c r="E52" s="506"/>
      <c r="J52" s="542"/>
    </row>
    <row r="53" spans="1:10" ht="15.75" x14ac:dyDescent="0.2">
      <c r="B53" s="543"/>
    </row>
    <row r="54" spans="1:10" ht="15.75" x14ac:dyDescent="0.2">
      <c r="B54" s="543"/>
    </row>
  </sheetData>
  <sheetProtection password="83AF" sheet="1" objects="1" scenarios="1" formatCells="0" formatRows="0"/>
  <mergeCells count="30">
    <mergeCell ref="G33:I33"/>
    <mergeCell ref="G23:I23"/>
    <mergeCell ref="G31:I31"/>
    <mergeCell ref="G32:I32"/>
    <mergeCell ref="G37:I37"/>
    <mergeCell ref="B36:I36"/>
    <mergeCell ref="G39:I39"/>
    <mergeCell ref="G45:I45"/>
    <mergeCell ref="B47:I47"/>
    <mergeCell ref="J9:J10"/>
    <mergeCell ref="J12:J13"/>
    <mergeCell ref="J42:J43"/>
    <mergeCell ref="B32:D32"/>
    <mergeCell ref="B37:D37"/>
    <mergeCell ref="B38:D38"/>
    <mergeCell ref="G43:I43"/>
    <mergeCell ref="B41:I41"/>
    <mergeCell ref="G38:I38"/>
    <mergeCell ref="G34:I34"/>
    <mergeCell ref="B45:D45"/>
    <mergeCell ref="B34:D34"/>
    <mergeCell ref="B44:D44"/>
    <mergeCell ref="B39:D39"/>
    <mergeCell ref="F44:I44"/>
    <mergeCell ref="B48:D48"/>
    <mergeCell ref="B51:C51"/>
    <mergeCell ref="D51:G51"/>
    <mergeCell ref="G49:I49"/>
    <mergeCell ref="G48:I48"/>
    <mergeCell ref="G42:I42"/>
  </mergeCells>
  <phoneticPr fontId="4" type="noConversion"/>
  <conditionalFormatting sqref="B41 B47 B49:B50">
    <cfRule type="cellIs" dxfId="195" priority="1" stopIfTrue="1" operator="equal">
      <formula>"Please complete this Block of Questions for this Independent Leg Jack-Up"</formula>
    </cfRule>
    <cfRule type="cellIs" dxfId="194" priority="2" stopIfTrue="1" operator="equal">
      <formula>"Please ignore this block of questions for Mat Supported Jack-Up"</formula>
    </cfRule>
  </conditionalFormatting>
  <conditionalFormatting sqref="F42:F43">
    <cfRule type="cellIs" dxfId="193" priority="3" stopIfTrue="1" operator="equal">
      <formula>"Please Explain and proceed to Geotech Page"</formula>
    </cfRule>
    <cfRule type="cellIs" dxfId="192" priority="4" stopIfTrue="1" operator="equal">
      <formula>""</formula>
    </cfRule>
  </conditionalFormatting>
  <conditionalFormatting sqref="F32">
    <cfRule type="cellIs" dxfId="191" priority="5" stopIfTrue="1" operator="equal">
      <formula>"Please Explain"</formula>
    </cfRule>
    <cfRule type="cellIs" dxfId="190" priority="6" stopIfTrue="1" operator="equal">
      <formula>""</formula>
    </cfRule>
  </conditionalFormatting>
  <conditionalFormatting sqref="F37">
    <cfRule type="cellIs" dxfId="189" priority="7" stopIfTrue="1" operator="equal">
      <formula>"Please Explain &amp; Proceed to worksheets"</formula>
    </cfRule>
    <cfRule type="cellIs" dxfId="188" priority="8" stopIfTrue="1" operator="equal">
      <formula>""</formula>
    </cfRule>
  </conditionalFormatting>
  <conditionalFormatting sqref="F45">
    <cfRule type="cellIs" dxfId="187" priority="9" stopIfTrue="1" operator="equal">
      <formula>"Please Explain Mitigation:"</formula>
    </cfRule>
    <cfRule type="cellIs" dxfId="186" priority="10" stopIfTrue="1" operator="equal">
      <formula>""</formula>
    </cfRule>
  </conditionalFormatting>
  <conditionalFormatting sqref="F38">
    <cfRule type="cellIs" dxfId="185" priority="11" stopIfTrue="1" operator="equal">
      <formula>"Please Explain and/or Provide Return Period used"</formula>
    </cfRule>
  </conditionalFormatting>
  <conditionalFormatting sqref="F48">
    <cfRule type="cellIs" dxfId="184" priority="12" stopIfTrue="1" operator="equal">
      <formula>"Proceed to Geotech Page: Value from Geotech worksheet:"</formula>
    </cfRule>
    <cfRule type="cellIs" dxfId="183" priority="13" stopIfTrue="1" operator="equal">
      <formula>""</formula>
    </cfRule>
  </conditionalFormatting>
  <conditionalFormatting sqref="F49">
    <cfRule type="cellIs" dxfId="182" priority="14" stopIfTrue="1" operator="equal">
      <formula>"Explain Potential to Scour"</formula>
    </cfRule>
    <cfRule type="cellIs" dxfId="181" priority="15" stopIfTrue="1" operator="equal">
      <formula>""</formula>
    </cfRule>
  </conditionalFormatting>
  <conditionalFormatting sqref="G33:I33">
    <cfRule type="cellIs" dxfId="180" priority="16" stopIfTrue="1" operator="equal">
      <formula>"Complies with API 95J"</formula>
    </cfRule>
    <cfRule type="cellIs" dxfId="179" priority="17" stopIfTrue="1" operator="equal">
      <formula>"No: Provide Site Specific Data or Explain"</formula>
    </cfRule>
  </conditionalFormatting>
  <conditionalFormatting sqref="F33">
    <cfRule type="cellIs" dxfId="178" priority="18" stopIfTrue="1" operator="equal">
      <formula>"Proceed to Metocean worksheet"</formula>
    </cfRule>
    <cfRule type="cellIs" dxfId="177" priority="19" stopIfTrue="1" operator="equal">
      <formula>""</formula>
    </cfRule>
  </conditionalFormatting>
  <conditionalFormatting sqref="E31:E32">
    <cfRule type="cellIs" dxfId="176" priority="20" stopIfTrue="1" operator="equal">
      <formula>"Submit Report"</formula>
    </cfRule>
  </conditionalFormatting>
  <conditionalFormatting sqref="F31">
    <cfRule type="cellIs" dxfId="175" priority="21" stopIfTrue="1" operator="equal">
      <formula>1</formula>
    </cfRule>
  </conditionalFormatting>
  <conditionalFormatting sqref="D30 D26">
    <cfRule type="cellIs" dxfId="174" priority="22" stopIfTrue="1" operator="equal">
      <formula>"Central"</formula>
    </cfRule>
  </conditionalFormatting>
  <conditionalFormatting sqref="F24">
    <cfRule type="cellIs" dxfId="173" priority="23" stopIfTrue="1" operator="equal">
      <formula>"Please Explain Plans"</formula>
    </cfRule>
  </conditionalFormatting>
  <conditionalFormatting sqref="D23 D25">
    <cfRule type="cellIs" dxfId="172" priority="24" stopIfTrue="1" operator="equal">
      <formula>"Yes"</formula>
    </cfRule>
  </conditionalFormatting>
  <conditionalFormatting sqref="G27">
    <cfRule type="cellIs" dxfId="171" priority="25" stopIfTrue="1" operator="equal">
      <formula>"CAUTION"</formula>
    </cfRule>
  </conditionalFormatting>
  <conditionalFormatting sqref="F23">
    <cfRule type="cellIs" dxfId="170" priority="26" stopIfTrue="1" operator="equal">
      <formula>"Please Explain Plans"</formula>
    </cfRule>
  </conditionalFormatting>
  <conditionalFormatting sqref="E29">
    <cfRule type="cellIs" dxfId="169" priority="27" stopIfTrue="1" operator="greaterThan">
      <formula>6</formula>
    </cfRule>
    <cfRule type="cellIs" dxfId="168" priority="28" stopIfTrue="1" operator="lessThan">
      <formula>5.99</formula>
    </cfRule>
  </conditionalFormatting>
  <conditionalFormatting sqref="D24">
    <cfRule type="cellIs" dxfId="167" priority="29" stopIfTrue="1" operator="equal">
      <formula>"LOW CONSEQUENCE FROM INFRASTRUCTURE"</formula>
    </cfRule>
    <cfRule type="cellIs" dxfId="166" priority="30" stopIfTrue="1" operator="equal">
      <formula>"MEDIUM CONSEQUENCE FROM INFRASTRUCTURE"</formula>
    </cfRule>
    <cfRule type="cellIs" dxfId="165" priority="31" stopIfTrue="1" operator="equal">
      <formula>"HIGH CONSEQUENCE FROM INFRASTRUCTURE"</formula>
    </cfRule>
  </conditionalFormatting>
  <conditionalFormatting sqref="F44:I44">
    <cfRule type="cellIs" dxfId="164" priority="32" stopIfTrue="1" operator="equal">
      <formula>"Go to Geotech worksheet"</formula>
    </cfRule>
    <cfRule type="cellIs" dxfId="163" priority="33" stopIfTrue="1" operator="notEqual">
      <formula>"Go to Geotech Sheet"</formula>
    </cfRule>
  </conditionalFormatting>
  <conditionalFormatting sqref="E12">
    <cfRule type="cellIs" dxfId="162" priority="34" stopIfTrue="1" operator="equal">
      <formula>"Lower Limit 32.2 ft (10 m)"</formula>
    </cfRule>
  </conditionalFormatting>
  <conditionalFormatting sqref="F34">
    <cfRule type="cellIs" dxfId="161" priority="35" stopIfTrue="1" operator="equal">
      <formula>"Please Explain Precautions"</formula>
    </cfRule>
    <cfRule type="cellIs" dxfId="160" priority="36" stopIfTrue="1" operator="equal">
      <formula>""</formula>
    </cfRule>
  </conditionalFormatting>
  <dataValidations count="4">
    <dataValidation allowBlank="1" showInputMessage="1" showErrorMessage="1" prompt="Survival Case requires Full Population Hurricanes_x000a__x000a_" sqref="B38:D38"/>
    <dataValidation allowBlank="1" showInputMessage="1" showErrorMessage="1" promptTitle="Manned Condition" prompt="These are possible manned conditions based on GOM Annex cases: thus it is a life-safety issue that these conditions can be met or appropriate plans made._x000a_" sqref="G37:I37"/>
    <dataValidation allowBlank="1" showInputMessage="1" showErrorMessage="1" promptTitle="For Mat Rig" prompt="From bottom of mat,_x000a_Not from bottom of skirt_x000a_" sqref="D17"/>
    <dataValidation allowBlank="1" showInputMessage="1" showErrorMessage="1" prompt="6 ft is used as the contingency limit that will flag the cell_x000a__x000a_" sqref="E29"/>
  </dataValidations>
  <pageMargins left="0.75" right="0.27" top="0.67" bottom="0.59" header="0.35" footer="0.5"/>
  <pageSetup scale="58" orientation="portrait" horizontalDpi="1200" verticalDpi="1200" r:id="rId1"/>
  <headerFooter alignWithMargins="0">
    <oddHeader>&amp;L&amp;F&amp;C&amp;A</oddHeader>
    <oddFooter>&amp;R&amp;P</oddFooter>
  </headerFooter>
  <rowBreaks count="1" manualBreakCount="1">
    <brk id="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9" r:id="rId4" name="Drop Down 7">
              <controlPr defaultSize="0" autoLine="0" autoPict="0">
                <anchor moveWithCells="1">
                  <from>
                    <xdr:col>3</xdr:col>
                    <xdr:colOff>647700</xdr:colOff>
                    <xdr:row>5</xdr:row>
                    <xdr:rowOff>142875</xdr:rowOff>
                  </from>
                  <to>
                    <xdr:col>3</xdr:col>
                    <xdr:colOff>2028825</xdr:colOff>
                    <xdr:row>5</xdr:row>
                    <xdr:rowOff>352425</xdr:rowOff>
                  </to>
                </anchor>
              </controlPr>
            </control>
          </mc:Choice>
        </mc:AlternateContent>
        <mc:AlternateContent xmlns:mc="http://schemas.openxmlformats.org/markup-compatibility/2006">
          <mc:Choice Requires="x14">
            <control shapeId="3080" r:id="rId5" name="Drop Down 8">
              <controlPr defaultSize="0" autoLine="0" autoPict="0">
                <anchor moveWithCells="1">
                  <from>
                    <xdr:col>3</xdr:col>
                    <xdr:colOff>647700</xdr:colOff>
                    <xdr:row>8</xdr:row>
                    <xdr:rowOff>47625</xdr:rowOff>
                  </from>
                  <to>
                    <xdr:col>3</xdr:col>
                    <xdr:colOff>2028825</xdr:colOff>
                    <xdr:row>8</xdr:row>
                    <xdr:rowOff>247650</xdr:rowOff>
                  </to>
                </anchor>
              </controlPr>
            </control>
          </mc:Choice>
        </mc:AlternateContent>
        <mc:AlternateContent xmlns:mc="http://schemas.openxmlformats.org/markup-compatibility/2006">
          <mc:Choice Requires="x14">
            <control shapeId="3081" r:id="rId6" name="Drop Down 9">
              <controlPr defaultSize="0" autoLine="0" autoPict="0">
                <anchor moveWithCells="1">
                  <from>
                    <xdr:col>3</xdr:col>
                    <xdr:colOff>866775</xdr:colOff>
                    <xdr:row>9</xdr:row>
                    <xdr:rowOff>47625</xdr:rowOff>
                  </from>
                  <to>
                    <xdr:col>3</xdr:col>
                    <xdr:colOff>1819275</xdr:colOff>
                    <xdr:row>9</xdr:row>
                    <xdr:rowOff>247650</xdr:rowOff>
                  </to>
                </anchor>
              </controlPr>
            </control>
          </mc:Choice>
        </mc:AlternateContent>
        <mc:AlternateContent xmlns:mc="http://schemas.openxmlformats.org/markup-compatibility/2006">
          <mc:Choice Requires="x14">
            <control shapeId="3114" r:id="rId7" name="Drop Down 42">
              <controlPr locked="0" defaultSize="0" autoLine="0" autoPict="0">
                <anchor moveWithCells="1">
                  <from>
                    <xdr:col>4</xdr:col>
                    <xdr:colOff>114300</xdr:colOff>
                    <xdr:row>31</xdr:row>
                    <xdr:rowOff>104775</xdr:rowOff>
                  </from>
                  <to>
                    <xdr:col>4</xdr:col>
                    <xdr:colOff>952500</xdr:colOff>
                    <xdr:row>31</xdr:row>
                    <xdr:rowOff>381000</xdr:rowOff>
                  </to>
                </anchor>
              </controlPr>
            </control>
          </mc:Choice>
        </mc:AlternateContent>
        <mc:AlternateContent xmlns:mc="http://schemas.openxmlformats.org/markup-compatibility/2006">
          <mc:Choice Requires="x14">
            <control shapeId="3126" r:id="rId8" name="Drop Down 54">
              <controlPr defaultSize="0" autoLine="0" autoPict="0">
                <anchor moveWithCells="1">
                  <from>
                    <xdr:col>3</xdr:col>
                    <xdr:colOff>2562225</xdr:colOff>
                    <xdr:row>32</xdr:row>
                    <xdr:rowOff>228600</xdr:rowOff>
                  </from>
                  <to>
                    <xdr:col>4</xdr:col>
                    <xdr:colOff>1076325</xdr:colOff>
                    <xdr:row>32</xdr:row>
                    <xdr:rowOff>495300</xdr:rowOff>
                  </to>
                </anchor>
              </controlPr>
            </control>
          </mc:Choice>
        </mc:AlternateContent>
        <mc:AlternateContent xmlns:mc="http://schemas.openxmlformats.org/markup-compatibility/2006">
          <mc:Choice Requires="x14">
            <control shapeId="3127" r:id="rId9" name="Drop Down 55">
              <controlPr defaultSize="0" autoLine="0" autoPict="0">
                <anchor moveWithCells="1">
                  <from>
                    <xdr:col>4</xdr:col>
                    <xdr:colOff>180975</xdr:colOff>
                    <xdr:row>42</xdr:row>
                    <xdr:rowOff>66675</xdr:rowOff>
                  </from>
                  <to>
                    <xdr:col>4</xdr:col>
                    <xdr:colOff>1028700</xdr:colOff>
                    <xdr:row>42</xdr:row>
                    <xdr:rowOff>314325</xdr:rowOff>
                  </to>
                </anchor>
              </controlPr>
            </control>
          </mc:Choice>
        </mc:AlternateContent>
        <mc:AlternateContent xmlns:mc="http://schemas.openxmlformats.org/markup-compatibility/2006">
          <mc:Choice Requires="x14">
            <control shapeId="3128" r:id="rId10" name="Drop Down 56">
              <controlPr defaultSize="0" autoLine="0" autoPict="0">
                <anchor moveWithCells="1">
                  <from>
                    <xdr:col>4</xdr:col>
                    <xdr:colOff>161925</xdr:colOff>
                    <xdr:row>36</xdr:row>
                    <xdr:rowOff>104775</xdr:rowOff>
                  </from>
                  <to>
                    <xdr:col>4</xdr:col>
                    <xdr:colOff>990600</xdr:colOff>
                    <xdr:row>36</xdr:row>
                    <xdr:rowOff>352425</xdr:rowOff>
                  </to>
                </anchor>
              </controlPr>
            </control>
          </mc:Choice>
        </mc:AlternateContent>
        <mc:AlternateContent xmlns:mc="http://schemas.openxmlformats.org/markup-compatibility/2006">
          <mc:Choice Requires="x14">
            <control shapeId="3129" r:id="rId11" name="Drop Down 57">
              <controlPr defaultSize="0" autoLine="0" autoPict="0">
                <anchor moveWithCells="1" sizeWithCells="1">
                  <from>
                    <xdr:col>18</xdr:col>
                    <xdr:colOff>2667000</xdr:colOff>
                    <xdr:row>36</xdr:row>
                    <xdr:rowOff>0</xdr:rowOff>
                  </from>
                  <to>
                    <xdr:col>20</xdr:col>
                    <xdr:colOff>28575</xdr:colOff>
                    <xdr:row>36</xdr:row>
                    <xdr:rowOff>0</xdr:rowOff>
                  </to>
                </anchor>
              </controlPr>
            </control>
          </mc:Choice>
        </mc:AlternateContent>
        <mc:AlternateContent xmlns:mc="http://schemas.openxmlformats.org/markup-compatibility/2006">
          <mc:Choice Requires="x14">
            <control shapeId="3131" r:id="rId12" name="Drop Down 59">
              <controlPr defaultSize="0" autoLine="0" autoPict="0">
                <anchor moveWithCells="1">
                  <from>
                    <xdr:col>4</xdr:col>
                    <xdr:colOff>190500</xdr:colOff>
                    <xdr:row>41</xdr:row>
                    <xdr:rowOff>38100</xdr:rowOff>
                  </from>
                  <to>
                    <xdr:col>4</xdr:col>
                    <xdr:colOff>1019175</xdr:colOff>
                    <xdr:row>41</xdr:row>
                    <xdr:rowOff>295275</xdr:rowOff>
                  </to>
                </anchor>
              </controlPr>
            </control>
          </mc:Choice>
        </mc:AlternateContent>
        <mc:AlternateContent xmlns:mc="http://schemas.openxmlformats.org/markup-compatibility/2006">
          <mc:Choice Requires="x14">
            <control shapeId="3132" r:id="rId13" name="Drop Down 60">
              <controlPr defaultSize="0" autoLine="0" autoPict="0">
                <anchor moveWithCells="1">
                  <from>
                    <xdr:col>4</xdr:col>
                    <xdr:colOff>104775</xdr:colOff>
                    <xdr:row>33</xdr:row>
                    <xdr:rowOff>66675</xdr:rowOff>
                  </from>
                  <to>
                    <xdr:col>4</xdr:col>
                    <xdr:colOff>981075</xdr:colOff>
                    <xdr:row>33</xdr:row>
                    <xdr:rowOff>285750</xdr:rowOff>
                  </to>
                </anchor>
              </controlPr>
            </control>
          </mc:Choice>
        </mc:AlternateContent>
        <mc:AlternateContent xmlns:mc="http://schemas.openxmlformats.org/markup-compatibility/2006">
          <mc:Choice Requires="x14">
            <control shapeId="3140" r:id="rId14" name="Drop Down 68">
              <controlPr locked="0" defaultSize="0" autoLine="0" autoPict="0">
                <anchor moveWithCells="1">
                  <from>
                    <xdr:col>4</xdr:col>
                    <xdr:colOff>161925</xdr:colOff>
                    <xdr:row>44</xdr:row>
                    <xdr:rowOff>200025</xdr:rowOff>
                  </from>
                  <to>
                    <xdr:col>4</xdr:col>
                    <xdr:colOff>1019175</xdr:colOff>
                    <xdr:row>44</xdr:row>
                    <xdr:rowOff>447675</xdr:rowOff>
                  </to>
                </anchor>
              </controlPr>
            </control>
          </mc:Choice>
        </mc:AlternateContent>
        <mc:AlternateContent xmlns:mc="http://schemas.openxmlformats.org/markup-compatibility/2006">
          <mc:Choice Requires="x14">
            <control shapeId="3142" r:id="rId15" name="Drop Down 70">
              <controlPr locked="0" defaultSize="0" autoLine="0" autoPict="0">
                <anchor moveWithCells="1">
                  <from>
                    <xdr:col>4</xdr:col>
                    <xdr:colOff>171450</xdr:colOff>
                    <xdr:row>43</xdr:row>
                    <xdr:rowOff>57150</xdr:rowOff>
                  </from>
                  <to>
                    <xdr:col>4</xdr:col>
                    <xdr:colOff>1019175</xdr:colOff>
                    <xdr:row>43</xdr:row>
                    <xdr:rowOff>304800</xdr:rowOff>
                  </to>
                </anchor>
              </controlPr>
            </control>
          </mc:Choice>
        </mc:AlternateContent>
        <mc:AlternateContent xmlns:mc="http://schemas.openxmlformats.org/markup-compatibility/2006">
          <mc:Choice Requires="x14">
            <control shapeId="3143" r:id="rId16" name="Drop Down 71">
              <controlPr defaultSize="0" autoLine="0" autoPict="0">
                <anchor moveWithCells="1">
                  <from>
                    <xdr:col>4</xdr:col>
                    <xdr:colOff>123825</xdr:colOff>
                    <xdr:row>47</xdr:row>
                    <xdr:rowOff>190500</xdr:rowOff>
                  </from>
                  <to>
                    <xdr:col>4</xdr:col>
                    <xdr:colOff>981075</xdr:colOff>
                    <xdr:row>47</xdr:row>
                    <xdr:rowOff>438150</xdr:rowOff>
                  </to>
                </anchor>
              </controlPr>
            </control>
          </mc:Choice>
        </mc:AlternateContent>
        <mc:AlternateContent xmlns:mc="http://schemas.openxmlformats.org/markup-compatibility/2006">
          <mc:Choice Requires="x14">
            <control shapeId="3144" r:id="rId17" name="Drop Down 72">
              <controlPr defaultSize="0" autoLine="0" autoPict="0">
                <anchor moveWithCells="1" sizeWithCells="1">
                  <from>
                    <xdr:col>4</xdr:col>
                    <xdr:colOff>142875</xdr:colOff>
                    <xdr:row>48</xdr:row>
                    <xdr:rowOff>142875</xdr:rowOff>
                  </from>
                  <to>
                    <xdr:col>4</xdr:col>
                    <xdr:colOff>990600</xdr:colOff>
                    <xdr:row>48</xdr:row>
                    <xdr:rowOff>390525</xdr:rowOff>
                  </to>
                </anchor>
              </controlPr>
            </control>
          </mc:Choice>
        </mc:AlternateContent>
        <mc:AlternateContent xmlns:mc="http://schemas.openxmlformats.org/markup-compatibility/2006">
          <mc:Choice Requires="x14">
            <control shapeId="3145" r:id="rId18" name="Drop Down 73">
              <controlPr defaultSize="0" autoLine="0" autoPict="0">
                <anchor moveWithCells="1">
                  <from>
                    <xdr:col>3</xdr:col>
                    <xdr:colOff>2667000</xdr:colOff>
                    <xdr:row>37</xdr:row>
                    <xdr:rowOff>142875</xdr:rowOff>
                  </from>
                  <to>
                    <xdr:col>4</xdr:col>
                    <xdr:colOff>1095375</xdr:colOff>
                    <xdr:row>37</xdr:row>
                    <xdr:rowOff>390525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2"/>
  </sheetPr>
  <dimension ref="A1:P63"/>
  <sheetViews>
    <sheetView topLeftCell="A51" zoomScaleNormal="100" zoomScaleSheetLayoutView="100" workbookViewId="0">
      <selection activeCell="E54" sqref="E54"/>
    </sheetView>
  </sheetViews>
  <sheetFormatPr defaultRowHeight="12.75" x14ac:dyDescent="0.2"/>
  <cols>
    <col min="1" max="1" width="9.42578125" style="66" customWidth="1"/>
    <col min="2" max="2" width="21.85546875" style="51" customWidth="1"/>
    <col min="3" max="3" width="26.5703125" style="51" customWidth="1"/>
    <col min="4" max="4" width="24" style="51" customWidth="1"/>
    <col min="5" max="5" width="18.85546875" style="51" customWidth="1"/>
    <col min="6" max="6" width="28.42578125" style="51" customWidth="1"/>
    <col min="7" max="7" width="8.85546875" style="51" customWidth="1"/>
    <col min="8" max="8" width="9.140625" style="51"/>
    <col min="9" max="9" width="21.42578125" style="51" customWidth="1"/>
    <col min="10" max="10" width="72" style="437" customWidth="1"/>
    <col min="11" max="16384" width="9.140625" style="51"/>
  </cols>
  <sheetData>
    <row r="1" spans="1:16" ht="13.5" thickBot="1" x14ac:dyDescent="0.25">
      <c r="A1" s="89"/>
      <c r="B1" s="69"/>
      <c r="D1" s="439" t="s">
        <v>730</v>
      </c>
      <c r="E1" s="69"/>
      <c r="F1" s="69"/>
      <c r="G1" s="69"/>
    </row>
    <row r="2" spans="1:16" ht="42.75" customHeight="1" thickTop="1" thickBot="1" x14ac:dyDescent="0.25">
      <c r="A2" s="51"/>
      <c r="B2" s="89"/>
      <c r="C2" s="1030" t="s">
        <v>32</v>
      </c>
      <c r="D2" s="1018"/>
      <c r="E2" s="1018"/>
      <c r="F2" s="1019"/>
      <c r="G2" s="69"/>
      <c r="H2" s="69"/>
    </row>
    <row r="3" spans="1:16" ht="14.25" thickTop="1" thickBot="1" x14ac:dyDescent="0.25">
      <c r="A3" s="89"/>
      <c r="B3" s="69" t="s">
        <v>222</v>
      </c>
      <c r="C3" s="69"/>
      <c r="D3" s="69"/>
      <c r="E3" s="69"/>
      <c r="F3" s="69"/>
      <c r="G3" s="69"/>
    </row>
    <row r="4" spans="1:16" ht="14.25" thickTop="1" thickBot="1" x14ac:dyDescent="0.25">
      <c r="A4" s="51"/>
      <c r="B4" s="1089" t="s">
        <v>464</v>
      </c>
      <c r="C4" s="1090"/>
      <c r="D4" s="1090"/>
      <c r="E4" s="1090"/>
      <c r="F4" s="1091"/>
      <c r="G4" s="335" t="s">
        <v>426</v>
      </c>
      <c r="H4" s="1087" t="s">
        <v>452</v>
      </c>
      <c r="I4" s="1088"/>
      <c r="J4" s="225"/>
      <c r="K4" s="157"/>
      <c r="L4" s="157"/>
    </row>
    <row r="5" spans="1:16" ht="27" customHeight="1" thickTop="1" x14ac:dyDescent="0.2">
      <c r="A5" s="51"/>
      <c r="B5" s="1097" t="s">
        <v>493</v>
      </c>
      <c r="C5" s="367"/>
      <c r="D5" s="368" t="s">
        <v>171</v>
      </c>
      <c r="E5" s="684"/>
      <c r="F5" s="80"/>
      <c r="G5" s="364" t="s">
        <v>357</v>
      </c>
      <c r="H5" s="365">
        <v>39600</v>
      </c>
      <c r="I5" s="366">
        <v>39782</v>
      </c>
      <c r="J5" s="1100"/>
      <c r="K5" s="1100"/>
      <c r="L5" s="157"/>
    </row>
    <row r="6" spans="1:16" ht="16.5" customHeight="1" x14ac:dyDescent="0.2">
      <c r="A6" s="51"/>
      <c r="B6" s="1098"/>
      <c r="C6" s="369"/>
      <c r="D6" s="313" t="s">
        <v>207</v>
      </c>
      <c r="E6" s="74"/>
      <c r="F6" s="74"/>
      <c r="G6" s="234" t="s">
        <v>354</v>
      </c>
      <c r="H6" s="333">
        <f>H5</f>
        <v>39600</v>
      </c>
      <c r="I6" s="334">
        <f>H7</f>
        <v>39661</v>
      </c>
      <c r="J6" s="447"/>
      <c r="K6" s="229"/>
      <c r="L6" s="157"/>
    </row>
    <row r="7" spans="1:16" x14ac:dyDescent="0.2">
      <c r="A7" s="51"/>
      <c r="B7" s="1098"/>
      <c r="C7" s="369"/>
      <c r="D7" s="370" t="s">
        <v>651</v>
      </c>
      <c r="E7" s="874">
        <f>IF(Factors!$H$37&gt;Factors!$H$36,Factors!$H$37-Factors!$H$36,365-Factors!$H$36+Factors!$H$37)</f>
        <v>208</v>
      </c>
      <c r="F7" s="74" t="s">
        <v>163</v>
      </c>
      <c r="G7" s="234" t="s">
        <v>355</v>
      </c>
      <c r="H7" s="333">
        <v>39661</v>
      </c>
      <c r="I7" s="334">
        <v>39741</v>
      </c>
      <c r="J7" s="447"/>
      <c r="K7" s="228"/>
      <c r="L7" s="157"/>
    </row>
    <row r="8" spans="1:16" ht="25.5" x14ac:dyDescent="0.2">
      <c r="A8" s="51"/>
      <c r="B8" s="1098"/>
      <c r="C8" s="369"/>
      <c r="D8" s="313" t="s">
        <v>652</v>
      </c>
      <c r="E8" s="874" t="str">
        <f>Factors!$F$58</f>
        <v>Yes</v>
      </c>
      <c r="F8" s="74"/>
      <c r="G8" s="234" t="s">
        <v>356</v>
      </c>
      <c r="H8" s="333">
        <f>I7</f>
        <v>39741</v>
      </c>
      <c r="I8" s="334">
        <v>39782</v>
      </c>
      <c r="J8" s="447"/>
      <c r="K8" s="228"/>
      <c r="L8" s="157"/>
    </row>
    <row r="9" spans="1:16" ht="26.25" thickBot="1" x14ac:dyDescent="0.25">
      <c r="A9" s="51"/>
      <c r="B9" s="1099"/>
      <c r="C9" s="371"/>
      <c r="D9" s="372" t="s">
        <v>653</v>
      </c>
      <c r="E9" s="875" t="str">
        <f>Factors!$F$59</f>
        <v>Yes</v>
      </c>
      <c r="F9" s="77"/>
      <c r="G9" s="336" t="s">
        <v>425</v>
      </c>
      <c r="H9" s="337">
        <f>I8</f>
        <v>39782</v>
      </c>
      <c r="I9" s="338">
        <v>39965</v>
      </c>
      <c r="J9" s="447"/>
      <c r="K9" s="228"/>
      <c r="L9" s="157"/>
      <c r="M9" s="51" t="s">
        <v>222</v>
      </c>
    </row>
    <row r="10" spans="1:16" ht="14.25" thickTop="1" thickBot="1" x14ac:dyDescent="0.25">
      <c r="A10" s="51"/>
      <c r="D10" s="98"/>
      <c r="I10" s="157"/>
      <c r="J10" s="448"/>
      <c r="K10" s="230"/>
      <c r="L10" s="230"/>
      <c r="M10" s="157"/>
    </row>
    <row r="11" spans="1:16" ht="14.25" thickTop="1" thickBot="1" x14ac:dyDescent="0.25">
      <c r="A11" s="51"/>
      <c r="B11" s="1095" t="s">
        <v>465</v>
      </c>
      <c r="C11" s="1096"/>
      <c r="D11" s="1096"/>
      <c r="E11" s="1096"/>
      <c r="F11" s="1096"/>
      <c r="G11" s="1096"/>
      <c r="H11" s="1090"/>
      <c r="I11" s="1091"/>
      <c r="J11" s="225"/>
      <c r="K11" s="225"/>
      <c r="L11" s="225"/>
      <c r="M11" s="225"/>
      <c r="N11" s="88"/>
      <c r="O11" s="88"/>
      <c r="P11" s="88"/>
    </row>
    <row r="12" spans="1:16" ht="52.5" thickTop="1" thickBot="1" x14ac:dyDescent="0.25">
      <c r="A12" s="51"/>
      <c r="B12" s="1103" t="str">
        <f>IF(AND($E$9="yes",LOCATION!$D$25="Central"),"Central GoM at Peak of Season = HIGH probability of Extreme Storm",IF(E9="YES", "GoM at Peak of Season, but not most severe zone","Not Peak: worst combination of weather and location has been avoided"))</f>
        <v>GoM at Peak of Season, but not most severe zone</v>
      </c>
      <c r="C12" s="1104"/>
      <c r="D12" s="1104"/>
      <c r="E12" s="1101" t="str">
        <f>IF(AND($E$9="yes",LOCATION!$D$25="Central"),"Are either dates or location flexible?  Explain","")</f>
        <v/>
      </c>
      <c r="F12" s="1102"/>
      <c r="G12" s="1092" t="s">
        <v>612</v>
      </c>
      <c r="H12" s="1093"/>
      <c r="I12" s="1094"/>
      <c r="J12" s="463" t="s">
        <v>779</v>
      </c>
      <c r="K12" s="88"/>
      <c r="L12" s="88"/>
      <c r="M12" s="88"/>
      <c r="N12" s="88"/>
      <c r="O12" s="88"/>
      <c r="P12" s="88"/>
    </row>
    <row r="13" spans="1:16" ht="13.5" thickTop="1" x14ac:dyDescent="0.2">
      <c r="A13" s="51"/>
      <c r="B13" s="440" t="s">
        <v>328</v>
      </c>
      <c r="C13" s="80"/>
      <c r="D13" s="80"/>
      <c r="E13" s="80"/>
      <c r="F13" s="80"/>
      <c r="G13" s="80"/>
      <c r="H13" s="80"/>
      <c r="I13" s="81"/>
    </row>
    <row r="14" spans="1:16" s="432" customFormat="1" ht="26.25" customHeight="1" thickBot="1" x14ac:dyDescent="0.25">
      <c r="B14" s="433" t="s">
        <v>712</v>
      </c>
      <c r="C14" s="1031" t="s">
        <v>615</v>
      </c>
      <c r="D14" s="1032"/>
      <c r="E14" s="1032"/>
      <c r="F14" s="1032"/>
      <c r="G14" s="1032"/>
      <c r="H14" s="434"/>
      <c r="I14" s="435"/>
      <c r="J14" s="449"/>
    </row>
    <row r="15" spans="1:16" s="432" customFormat="1" ht="17.25" thickTop="1" thickBot="1" x14ac:dyDescent="0.25">
      <c r="B15" s="1105" t="s">
        <v>597</v>
      </c>
      <c r="C15" s="1106"/>
      <c r="D15" s="1106"/>
      <c r="E15" s="1106"/>
      <c r="F15" s="1106"/>
      <c r="G15" s="1106"/>
      <c r="H15" s="1106"/>
      <c r="I15" s="1107"/>
      <c r="J15" s="450"/>
    </row>
    <row r="16" spans="1:16" ht="14.25" thickTop="1" thickBot="1" x14ac:dyDescent="0.25">
      <c r="A16" s="51"/>
      <c r="B16" s="1039" t="s">
        <v>6</v>
      </c>
      <c r="C16" s="1040"/>
      <c r="D16" s="1040"/>
      <c r="E16" s="546">
        <v>0</v>
      </c>
      <c r="F16" s="69"/>
      <c r="G16" s="69"/>
      <c r="H16" s="69"/>
      <c r="I16" s="376"/>
    </row>
    <row r="17" spans="1:10" ht="14.25" thickTop="1" thickBot="1" x14ac:dyDescent="0.25">
      <c r="A17" s="51"/>
      <c r="B17" s="1041" t="s">
        <v>9</v>
      </c>
      <c r="C17" s="1042"/>
      <c r="D17" s="1042"/>
      <c r="E17" s="547">
        <v>0</v>
      </c>
      <c r="F17" s="69"/>
      <c r="G17" s="69"/>
      <c r="H17" s="69"/>
      <c r="I17" s="376"/>
    </row>
    <row r="18" spans="1:10" ht="30" customHeight="1" thickTop="1" thickBot="1" x14ac:dyDescent="0.25">
      <c r="A18" s="51"/>
      <c r="B18" s="1041" t="s">
        <v>8</v>
      </c>
      <c r="C18" s="1042"/>
      <c r="D18" s="1042"/>
      <c r="E18" s="547">
        <v>0</v>
      </c>
      <c r="F18" s="69"/>
      <c r="G18" s="69"/>
      <c r="H18" s="69"/>
      <c r="I18" s="376"/>
      <c r="J18" s="463" t="s">
        <v>588</v>
      </c>
    </row>
    <row r="19" spans="1:10" ht="17.25" customHeight="1" thickTop="1" thickBot="1" x14ac:dyDescent="0.25">
      <c r="A19" s="51"/>
      <c r="B19" s="1041" t="s">
        <v>731</v>
      </c>
      <c r="C19" s="1042"/>
      <c r="D19" s="1042"/>
      <c r="E19" s="547">
        <v>0</v>
      </c>
      <c r="F19" s="69"/>
      <c r="G19" s="69"/>
      <c r="H19" s="69"/>
      <c r="I19" s="376"/>
    </row>
    <row r="20" spans="1:10" ht="27.75" customHeight="1" thickTop="1" thickBot="1" x14ac:dyDescent="0.25">
      <c r="A20" s="51"/>
      <c r="B20" s="1041" t="s">
        <v>643</v>
      </c>
      <c r="C20" s="1042"/>
      <c r="D20" s="1042"/>
      <c r="E20" s="547">
        <v>0</v>
      </c>
      <c r="F20" s="69"/>
      <c r="G20" s="69"/>
      <c r="H20" s="69"/>
      <c r="I20" s="376"/>
      <c r="J20" s="463" t="s">
        <v>598</v>
      </c>
    </row>
    <row r="21" spans="1:10" s="71" customFormat="1" ht="14.25" thickTop="1" thickBot="1" x14ac:dyDescent="0.25">
      <c r="B21" s="1041" t="s">
        <v>599</v>
      </c>
      <c r="C21" s="1042"/>
      <c r="D21" s="1042"/>
      <c r="E21" s="441">
        <f>SUM($E$16:$E$20)</f>
        <v>0</v>
      </c>
      <c r="F21" s="97"/>
      <c r="G21" s="97"/>
      <c r="H21" s="97"/>
      <c r="I21" s="442"/>
      <c r="J21" s="451"/>
    </row>
    <row r="22" spans="1:10" s="71" customFormat="1" ht="51.75" thickTop="1" x14ac:dyDescent="0.2">
      <c r="B22" s="1033" t="s">
        <v>673</v>
      </c>
      <c r="C22" s="1034"/>
      <c r="D22" s="1035"/>
      <c r="E22" s="1056" t="s">
        <v>674</v>
      </c>
      <c r="F22" s="1057"/>
      <c r="G22" s="1057"/>
      <c r="H22" s="1057"/>
      <c r="I22" s="1058"/>
      <c r="J22" s="475" t="s">
        <v>600</v>
      </c>
    </row>
    <row r="23" spans="1:10" s="438" customFormat="1" x14ac:dyDescent="0.2">
      <c r="B23" s="1085" t="s">
        <v>601</v>
      </c>
      <c r="C23" s="1032"/>
      <c r="D23" s="1032"/>
      <c r="E23" s="1032"/>
      <c r="F23" s="1032"/>
      <c r="G23" s="1032"/>
      <c r="H23" s="1032"/>
      <c r="I23" s="1086"/>
      <c r="J23" s="1046" t="s">
        <v>602</v>
      </c>
    </row>
    <row r="24" spans="1:10" s="438" customFormat="1" ht="29.25" customHeight="1" thickBot="1" x14ac:dyDescent="0.25">
      <c r="B24" s="1059" t="s">
        <v>713</v>
      </c>
      <c r="C24" s="1060" t="s">
        <v>707</v>
      </c>
      <c r="D24" s="1060"/>
      <c r="E24" s="1060"/>
      <c r="F24" s="1060"/>
      <c r="G24" s="1060"/>
      <c r="H24" s="1060"/>
      <c r="I24" s="1061"/>
      <c r="J24" s="1047"/>
    </row>
    <row r="25" spans="1:10" s="432" customFormat="1" ht="17.25" thickTop="1" thickBot="1" x14ac:dyDescent="0.25">
      <c r="B25" s="1043" t="s">
        <v>603</v>
      </c>
      <c r="C25" s="1044" t="s">
        <v>691</v>
      </c>
      <c r="D25" s="1044"/>
      <c r="E25" s="1044"/>
      <c r="F25" s="1044"/>
      <c r="G25" s="1044"/>
      <c r="H25" s="1044"/>
      <c r="I25" s="1045"/>
      <c r="J25" s="450"/>
    </row>
    <row r="26" spans="1:10" ht="14.25" thickTop="1" thickBot="1" x14ac:dyDescent="0.25">
      <c r="A26" s="51"/>
      <c r="B26" s="1039" t="s">
        <v>732</v>
      </c>
      <c r="C26" s="1040"/>
      <c r="D26" s="1040"/>
      <c r="E26" s="546">
        <v>0</v>
      </c>
      <c r="F26" s="69"/>
      <c r="G26" s="69"/>
      <c r="H26" s="69"/>
      <c r="I26" s="376"/>
    </row>
    <row r="27" spans="1:10" ht="14.25" customHeight="1" thickTop="1" thickBot="1" x14ac:dyDescent="0.25">
      <c r="A27" s="51"/>
      <c r="B27" s="1041" t="s">
        <v>7</v>
      </c>
      <c r="C27" s="1042"/>
      <c r="D27" s="1042"/>
      <c r="E27" s="547">
        <v>0</v>
      </c>
      <c r="F27" s="69"/>
      <c r="G27" s="69"/>
      <c r="H27" s="69"/>
      <c r="I27" s="376"/>
    </row>
    <row r="28" spans="1:10" ht="14.25" thickTop="1" thickBot="1" x14ac:dyDescent="0.25">
      <c r="A28" s="51"/>
      <c r="B28" s="1041" t="s">
        <v>240</v>
      </c>
      <c r="C28" s="1042"/>
      <c r="D28" s="1042"/>
      <c r="E28" s="547">
        <v>0</v>
      </c>
      <c r="F28" s="69"/>
      <c r="G28" s="69"/>
      <c r="H28" s="69"/>
      <c r="I28" s="376"/>
    </row>
    <row r="29" spans="1:10" s="71" customFormat="1" ht="27" thickTop="1" thickBot="1" x14ac:dyDescent="0.25">
      <c r="B29" s="1041" t="s">
        <v>604</v>
      </c>
      <c r="C29" s="1042"/>
      <c r="D29" s="1042"/>
      <c r="E29" s="650">
        <f>SUM(E26:E28)</f>
        <v>0</v>
      </c>
      <c r="F29" s="97"/>
      <c r="G29" s="97"/>
      <c r="H29" s="97"/>
      <c r="I29" s="442"/>
      <c r="J29" s="463" t="s">
        <v>605</v>
      </c>
    </row>
    <row r="30" spans="1:10" s="71" customFormat="1" ht="54" customHeight="1" thickTop="1" x14ac:dyDescent="0.2">
      <c r="B30" s="1036" t="s">
        <v>675</v>
      </c>
      <c r="C30" s="1037"/>
      <c r="D30" s="1038"/>
      <c r="E30" s="1056" t="s">
        <v>674</v>
      </c>
      <c r="F30" s="1057"/>
      <c r="G30" s="1057"/>
      <c r="H30" s="1057"/>
      <c r="I30" s="1058"/>
      <c r="J30" s="475" t="s">
        <v>606</v>
      </c>
    </row>
    <row r="31" spans="1:10" s="438" customFormat="1" x14ac:dyDescent="0.2">
      <c r="B31" s="1085" t="s">
        <v>607</v>
      </c>
      <c r="C31" s="1032"/>
      <c r="D31" s="1032"/>
      <c r="E31" s="1032"/>
      <c r="F31" s="1032"/>
      <c r="G31" s="1032"/>
      <c r="H31" s="1032"/>
      <c r="I31" s="1086"/>
      <c r="J31" s="452"/>
    </row>
    <row r="32" spans="1:10" s="438" customFormat="1" ht="39" thickBot="1" x14ac:dyDescent="0.25">
      <c r="B32" s="1059" t="s">
        <v>713</v>
      </c>
      <c r="C32" s="1060" t="s">
        <v>707</v>
      </c>
      <c r="D32" s="1060"/>
      <c r="E32" s="1060"/>
      <c r="F32" s="1060"/>
      <c r="G32" s="1060"/>
      <c r="H32" s="1060"/>
      <c r="I32" s="1061"/>
      <c r="J32" s="475" t="s">
        <v>602</v>
      </c>
    </row>
    <row r="33" spans="1:12" s="432" customFormat="1" ht="17.25" thickTop="1" thickBot="1" x14ac:dyDescent="0.25">
      <c r="B33" s="1112" t="s">
        <v>608</v>
      </c>
      <c r="C33" s="1018"/>
      <c r="D33" s="1018"/>
      <c r="E33" s="1018"/>
      <c r="F33" s="1018"/>
      <c r="G33" s="1018"/>
      <c r="H33" s="1018"/>
      <c r="I33" s="1019"/>
      <c r="J33" s="450"/>
    </row>
    <row r="34" spans="1:12" ht="25.5" customHeight="1" thickTop="1" thickBot="1" x14ac:dyDescent="0.25">
      <c r="A34" s="51"/>
      <c r="B34" s="1062" t="s">
        <v>321</v>
      </c>
      <c r="C34" s="1063"/>
      <c r="D34" s="1063"/>
      <c r="E34" s="1063"/>
      <c r="F34" s="1063"/>
      <c r="G34" s="1063"/>
      <c r="H34" s="1063"/>
      <c r="I34" s="1064"/>
    </row>
    <row r="35" spans="1:12" s="432" customFormat="1" ht="17.25" thickTop="1" thickBot="1" x14ac:dyDescent="0.25">
      <c r="B35" s="1115" t="s">
        <v>616</v>
      </c>
      <c r="C35" s="1116"/>
      <c r="D35" s="1116"/>
      <c r="E35" s="1116"/>
      <c r="F35" s="1116"/>
      <c r="G35" s="1116"/>
      <c r="H35" s="1116"/>
      <c r="I35" s="1117"/>
      <c r="J35" s="450"/>
    </row>
    <row r="36" spans="1:12" ht="57" customHeight="1" thickTop="1" x14ac:dyDescent="0.2">
      <c r="A36" s="51"/>
      <c r="B36" s="1113" t="s">
        <v>609</v>
      </c>
      <c r="C36" s="1114"/>
      <c r="D36" s="446" t="str">
        <f>IF(Factors!$J$6=1,IF($E$21&gt;0,"HIGH CONSEQUENCE FROM INFRASTRUCTURE",IF($E$29&gt;0,"MEDIUM CONSEQUENCE FROM INFRASTRUCTURE","LOW CONSEQUENCE FROM INFRASTRUCTURE")),IF(Factors!$J$6=2,IF($E$21&gt;0,"HIGH CONSEQUENCE FROM INFRASTRUCTURE",IF($E$29&gt;0,"MEDIUM CONSEQUENCE FROM INFRASTRUCTURE","LOW CONSEQUENCE FROM INFRASTRUCTURE"))))</f>
        <v>LOW CONSEQUENCE FROM INFRASTRUCTURE</v>
      </c>
      <c r="E36" s="1053" t="s">
        <v>21</v>
      </c>
      <c r="F36" s="1054"/>
      <c r="G36" s="1054"/>
      <c r="H36" s="1054"/>
      <c r="I36" s="1055"/>
      <c r="J36" s="463" t="s">
        <v>610</v>
      </c>
    </row>
    <row r="37" spans="1:12" ht="63.75" x14ac:dyDescent="0.2">
      <c r="A37" s="51"/>
      <c r="B37" s="1069" t="s">
        <v>370</v>
      </c>
      <c r="C37" s="1070"/>
      <c r="D37" s="1071"/>
      <c r="E37" s="27"/>
      <c r="F37" s="403" t="str">
        <f>IF(Factors!$AE$34&gt;9, "Please Explain and/or Provide Return Period used","")</f>
        <v/>
      </c>
      <c r="G37" s="1072" t="s">
        <v>22</v>
      </c>
      <c r="H37" s="1072"/>
      <c r="I37" s="1073"/>
      <c r="J37" s="463" t="s">
        <v>10</v>
      </c>
    </row>
    <row r="38" spans="1:12" ht="13.5" thickBot="1" x14ac:dyDescent="0.25">
      <c r="A38" s="51"/>
      <c r="B38" s="844" t="s">
        <v>497</v>
      </c>
      <c r="C38" s="77"/>
      <c r="D38" s="77"/>
      <c r="E38" s="77"/>
      <c r="F38" s="77"/>
      <c r="G38" s="77"/>
      <c r="H38" s="77"/>
      <c r="I38" s="82"/>
    </row>
    <row r="39" spans="1:12" ht="10.5" customHeight="1" thickTop="1" thickBot="1" x14ac:dyDescent="0.25">
      <c r="A39" s="443"/>
    </row>
    <row r="40" spans="1:12" ht="14.25" thickTop="1" thickBot="1" x14ac:dyDescent="0.25">
      <c r="A40" s="51"/>
      <c r="B40" s="1109" t="s">
        <v>617</v>
      </c>
      <c r="C40" s="1010"/>
      <c r="D40" s="1010"/>
      <c r="E40" s="1010"/>
      <c r="F40" s="1011"/>
      <c r="G40" s="1050" t="s">
        <v>494</v>
      </c>
      <c r="H40" s="1018"/>
      <c r="I40" s="1019"/>
      <c r="J40" s="463" t="s">
        <v>35</v>
      </c>
    </row>
    <row r="41" spans="1:12" ht="46.5" customHeight="1" thickTop="1" thickBot="1" x14ac:dyDescent="0.25">
      <c r="A41" s="51"/>
      <c r="B41" s="1065" t="s">
        <v>369</v>
      </c>
      <c r="C41" s="900"/>
      <c r="D41" s="1066"/>
      <c r="E41" s="400">
        <f>Factors!AL5</f>
        <v>1</v>
      </c>
      <c r="F41" s="685" t="str">
        <f>IF($E$41=2,"Please Explain","")</f>
        <v/>
      </c>
      <c r="G41" s="944" t="s">
        <v>23</v>
      </c>
      <c r="H41" s="945"/>
      <c r="I41" s="946"/>
      <c r="J41" s="88" t="s">
        <v>222</v>
      </c>
      <c r="K41" s="88"/>
      <c r="L41" s="88"/>
    </row>
    <row r="42" spans="1:12" ht="46.5" customHeight="1" thickTop="1" thickBot="1" x14ac:dyDescent="0.25">
      <c r="A42" s="51"/>
      <c r="B42" s="994" t="s">
        <v>404</v>
      </c>
      <c r="C42" s="995"/>
      <c r="D42" s="996"/>
      <c r="E42" s="806"/>
      <c r="F42" s="685" t="str">
        <f>IF(Factors!AL4=2,"Please Explain","")</f>
        <v/>
      </c>
      <c r="G42" s="997" t="s">
        <v>24</v>
      </c>
      <c r="H42" s="915"/>
      <c r="I42" s="916"/>
      <c r="J42" s="88"/>
      <c r="K42" s="88"/>
      <c r="L42" s="88"/>
    </row>
    <row r="43" spans="1:12" ht="54" customHeight="1" thickTop="1" x14ac:dyDescent="0.2">
      <c r="A43" s="51"/>
      <c r="B43" s="1012" t="s">
        <v>368</v>
      </c>
      <c r="C43" s="1013"/>
      <c r="D43" s="1013"/>
      <c r="E43" s="26"/>
      <c r="F43" s="686" t="str">
        <f>IF(Factors!$J$27=2,"Please Explain","")</f>
        <v/>
      </c>
      <c r="G43" s="997" t="s">
        <v>25</v>
      </c>
      <c r="H43" s="1051"/>
      <c r="I43" s="1052"/>
    </row>
    <row r="44" spans="1:12" ht="46.5" customHeight="1" thickBot="1" x14ac:dyDescent="0.25">
      <c r="A44" s="51"/>
      <c r="B44" s="1012" t="s">
        <v>414</v>
      </c>
      <c r="C44" s="915"/>
      <c r="D44" s="1108"/>
      <c r="E44" s="26"/>
      <c r="F44" s="727" t="str">
        <f>IF(AND(Factors!$J$35=1,Factors!J109=1),"","Please Explain")</f>
        <v/>
      </c>
      <c r="G44" s="997" t="s">
        <v>26</v>
      </c>
      <c r="H44" s="1051"/>
      <c r="I44" s="1052"/>
    </row>
    <row r="45" spans="1:12" ht="23.25" customHeight="1" thickBot="1" x14ac:dyDescent="0.25">
      <c r="A45" s="51"/>
      <c r="B45" s="175"/>
      <c r="C45" s="77"/>
      <c r="D45" s="399" t="s">
        <v>650</v>
      </c>
      <c r="E45" s="548">
        <v>100</v>
      </c>
      <c r="F45" s="358" t="s">
        <v>222</v>
      </c>
      <c r="G45" s="1077"/>
      <c r="H45" s="1077"/>
      <c r="I45" s="1078"/>
    </row>
    <row r="46" spans="1:12" s="69" customFormat="1" ht="12" customHeight="1" thickTop="1" thickBot="1" x14ac:dyDescent="0.25">
      <c r="B46" s="106"/>
      <c r="C46" s="106"/>
      <c r="D46" s="359"/>
      <c r="E46" s="360"/>
      <c r="F46" s="361"/>
      <c r="G46" s="362"/>
      <c r="H46" s="362"/>
      <c r="I46" s="362"/>
      <c r="J46" s="88"/>
    </row>
    <row r="47" spans="1:12" ht="18" customHeight="1" thickTop="1" thickBot="1" x14ac:dyDescent="0.25">
      <c r="A47" s="51"/>
      <c r="B47" s="1008" t="s">
        <v>378</v>
      </c>
      <c r="C47" s="1009"/>
      <c r="D47" s="1009"/>
      <c r="E47" s="1009"/>
      <c r="F47" s="1009"/>
      <c r="G47" s="1010"/>
      <c r="H47" s="1010"/>
      <c r="I47" s="1011"/>
    </row>
    <row r="48" spans="1:12" ht="23.25" customHeight="1" thickTop="1" x14ac:dyDescent="0.2">
      <c r="A48" s="51"/>
      <c r="B48" s="105"/>
      <c r="C48" s="363"/>
      <c r="D48" s="401" t="s">
        <v>692</v>
      </c>
      <c r="E48" s="400"/>
      <c r="F48" s="1006" t="s">
        <v>222</v>
      </c>
      <c r="G48" s="1006"/>
      <c r="H48" s="1006"/>
      <c r="I48" s="1007"/>
      <c r="J48" s="1048" t="s">
        <v>780</v>
      </c>
    </row>
    <row r="49" spans="1:11" ht="57.75" customHeight="1" thickBot="1" x14ac:dyDescent="0.25">
      <c r="A49" s="51"/>
      <c r="B49" s="175"/>
      <c r="C49" s="77"/>
      <c r="D49" s="399" t="str">
        <f>IF(Factors!J47=2,"Please ignore","Has the history of jack-up type and leg penetrations at position been provided?")</f>
        <v>Has the history of jack-up type and leg penetrations at position been provided?</v>
      </c>
      <c r="E49" s="390"/>
      <c r="F49" s="687" t="str">
        <f>IF(D49="please ignore","",IF(Factors!$J$51=2,"Please Explain",""))</f>
        <v/>
      </c>
      <c r="G49" s="1004" t="s">
        <v>27</v>
      </c>
      <c r="H49" s="1004"/>
      <c r="I49" s="1005"/>
      <c r="J49" s="1049"/>
    </row>
    <row r="50" spans="1:11" ht="10.5" customHeight="1" thickTop="1" thickBot="1" x14ac:dyDescent="0.25">
      <c r="A50" s="51"/>
      <c r="B50" s="96"/>
      <c r="C50" s="96"/>
      <c r="D50" s="394"/>
      <c r="E50" s="375"/>
      <c r="F50" s="375"/>
      <c r="G50" s="379"/>
      <c r="H50" s="379"/>
      <c r="I50" s="379"/>
    </row>
    <row r="51" spans="1:11" ht="14.25" thickTop="1" thickBot="1" x14ac:dyDescent="0.25">
      <c r="A51" s="51"/>
      <c r="B51" s="1109" t="s">
        <v>618</v>
      </c>
      <c r="C51" s="1110"/>
      <c r="D51" s="1110"/>
      <c r="E51" s="1110"/>
      <c r="F51" s="1111"/>
      <c r="G51" s="1017" t="s">
        <v>494</v>
      </c>
      <c r="H51" s="1018"/>
      <c r="I51" s="1019"/>
    </row>
    <row r="52" spans="1:11" ht="38.25" customHeight="1" thickTop="1" x14ac:dyDescent="0.2">
      <c r="A52" s="51"/>
      <c r="B52" s="1080" t="s">
        <v>501</v>
      </c>
      <c r="C52" s="999"/>
      <c r="D52" s="1081"/>
      <c r="E52" s="549">
        <v>2008</v>
      </c>
      <c r="F52" s="444" t="s">
        <v>222</v>
      </c>
      <c r="G52" s="233"/>
      <c r="H52" s="233"/>
      <c r="I52" s="374"/>
      <c r="J52" s="463" t="s">
        <v>781</v>
      </c>
      <c r="K52" s="51" t="s">
        <v>222</v>
      </c>
    </row>
    <row r="53" spans="1:11" ht="51" x14ac:dyDescent="0.2">
      <c r="A53" s="51"/>
      <c r="B53" s="1082" t="s">
        <v>690</v>
      </c>
      <c r="C53" s="1083"/>
      <c r="D53" s="1084"/>
      <c r="E53" s="550">
        <v>79</v>
      </c>
      <c r="F53" s="688" t="str">
        <f>IF(E53&gt;1000,"&gt;1000 ft, Please Explain","")</f>
        <v/>
      </c>
      <c r="G53" s="1014" t="s">
        <v>668</v>
      </c>
      <c r="H53" s="1015"/>
      <c r="I53" s="1016"/>
      <c r="J53" s="463" t="s">
        <v>611</v>
      </c>
    </row>
    <row r="54" spans="1:11" ht="51" x14ac:dyDescent="0.2">
      <c r="A54" s="51"/>
      <c r="B54" s="1079" t="s">
        <v>371</v>
      </c>
      <c r="C54" s="1002"/>
      <c r="D54" s="1002"/>
      <c r="E54" s="551"/>
      <c r="F54" s="804" t="s">
        <v>372</v>
      </c>
      <c r="G54" s="1121" t="s">
        <v>669</v>
      </c>
      <c r="H54" s="1122"/>
      <c r="I54" s="1123"/>
      <c r="J54" s="463" t="s">
        <v>0</v>
      </c>
    </row>
    <row r="55" spans="1:11" ht="25.5" customHeight="1" thickBot="1" x14ac:dyDescent="0.25">
      <c r="A55" s="51"/>
      <c r="B55" s="1124" t="s">
        <v>727</v>
      </c>
      <c r="C55" s="1125"/>
      <c r="D55" s="1125"/>
      <c r="E55" s="1126" t="s">
        <v>670</v>
      </c>
      <c r="F55" s="1127"/>
      <c r="G55" s="1127"/>
      <c r="H55" s="1127"/>
      <c r="I55" s="1128"/>
    </row>
    <row r="56" spans="1:11" ht="11.25" customHeight="1" thickTop="1" thickBot="1" x14ac:dyDescent="0.25">
      <c r="A56" s="51"/>
      <c r="B56" s="377"/>
      <c r="C56" s="96"/>
      <c r="D56" s="96"/>
      <c r="E56" s="378"/>
      <c r="F56" s="377"/>
      <c r="G56" s="379"/>
      <c r="H56" s="379"/>
      <c r="I56" s="379"/>
    </row>
    <row r="57" spans="1:11" ht="14.25" thickTop="1" thickBot="1" x14ac:dyDescent="0.25">
      <c r="A57" s="51"/>
      <c r="B57" s="1118" t="s">
        <v>619</v>
      </c>
      <c r="C57" s="1119"/>
      <c r="D57" s="1119"/>
      <c r="E57" s="1119"/>
      <c r="F57" s="1120"/>
      <c r="G57" s="1017" t="s">
        <v>494</v>
      </c>
      <c r="H57" s="1018"/>
      <c r="I57" s="1019"/>
    </row>
    <row r="58" spans="1:11" ht="39" customHeight="1" thickTop="1" thickBot="1" x14ac:dyDescent="0.25">
      <c r="A58" s="51"/>
      <c r="B58" s="1067" t="str">
        <f>IF(Factors!J6=2,"Mat Rig: Please ignore",IF(E53&lt;1000,"Please Ignore shallow seismic tieback requirement as &lt; 1000 ft","Sample was &gt; 1000 ft distant, was a Shallow Seismic tie line used to confirm applicability to this location?"))</f>
        <v>Please Ignore shallow seismic tieback requirement as &lt; 1000 ft</v>
      </c>
      <c r="C58" s="1068"/>
      <c r="D58" s="1068"/>
      <c r="E58" s="445" t="s">
        <v>222</v>
      </c>
      <c r="F58" s="689" t="str">
        <f>IF(AND(Factors!$J$58=2,'LEASEHOLDER Provided Data'!$E$53&gt;1000,Factors!$J$6=1), "Please Explain","")</f>
        <v/>
      </c>
      <c r="G58" s="1074" t="s">
        <v>671</v>
      </c>
      <c r="H58" s="1075"/>
      <c r="I58" s="1076"/>
      <c r="J58" s="463" t="s">
        <v>36</v>
      </c>
    </row>
    <row r="59" spans="1:11" ht="10.5" customHeight="1" thickTop="1" thickBot="1" x14ac:dyDescent="0.25">
      <c r="A59" s="51"/>
      <c r="B59" s="66"/>
    </row>
    <row r="60" spans="1:11" ht="39.75" customHeight="1" thickTop="1" x14ac:dyDescent="0.2">
      <c r="A60" s="51"/>
      <c r="B60" s="998" t="s">
        <v>706</v>
      </c>
      <c r="C60" s="999"/>
      <c r="D60" s="1000"/>
      <c r="E60" s="932" t="s">
        <v>222</v>
      </c>
      <c r="F60" s="1023"/>
      <c r="G60" s="1023"/>
      <c r="H60" s="1023"/>
      <c r="I60" s="1024"/>
    </row>
    <row r="61" spans="1:11" ht="27.75" customHeight="1" x14ac:dyDescent="0.2">
      <c r="A61" s="51"/>
      <c r="B61" s="1001" t="s">
        <v>614</v>
      </c>
      <c r="C61" s="1002"/>
      <c r="D61" s="1003"/>
      <c r="E61" s="1025" t="s">
        <v>222</v>
      </c>
      <c r="F61" s="1026"/>
      <c r="G61" s="1026"/>
      <c r="H61" s="1026"/>
      <c r="I61" s="1027"/>
    </row>
    <row r="62" spans="1:11" ht="59.25" customHeight="1" thickBot="1" x14ac:dyDescent="0.25">
      <c r="A62" s="51"/>
      <c r="B62" s="1020" t="s">
        <v>374</v>
      </c>
      <c r="C62" s="1021"/>
      <c r="D62" s="1022"/>
      <c r="E62" s="935" t="s">
        <v>222</v>
      </c>
      <c r="F62" s="1028"/>
      <c r="G62" s="1028"/>
      <c r="H62" s="1028"/>
      <c r="I62" s="1029"/>
      <c r="J62" s="476" t="s">
        <v>739</v>
      </c>
    </row>
    <row r="63" spans="1:11" ht="13.5" thickTop="1" x14ac:dyDescent="0.2">
      <c r="A63" s="51"/>
      <c r="G63" s="66"/>
    </row>
  </sheetData>
  <sheetProtection password="83AF" sheet="1" objects="1" scenarios="1" formatRows="0"/>
  <mergeCells count="72">
    <mergeCell ref="B57:F57"/>
    <mergeCell ref="G54:I54"/>
    <mergeCell ref="B55:D55"/>
    <mergeCell ref="E55:I55"/>
    <mergeCell ref="B15:I15"/>
    <mergeCell ref="B19:D19"/>
    <mergeCell ref="B44:D44"/>
    <mergeCell ref="B31:I31"/>
    <mergeCell ref="G51:I51"/>
    <mergeCell ref="B51:F51"/>
    <mergeCell ref="B33:I33"/>
    <mergeCell ref="B40:F40"/>
    <mergeCell ref="B36:C36"/>
    <mergeCell ref="B32:I32"/>
    <mergeCell ref="H4:I4"/>
    <mergeCell ref="B4:F4"/>
    <mergeCell ref="G12:I12"/>
    <mergeCell ref="B11:I11"/>
    <mergeCell ref="B5:B9"/>
    <mergeCell ref="J5:K5"/>
    <mergeCell ref="E12:F12"/>
    <mergeCell ref="B12:D12"/>
    <mergeCell ref="G45:I45"/>
    <mergeCell ref="B54:D54"/>
    <mergeCell ref="B52:D52"/>
    <mergeCell ref="B53:D53"/>
    <mergeCell ref="B29:D29"/>
    <mergeCell ref="B20:D20"/>
    <mergeCell ref="B21:D21"/>
    <mergeCell ref="E22:I22"/>
    <mergeCell ref="B23:I23"/>
    <mergeCell ref="B35:I35"/>
    <mergeCell ref="E30:I30"/>
    <mergeCell ref="B24:I24"/>
    <mergeCell ref="B34:I34"/>
    <mergeCell ref="B28:D28"/>
    <mergeCell ref="B41:D41"/>
    <mergeCell ref="B58:D58"/>
    <mergeCell ref="B37:D37"/>
    <mergeCell ref="G37:I37"/>
    <mergeCell ref="G58:I58"/>
    <mergeCell ref="G44:I44"/>
    <mergeCell ref="B16:D16"/>
    <mergeCell ref="B18:D18"/>
    <mergeCell ref="B17:D17"/>
    <mergeCell ref="B25:I25"/>
    <mergeCell ref="J23:J24"/>
    <mergeCell ref="J48:J49"/>
    <mergeCell ref="G40:I40"/>
    <mergeCell ref="G41:I41"/>
    <mergeCell ref="G43:I43"/>
    <mergeCell ref="E36:I36"/>
    <mergeCell ref="B62:D62"/>
    <mergeCell ref="E60:I60"/>
    <mergeCell ref="E61:I61"/>
    <mergeCell ref="E62:I62"/>
    <mergeCell ref="C2:F2"/>
    <mergeCell ref="C14:G14"/>
    <mergeCell ref="B22:D22"/>
    <mergeCell ref="B30:D30"/>
    <mergeCell ref="B26:D26"/>
    <mergeCell ref="B27:D27"/>
    <mergeCell ref="B42:D42"/>
    <mergeCell ref="G42:I42"/>
    <mergeCell ref="B60:D60"/>
    <mergeCell ref="B61:D61"/>
    <mergeCell ref="G49:I49"/>
    <mergeCell ref="F48:I48"/>
    <mergeCell ref="B47:I47"/>
    <mergeCell ref="B43:D43"/>
    <mergeCell ref="G53:I53"/>
    <mergeCell ref="G57:I57"/>
  </mergeCells>
  <phoneticPr fontId="4" type="noConversion"/>
  <conditionalFormatting sqref="B57 B51">
    <cfRule type="cellIs" dxfId="159" priority="1" stopIfTrue="1" operator="equal">
      <formula>"Please complete this Block of Questions for this Independent Leg Jack-Up"</formula>
    </cfRule>
    <cfRule type="cellIs" dxfId="158" priority="2" stopIfTrue="1" operator="equal">
      <formula>"Please ignore this block of questions for Mat Supported Jack-Up"</formula>
    </cfRule>
  </conditionalFormatting>
  <conditionalFormatting sqref="F58">
    <cfRule type="cellIs" dxfId="157" priority="3" stopIfTrue="1" operator="equal">
      <formula>"Please Explain"</formula>
    </cfRule>
    <cfRule type="cellIs" dxfId="156" priority="4" stopIfTrue="1" operator="equal">
      <formula>""</formula>
    </cfRule>
  </conditionalFormatting>
  <conditionalFormatting sqref="E52:E53 G12:I12 E48:E50 E41:E46">
    <cfRule type="cellIs" dxfId="155" priority="5" stopIfTrue="1" operator="equal">
      <formula>"Submit Report"</formula>
    </cfRule>
  </conditionalFormatting>
  <conditionalFormatting sqref="F45:F46">
    <cfRule type="cellIs" dxfId="154" priority="6" stopIfTrue="1" operator="equal">
      <formula>1</formula>
    </cfRule>
  </conditionalFormatting>
  <conditionalFormatting sqref="F41:F43">
    <cfRule type="cellIs" dxfId="153" priority="7" stopIfTrue="1" operator="equal">
      <formula>"Please Explain"</formula>
    </cfRule>
    <cfRule type="cellIs" dxfId="152" priority="8" stopIfTrue="1" operator="equal">
      <formula>""</formula>
    </cfRule>
  </conditionalFormatting>
  <conditionalFormatting sqref="F48:F50">
    <cfRule type="cellIs" dxfId="151" priority="9" stopIfTrue="1" operator="equal">
      <formula>"Please Explain"</formula>
    </cfRule>
  </conditionalFormatting>
  <conditionalFormatting sqref="F53">
    <cfRule type="cellIs" dxfId="150" priority="10" stopIfTrue="1" operator="equal">
      <formula>"&gt;1000 ft, Please Explain"</formula>
    </cfRule>
    <cfRule type="cellIs" dxfId="149" priority="11" stopIfTrue="1" operator="equal">
      <formula>""</formula>
    </cfRule>
  </conditionalFormatting>
  <conditionalFormatting sqref="E10">
    <cfRule type="cellIs" dxfId="148" priority="12" stopIfTrue="1" operator="equal">
      <formula>"Yes"</formula>
    </cfRule>
    <cfRule type="cellIs" dxfId="147" priority="13" stopIfTrue="1" operator="equal">
      <formula>"No"</formula>
    </cfRule>
  </conditionalFormatting>
  <conditionalFormatting sqref="E29">
    <cfRule type="cellIs" dxfId="146" priority="14" stopIfTrue="1" operator="notEqual">
      <formula>0</formula>
    </cfRule>
  </conditionalFormatting>
  <conditionalFormatting sqref="F37">
    <cfRule type="cellIs" dxfId="145" priority="15" stopIfTrue="1" operator="equal">
      <formula>"Please Explain and/or Provide Return Period used"</formula>
    </cfRule>
  </conditionalFormatting>
  <conditionalFormatting sqref="B12:D12">
    <cfRule type="cellIs" dxfId="144" priority="16" stopIfTrue="1" operator="equal">
      <formula>"Central GoM at Peak of Season = HIGH probability of Extreme Storm"</formula>
    </cfRule>
    <cfRule type="cellIs" dxfId="143" priority="17" stopIfTrue="1" operator="equal">
      <formula>"GoM at Peak of Season, but not most severe zone"</formula>
    </cfRule>
  </conditionalFormatting>
  <conditionalFormatting sqref="E21">
    <cfRule type="cellIs" dxfId="142" priority="18" stopIfTrue="1" operator="greaterThan">
      <formula>0</formula>
    </cfRule>
  </conditionalFormatting>
  <conditionalFormatting sqref="D36">
    <cfRule type="cellIs" dxfId="141" priority="19" stopIfTrue="1" operator="equal">
      <formula>"LOW CONSEQUENCE FROM INFRASTRUCTURE"</formula>
    </cfRule>
    <cfRule type="cellIs" dxfId="140" priority="20" stopIfTrue="1" operator="equal">
      <formula>"MEDIUM CONSEQUENCE FROM INFRASTRUCTURE"</formula>
    </cfRule>
    <cfRule type="cellIs" dxfId="139" priority="21" stopIfTrue="1" operator="equal">
      <formula>"HIGH CONSEQUENCE FROM INFRASTRUCTURE"</formula>
    </cfRule>
  </conditionalFormatting>
  <conditionalFormatting sqref="F44">
    <cfRule type="cellIs" dxfId="138" priority="22" stopIfTrue="1" operator="equal">
      <formula>"Please Explain"</formula>
    </cfRule>
    <cfRule type="cellIs" dxfId="137" priority="23" stopIfTrue="1" operator="equal">
      <formula>""</formula>
    </cfRule>
  </conditionalFormatting>
  <dataValidations disablePrompts="1" xWindow="830" yWindow="289" count="2">
    <dataValidation allowBlank="1" showInputMessage="1" showErrorMessage="1" prompt="This is what you need to pu tin the box_x000a_" sqref="F37"/>
    <dataValidation allowBlank="1" showInputMessage="1" showErrorMessage="1" promptTitle="Survival Case" prompt="Survival Case uses Full Population Hurricane Data_x000a_" sqref="G37:I37"/>
  </dataValidations>
  <printOptions horizontalCentered="1"/>
  <pageMargins left="0.3" right="0.37" top="0.4" bottom="0.55000000000000004" header="0.43" footer="0.28999999999999998"/>
  <pageSetup scale="59" fitToHeight="3" orientation="portrait" horizontalDpi="1200" verticalDpi="1200" r:id="rId1"/>
  <headerFooter alignWithMargins="0">
    <oddHeader>&amp;L&amp;F&amp;C&amp;A</oddHeader>
    <oddFooter>&amp;R&amp;P</oddFooter>
  </headerFooter>
  <rowBreaks count="1" manualBreakCount="1">
    <brk id="45"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7" r:id="rId4" name="Drop Down 3">
              <controlPr defaultSize="0" autoLine="0" autoPict="0">
                <anchor moveWithCells="1" sizeWithCells="1">
                  <from>
                    <xdr:col>3</xdr:col>
                    <xdr:colOff>0</xdr:colOff>
                    <xdr:row>58</xdr:row>
                    <xdr:rowOff>0</xdr:rowOff>
                  </from>
                  <to>
                    <xdr:col>3</xdr:col>
                    <xdr:colOff>0</xdr:colOff>
                    <xdr:row>58</xdr:row>
                    <xdr:rowOff>0</xdr:rowOff>
                  </to>
                </anchor>
              </controlPr>
            </control>
          </mc:Choice>
        </mc:AlternateContent>
        <mc:AlternateContent xmlns:mc="http://schemas.openxmlformats.org/markup-compatibility/2006">
          <mc:Choice Requires="x14">
            <control shapeId="11268" r:id="rId5" name="Drop Down 4">
              <controlPr defaultSize="0" autoLine="0" autoPict="0">
                <anchor moveWithCells="1" sizeWithCells="1">
                  <from>
                    <xdr:col>3</xdr:col>
                    <xdr:colOff>1428750</xdr:colOff>
                    <xdr:row>36</xdr:row>
                    <xdr:rowOff>314325</xdr:rowOff>
                  </from>
                  <to>
                    <xdr:col>5</xdr:col>
                    <xdr:colOff>0</xdr:colOff>
                    <xdr:row>36</xdr:row>
                    <xdr:rowOff>619125</xdr:rowOff>
                  </to>
                </anchor>
              </controlPr>
            </control>
          </mc:Choice>
        </mc:AlternateContent>
        <mc:AlternateContent xmlns:mc="http://schemas.openxmlformats.org/markup-compatibility/2006">
          <mc:Choice Requires="x14">
            <control shapeId="11269" r:id="rId6" name="Drop Down 5">
              <controlPr locked="0" defaultSize="0" autoLine="0" autoPict="0">
                <anchor moveWithCells="1">
                  <from>
                    <xdr:col>4</xdr:col>
                    <xdr:colOff>152400</xdr:colOff>
                    <xdr:row>40</xdr:row>
                    <xdr:rowOff>114300</xdr:rowOff>
                  </from>
                  <to>
                    <xdr:col>4</xdr:col>
                    <xdr:colOff>981075</xdr:colOff>
                    <xdr:row>40</xdr:row>
                    <xdr:rowOff>361950</xdr:rowOff>
                  </to>
                </anchor>
              </controlPr>
            </control>
          </mc:Choice>
        </mc:AlternateContent>
        <mc:AlternateContent xmlns:mc="http://schemas.openxmlformats.org/markup-compatibility/2006">
          <mc:Choice Requires="x14">
            <control shapeId="11270" r:id="rId7" name="Drop Down 6">
              <controlPr locked="0" defaultSize="0" autoLine="0" autoPict="0">
                <anchor moveWithCells="1">
                  <from>
                    <xdr:col>4</xdr:col>
                    <xdr:colOff>142875</xdr:colOff>
                    <xdr:row>42</xdr:row>
                    <xdr:rowOff>219075</xdr:rowOff>
                  </from>
                  <to>
                    <xdr:col>4</xdr:col>
                    <xdr:colOff>981075</xdr:colOff>
                    <xdr:row>42</xdr:row>
                    <xdr:rowOff>466725</xdr:rowOff>
                  </to>
                </anchor>
              </controlPr>
            </control>
          </mc:Choice>
        </mc:AlternateContent>
        <mc:AlternateContent xmlns:mc="http://schemas.openxmlformats.org/markup-compatibility/2006">
          <mc:Choice Requires="x14">
            <control shapeId="11271" r:id="rId8" name="Drop Down 7">
              <controlPr locked="0" defaultSize="0" autoLine="0" autoPict="0">
                <anchor moveWithCells="1">
                  <from>
                    <xdr:col>4</xdr:col>
                    <xdr:colOff>142875</xdr:colOff>
                    <xdr:row>43</xdr:row>
                    <xdr:rowOff>9525</xdr:rowOff>
                  </from>
                  <to>
                    <xdr:col>4</xdr:col>
                    <xdr:colOff>981075</xdr:colOff>
                    <xdr:row>43</xdr:row>
                    <xdr:rowOff>257175</xdr:rowOff>
                  </to>
                </anchor>
              </controlPr>
            </control>
          </mc:Choice>
        </mc:AlternateContent>
        <mc:AlternateContent xmlns:mc="http://schemas.openxmlformats.org/markup-compatibility/2006">
          <mc:Choice Requires="x14">
            <control shapeId="11272" r:id="rId9" name="Drop Down 8">
              <controlPr locked="0" defaultSize="0" autoLine="0" autoPict="0">
                <anchor moveWithCells="1">
                  <from>
                    <xdr:col>4</xdr:col>
                    <xdr:colOff>190500</xdr:colOff>
                    <xdr:row>47</xdr:row>
                    <xdr:rowOff>28575</xdr:rowOff>
                  </from>
                  <to>
                    <xdr:col>4</xdr:col>
                    <xdr:colOff>1038225</xdr:colOff>
                    <xdr:row>47</xdr:row>
                    <xdr:rowOff>276225</xdr:rowOff>
                  </to>
                </anchor>
              </controlPr>
            </control>
          </mc:Choice>
        </mc:AlternateContent>
        <mc:AlternateContent xmlns:mc="http://schemas.openxmlformats.org/markup-compatibility/2006">
          <mc:Choice Requires="x14">
            <control shapeId="11273" r:id="rId10" name="Drop Down 9">
              <controlPr locked="0" defaultSize="0" autoLine="0" autoPict="0">
                <anchor moveWithCells="1">
                  <from>
                    <xdr:col>4</xdr:col>
                    <xdr:colOff>190500</xdr:colOff>
                    <xdr:row>48</xdr:row>
                    <xdr:rowOff>180975</xdr:rowOff>
                  </from>
                  <to>
                    <xdr:col>4</xdr:col>
                    <xdr:colOff>1038225</xdr:colOff>
                    <xdr:row>48</xdr:row>
                    <xdr:rowOff>428625</xdr:rowOff>
                  </to>
                </anchor>
              </controlPr>
            </control>
          </mc:Choice>
        </mc:AlternateContent>
        <mc:AlternateContent xmlns:mc="http://schemas.openxmlformats.org/markup-compatibility/2006">
          <mc:Choice Requires="x14">
            <control shapeId="11274" r:id="rId11" name="Drop Down 10">
              <controlPr defaultSize="0" autoLine="0" autoPict="0">
                <anchor moveWithCells="1" sizeWithCells="1">
                  <from>
                    <xdr:col>4</xdr:col>
                    <xdr:colOff>0</xdr:colOff>
                    <xdr:row>53</xdr:row>
                    <xdr:rowOff>28575</xdr:rowOff>
                  </from>
                  <to>
                    <xdr:col>5</xdr:col>
                    <xdr:colOff>28575</xdr:colOff>
                    <xdr:row>53</xdr:row>
                    <xdr:rowOff>266700</xdr:rowOff>
                  </to>
                </anchor>
              </controlPr>
            </control>
          </mc:Choice>
        </mc:AlternateContent>
        <mc:AlternateContent xmlns:mc="http://schemas.openxmlformats.org/markup-compatibility/2006">
          <mc:Choice Requires="x14">
            <control shapeId="11275" r:id="rId12" name="Drop Down 11">
              <controlPr locked="0" defaultSize="0" autoLine="0" autoPict="0">
                <anchor moveWithCells="1">
                  <from>
                    <xdr:col>4</xdr:col>
                    <xdr:colOff>200025</xdr:colOff>
                    <xdr:row>57</xdr:row>
                    <xdr:rowOff>66675</xdr:rowOff>
                  </from>
                  <to>
                    <xdr:col>4</xdr:col>
                    <xdr:colOff>1047750</xdr:colOff>
                    <xdr:row>57</xdr:row>
                    <xdr:rowOff>314325</xdr:rowOff>
                  </to>
                </anchor>
              </controlPr>
            </control>
          </mc:Choice>
        </mc:AlternateContent>
        <mc:AlternateContent xmlns:mc="http://schemas.openxmlformats.org/markup-compatibility/2006">
          <mc:Choice Requires="x14">
            <control shapeId="11276" r:id="rId13" name="Drop Down 12">
              <controlPr defaultSize="0" autoLine="0" autoPict="0">
                <anchor moveWithCells="1">
                  <from>
                    <xdr:col>4</xdr:col>
                    <xdr:colOff>0</xdr:colOff>
                    <xdr:row>4</xdr:row>
                    <xdr:rowOff>47625</xdr:rowOff>
                  </from>
                  <to>
                    <xdr:col>4</xdr:col>
                    <xdr:colOff>800100</xdr:colOff>
                    <xdr:row>4</xdr:row>
                    <xdr:rowOff>257175</xdr:rowOff>
                  </to>
                </anchor>
              </controlPr>
            </control>
          </mc:Choice>
        </mc:AlternateContent>
        <mc:AlternateContent xmlns:mc="http://schemas.openxmlformats.org/markup-compatibility/2006">
          <mc:Choice Requires="x14">
            <control shapeId="11277" r:id="rId14" name="Drop Down 13">
              <controlPr defaultSize="0" autoLine="0" autoPict="0">
                <anchor moveWithCells="1">
                  <from>
                    <xdr:col>4</xdr:col>
                    <xdr:colOff>809625</xdr:colOff>
                    <xdr:row>4</xdr:row>
                    <xdr:rowOff>66675</xdr:rowOff>
                  </from>
                  <to>
                    <xdr:col>5</xdr:col>
                    <xdr:colOff>209550</xdr:colOff>
                    <xdr:row>4</xdr:row>
                    <xdr:rowOff>276225</xdr:rowOff>
                  </to>
                </anchor>
              </controlPr>
            </control>
          </mc:Choice>
        </mc:AlternateContent>
        <mc:AlternateContent xmlns:mc="http://schemas.openxmlformats.org/markup-compatibility/2006">
          <mc:Choice Requires="x14">
            <control shapeId="11278" r:id="rId15" name="Drop Down 14">
              <controlPr defaultSize="0" autoLine="0" autoPict="0">
                <anchor moveWithCells="1">
                  <from>
                    <xdr:col>4</xdr:col>
                    <xdr:colOff>9525</xdr:colOff>
                    <xdr:row>4</xdr:row>
                    <xdr:rowOff>304800</xdr:rowOff>
                  </from>
                  <to>
                    <xdr:col>4</xdr:col>
                    <xdr:colOff>809625</xdr:colOff>
                    <xdr:row>5</xdr:row>
                    <xdr:rowOff>161925</xdr:rowOff>
                  </to>
                </anchor>
              </controlPr>
            </control>
          </mc:Choice>
        </mc:AlternateContent>
        <mc:AlternateContent xmlns:mc="http://schemas.openxmlformats.org/markup-compatibility/2006">
          <mc:Choice Requires="x14">
            <control shapeId="11279" r:id="rId16" name="Drop Down 15">
              <controlPr defaultSize="0" autoLine="0" autoPict="0">
                <anchor moveWithCells="1">
                  <from>
                    <xdr:col>4</xdr:col>
                    <xdr:colOff>828675</xdr:colOff>
                    <xdr:row>4</xdr:row>
                    <xdr:rowOff>304800</xdr:rowOff>
                  </from>
                  <to>
                    <xdr:col>5</xdr:col>
                    <xdr:colOff>219075</xdr:colOff>
                    <xdr:row>5</xdr:row>
                    <xdr:rowOff>161925</xdr:rowOff>
                  </to>
                </anchor>
              </controlPr>
            </control>
          </mc:Choice>
        </mc:AlternateContent>
        <mc:AlternateContent xmlns:mc="http://schemas.openxmlformats.org/markup-compatibility/2006">
          <mc:Choice Requires="x14">
            <control shapeId="11285" r:id="rId17" name="Drop Down 21">
              <controlPr defaultSize="0" autoLine="0" autoPict="0">
                <anchor moveWithCells="1" sizeWithCells="1">
                  <from>
                    <xdr:col>4</xdr:col>
                    <xdr:colOff>114300</xdr:colOff>
                    <xdr:row>53</xdr:row>
                    <xdr:rowOff>333375</xdr:rowOff>
                  </from>
                  <to>
                    <xdr:col>4</xdr:col>
                    <xdr:colOff>1143000</xdr:colOff>
                    <xdr:row>53</xdr:row>
                    <xdr:rowOff>571500</xdr:rowOff>
                  </to>
                </anchor>
              </controlPr>
            </control>
          </mc:Choice>
        </mc:AlternateContent>
        <mc:AlternateContent xmlns:mc="http://schemas.openxmlformats.org/markup-compatibility/2006">
          <mc:Choice Requires="x14">
            <control shapeId="11286" r:id="rId18" name="Drop Down 22">
              <controlPr locked="0" defaultSize="0" autoLine="0" autoPict="0">
                <anchor moveWithCells="1">
                  <from>
                    <xdr:col>4</xdr:col>
                    <xdr:colOff>161925</xdr:colOff>
                    <xdr:row>41</xdr:row>
                    <xdr:rowOff>123825</xdr:rowOff>
                  </from>
                  <to>
                    <xdr:col>4</xdr:col>
                    <xdr:colOff>990600</xdr:colOff>
                    <xdr:row>41</xdr:row>
                    <xdr:rowOff>371475</xdr:rowOff>
                  </to>
                </anchor>
              </controlPr>
            </control>
          </mc:Choice>
        </mc:AlternateContent>
        <mc:AlternateContent xmlns:mc="http://schemas.openxmlformats.org/markup-compatibility/2006">
          <mc:Choice Requires="x14">
            <control shapeId="11287" r:id="rId19" name="Drop Down 23">
              <controlPr locked="0" defaultSize="0" autoLine="0" autoPict="0">
                <anchor moveWithCells="1">
                  <from>
                    <xdr:col>4</xdr:col>
                    <xdr:colOff>142875</xdr:colOff>
                    <xdr:row>43</xdr:row>
                    <xdr:rowOff>295275</xdr:rowOff>
                  </from>
                  <to>
                    <xdr:col>4</xdr:col>
                    <xdr:colOff>981075</xdr:colOff>
                    <xdr:row>43</xdr:row>
                    <xdr:rowOff>542925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tabColor indexed="39"/>
    <pageSetUpPr fitToPage="1"/>
  </sheetPr>
  <dimension ref="A1:H65"/>
  <sheetViews>
    <sheetView zoomScale="75" zoomScaleNormal="75" zoomScaleSheetLayoutView="75" workbookViewId="0">
      <selection activeCell="C9" sqref="C9"/>
    </sheetView>
  </sheetViews>
  <sheetFormatPr defaultRowHeight="12.75" x14ac:dyDescent="0.2"/>
  <cols>
    <col min="1" max="1" width="3" style="51" customWidth="1"/>
    <col min="2" max="2" width="38" style="51" customWidth="1"/>
    <col min="3" max="3" width="26.5703125" style="51" customWidth="1"/>
    <col min="4" max="4" width="9.140625" style="51"/>
    <col min="5" max="5" width="31.140625" style="51" customWidth="1"/>
    <col min="6" max="6" width="20.5703125" style="51" customWidth="1"/>
    <col min="7" max="7" width="9.140625" style="51"/>
    <col min="8" max="8" width="96.7109375" style="437" customWidth="1"/>
    <col min="9" max="16384" width="9.140625" style="51"/>
  </cols>
  <sheetData>
    <row r="1" spans="2:8" ht="13.5" thickBot="1" x14ac:dyDescent="0.25">
      <c r="B1" s="69"/>
      <c r="C1" s="69"/>
      <c r="D1" s="93" t="s">
        <v>693</v>
      </c>
      <c r="E1" s="69"/>
      <c r="F1" s="69"/>
    </row>
    <row r="2" spans="2:8" ht="14.25" thickTop="1" thickBot="1" x14ac:dyDescent="0.25">
      <c r="B2" s="69"/>
      <c r="C2" s="352"/>
      <c r="D2" s="353" t="s">
        <v>323</v>
      </c>
      <c r="E2" s="354"/>
      <c r="F2" s="69"/>
    </row>
    <row r="3" spans="2:8" ht="14.25" thickTop="1" thickBot="1" x14ac:dyDescent="0.25"/>
    <row r="4" spans="2:8" ht="14.25" thickTop="1" thickBot="1" x14ac:dyDescent="0.25">
      <c r="B4" s="891" t="s">
        <v>242</v>
      </c>
      <c r="C4" s="892">
        <f>LOCATION!D12</f>
        <v>240</v>
      </c>
      <c r="D4" s="85" t="s">
        <v>222</v>
      </c>
    </row>
    <row r="5" spans="2:8" ht="14.25" thickTop="1" thickBot="1" x14ac:dyDescent="0.25">
      <c r="B5" s="889" t="s">
        <v>222</v>
      </c>
      <c r="C5" s="890" t="s">
        <v>222</v>
      </c>
      <c r="D5" s="89" t="s">
        <v>222</v>
      </c>
    </row>
    <row r="6" spans="2:8" ht="36" customHeight="1" thickTop="1" x14ac:dyDescent="0.2">
      <c r="B6" s="467" t="s">
        <v>55</v>
      </c>
      <c r="C6" s="670" t="str">
        <f>VLOOKUP(Factors!J57,Factors!I53:J56,2)</f>
        <v>API 95J</v>
      </c>
      <c r="D6" s="86"/>
      <c r="H6" s="436" t="s">
        <v>751</v>
      </c>
    </row>
    <row r="7" spans="2:8" x14ac:dyDescent="0.2">
      <c r="B7" s="178" t="s">
        <v>495</v>
      </c>
      <c r="C7" s="690">
        <f>LOCATION!D16</f>
        <v>62.6</v>
      </c>
      <c r="D7" s="85" t="s">
        <v>222</v>
      </c>
    </row>
    <row r="8" spans="2:8" ht="11.25" customHeight="1" x14ac:dyDescent="0.2">
      <c r="B8" s="240" t="s">
        <v>479</v>
      </c>
      <c r="C8" s="691" t="str">
        <f>IF(OR((AND(C4&lt;=40,C7&gt;=46.5)),(AND(C4&gt;=80,C7&gt;=62)),(AND(80&gt;C4&gt;40,C7&gt;(46.5+15.5/40*(C4-40))))),"Complies with API 95J","&lt;API 95J ")</f>
        <v>Complies with API 95J</v>
      </c>
      <c r="D8" s="85"/>
    </row>
    <row r="9" spans="2:8" x14ac:dyDescent="0.2">
      <c r="B9" s="240" t="s">
        <v>496</v>
      </c>
      <c r="C9" s="692">
        <f>Factors!P8</f>
        <v>62</v>
      </c>
      <c r="D9" s="85"/>
    </row>
    <row r="10" spans="2:8" ht="51" x14ac:dyDescent="0.2">
      <c r="B10" s="240" t="s">
        <v>777</v>
      </c>
      <c r="C10" s="870" t="str">
        <f>IF(AND(C6="API 95J",C7&gt;C9),"YES",(C7-C9))</f>
        <v>YES</v>
      </c>
      <c r="D10" s="85"/>
      <c r="H10" s="436" t="s">
        <v>778</v>
      </c>
    </row>
    <row r="11" spans="2:8" ht="29.25" customHeight="1" x14ac:dyDescent="0.2">
      <c r="B11" s="655" t="s">
        <v>11</v>
      </c>
      <c r="C11" s="395" t="str">
        <f>IF(OR(LOCATION!D19&lt;82.5,LOCATION!D19&gt;97.5),"Not in GoM",IF(AND(LOCATION!$D$19&gt;=86,LOCATION!$D$19&lt;=89.5,LOCATION!$D$12&gt;230),"YES, MUST USE API95J OR SITE SPECIFIC DATA",IF(Factors!G471=1,"YES, MUST USE API95J OR SITE SPECIFIC DATA",IF(C4&lt;32.2,"Yes, Must use Site Specific Data due W.D.","NO"))))</f>
        <v>NO</v>
      </c>
      <c r="D11" s="85"/>
      <c r="H11" s="436" t="s">
        <v>405</v>
      </c>
    </row>
    <row r="12" spans="2:8" ht="25.5" customHeight="1" x14ac:dyDescent="0.2">
      <c r="B12" s="453" t="s">
        <v>14</v>
      </c>
      <c r="C12" s="53" t="str">
        <f>IF(C4&lt;32.2,"N/A",IF(C11="YES, MUST USE API95J OR SITE SPECIFIC DATA","N/A",IF($C$7&gt;($F$29*1.03+4),"YES","NO")))</f>
        <v>YES</v>
      </c>
      <c r="D12" s="89"/>
      <c r="H12" s="436" t="s">
        <v>761</v>
      </c>
    </row>
    <row r="13" spans="2:8" ht="26.25" customHeight="1" thickBot="1" x14ac:dyDescent="0.25">
      <c r="B13" s="58" t="s">
        <v>620</v>
      </c>
      <c r="C13" s="55" t="str">
        <f>IF(C4&lt;32.2,"N/A",IF(C11="YES, MUST USE API95J OR SITE SPECIFIC DATA","N/A", IF($C$7&gt;($F$29),"YES","NO")))</f>
        <v>YES</v>
      </c>
      <c r="D13" s="89"/>
      <c r="H13" s="436" t="s">
        <v>764</v>
      </c>
    </row>
    <row r="14" spans="2:8" ht="20.25" customHeight="1" thickTop="1" thickBot="1" x14ac:dyDescent="0.25">
      <c r="B14" s="58" t="s">
        <v>684</v>
      </c>
      <c r="C14" s="57" t="str">
        <f>IF(Factors!$J$57&lt;4,"Please Ignore",IF(AND(C29&gt;0,$C$7&gt;$C$29),"YES","NO"))</f>
        <v>Please Ignore</v>
      </c>
      <c r="H14" s="436" t="s">
        <v>765</v>
      </c>
    </row>
    <row r="15" spans="2:8" ht="26.25" thickTop="1" x14ac:dyDescent="0.2">
      <c r="B15" s="467" t="s">
        <v>406</v>
      </c>
      <c r="C15" s="827" t="str">
        <f>VLOOKUP(Factors!AE14,Factors!AD4:'Factors'!AE13,2)</f>
        <v>10-Yr Site Specific</v>
      </c>
      <c r="D15" s="826"/>
      <c r="H15" s="436" t="s">
        <v>766</v>
      </c>
    </row>
    <row r="16" spans="2:8" ht="21" customHeight="1" thickBot="1" x14ac:dyDescent="0.25">
      <c r="B16" s="52" t="s">
        <v>384</v>
      </c>
      <c r="C16" s="814"/>
    </row>
    <row r="17" spans="1:8" ht="21" customHeight="1" thickTop="1" x14ac:dyDescent="0.2">
      <c r="B17" s="52" t="s">
        <v>407</v>
      </c>
      <c r="C17" s="814"/>
      <c r="E17" s="28" t="s">
        <v>86</v>
      </c>
      <c r="F17" s="36"/>
      <c r="H17" s="436" t="s">
        <v>776</v>
      </c>
    </row>
    <row r="18" spans="1:8" ht="29.25" customHeight="1" x14ac:dyDescent="0.2">
      <c r="B18" s="453" t="s">
        <v>385</v>
      </c>
      <c r="C18" s="814"/>
      <c r="E18" s="656" t="s">
        <v>87</v>
      </c>
      <c r="F18" s="657" t="str">
        <f>LOCATION!D25</f>
        <v>West Central</v>
      </c>
    </row>
    <row r="19" spans="1:8" x14ac:dyDescent="0.2">
      <c r="B19" s="52" t="str">
        <f>Equations!$A$23</f>
        <v>1-min Wind 100 Yr (kts)</v>
      </c>
      <c r="C19" s="815"/>
      <c r="E19" s="174" t="str">
        <f>Equations!$A$23</f>
        <v>1-min Wind 100 Yr (kts)</v>
      </c>
      <c r="F19" s="801">
        <f>Equations!$B$23</f>
        <v>93.604399999999998</v>
      </c>
    </row>
    <row r="20" spans="1:8" x14ac:dyDescent="0.2">
      <c r="B20" s="52" t="str">
        <f>Equations!$A$22</f>
        <v>1-min Wind 50 Yr (kts)</v>
      </c>
      <c r="C20" s="815"/>
      <c r="E20" s="174" t="str">
        <f>Equations!$A$22</f>
        <v>1-min Wind 50 Yr (kts)</v>
      </c>
      <c r="F20" s="801">
        <f>Equations!$B$22</f>
        <v>83.311799999999991</v>
      </c>
    </row>
    <row r="21" spans="1:8" x14ac:dyDescent="0.2">
      <c r="B21" s="52" t="str">
        <f>Equations!$A$21</f>
        <v>1-min Wind 10 Yr (kts)</v>
      </c>
      <c r="C21" s="815"/>
      <c r="E21" s="174" t="str">
        <f>Equations!$A$21</f>
        <v>1-min Wind 10 Yr (kts)</v>
      </c>
      <c r="F21" s="801">
        <f>Equations!$B$21</f>
        <v>58.4542</v>
      </c>
    </row>
    <row r="22" spans="1:8" x14ac:dyDescent="0.2">
      <c r="B22" s="828"/>
      <c r="C22" s="815"/>
      <c r="E22" s="174"/>
      <c r="F22" s="801"/>
    </row>
    <row r="23" spans="1:8" x14ac:dyDescent="0.2">
      <c r="A23" s="51" t="s">
        <v>222</v>
      </c>
      <c r="B23" s="52" t="s">
        <v>386</v>
      </c>
      <c r="C23" s="558">
        <v>0</v>
      </c>
      <c r="E23" s="174"/>
      <c r="F23" s="802"/>
    </row>
    <row r="24" spans="1:8" x14ac:dyDescent="0.2">
      <c r="B24" s="52" t="s">
        <v>387</v>
      </c>
      <c r="C24" s="558">
        <v>50</v>
      </c>
      <c r="E24" s="174" t="s">
        <v>332</v>
      </c>
      <c r="F24" s="692">
        <f>IF(C4&lt;32.2,"N/A too Shallow",Equations!$B$17*3.2808)</f>
        <v>61.977787815680912</v>
      </c>
    </row>
    <row r="25" spans="1:8" x14ac:dyDescent="0.2">
      <c r="B25" s="242" t="s">
        <v>388</v>
      </c>
      <c r="C25" s="558">
        <v>0</v>
      </c>
      <c r="D25" s="51" t="s">
        <v>222</v>
      </c>
      <c r="E25" s="174" t="s">
        <v>518</v>
      </c>
      <c r="F25" s="692">
        <f>IF(C4&lt;32.2,"N/A too Shallow",Equations!$B$18*3.2808)</f>
        <v>58.103176325019504</v>
      </c>
    </row>
    <row r="26" spans="1:8" ht="22.5" customHeight="1" x14ac:dyDescent="0.2">
      <c r="B26" s="52" t="s">
        <v>389</v>
      </c>
      <c r="C26" s="558">
        <v>0</v>
      </c>
      <c r="E26" s="174" t="s">
        <v>744</v>
      </c>
      <c r="F26" s="692">
        <f>IF(C4&lt;32.2,"N/A too Shallow",Equations!$B$19*3.2808)</f>
        <v>51.258818094571282</v>
      </c>
    </row>
    <row r="27" spans="1:8" ht="22.5" customHeight="1" x14ac:dyDescent="0.2">
      <c r="B27" s="52" t="s">
        <v>763</v>
      </c>
      <c r="C27" s="876">
        <f>(VLOOKUP(Factors!J67,Factors!I64:J66,2))*(C23)</f>
        <v>0</v>
      </c>
      <c r="E27" s="174" t="s">
        <v>519</v>
      </c>
      <c r="F27" s="802"/>
    </row>
    <row r="28" spans="1:8" x14ac:dyDescent="0.2">
      <c r="B28" s="52" t="s">
        <v>480</v>
      </c>
      <c r="C28" s="557">
        <v>0</v>
      </c>
      <c r="E28" s="174"/>
      <c r="F28" s="802"/>
    </row>
    <row r="29" spans="1:8" ht="26.25" thickBot="1" x14ac:dyDescent="0.25">
      <c r="B29" s="453" t="s">
        <v>37</v>
      </c>
      <c r="C29" s="693">
        <f>C23+C25+C26+C27+C28</f>
        <v>0</v>
      </c>
      <c r="E29" s="651" t="s">
        <v>322</v>
      </c>
      <c r="F29" s="803">
        <f>IF(C4&lt;32.2,"N/A too Shallow",Equations!B16*3.2808)</f>
        <v>43.29650749711778</v>
      </c>
    </row>
    <row r="30" spans="1:8" ht="14.25" thickTop="1" thickBot="1" x14ac:dyDescent="0.25">
      <c r="E30" s="652"/>
      <c r="F30" s="653"/>
    </row>
    <row r="31" spans="1:8" ht="13.5" thickTop="1" x14ac:dyDescent="0.2">
      <c r="B31" s="37" t="s">
        <v>324</v>
      </c>
      <c r="C31" s="30" t="s">
        <v>228</v>
      </c>
    </row>
    <row r="32" spans="1:8" x14ac:dyDescent="0.2">
      <c r="B32" s="91" t="s">
        <v>38</v>
      </c>
      <c r="C32" s="391">
        <f>-3.12381*10^-9*C4^4+3.3238095*10^-6*C4^3-0.0013433333*C4^2+0.2551904762*C4+20.90285</f>
        <v>40.356856870399994</v>
      </c>
    </row>
    <row r="33" spans="2:8" ht="25.5" x14ac:dyDescent="0.2">
      <c r="B33" s="59" t="s">
        <v>39</v>
      </c>
      <c r="C33" s="60">
        <f>4.40984*10^-7*C4^3-4.43096*10^-4*C4^2+0.146561*C4+21.2589</f>
        <v>37.007373215999998</v>
      </c>
      <c r="H33" s="436" t="s">
        <v>773</v>
      </c>
    </row>
    <row r="34" spans="2:8" ht="19.5" customHeight="1" thickBot="1" x14ac:dyDescent="0.25">
      <c r="B34" s="52" t="s">
        <v>40</v>
      </c>
      <c r="C34" s="56">
        <f>4.80601*10^-7*C4^3-4.45268*10^-4*C4^2+0.139595*C4+18.0798</f>
        <v>32.578991423999994</v>
      </c>
      <c r="H34" s="436" t="s">
        <v>774</v>
      </c>
    </row>
    <row r="35" spans="2:8" ht="14.25" thickTop="1" thickBot="1" x14ac:dyDescent="0.25">
      <c r="B35" s="52" t="s">
        <v>317</v>
      </c>
      <c r="C35" s="556"/>
      <c r="D35" s="831"/>
      <c r="E35" s="342" t="s">
        <v>331</v>
      </c>
      <c r="F35" s="694">
        <f>IF(C4&lt;32.2,"N/A too Shallow",Equations!B20*3.2808)</f>
        <v>40.736622800594617</v>
      </c>
      <c r="H35" s="829"/>
    </row>
    <row r="36" spans="2:8" ht="12" customHeight="1" thickTop="1" thickBot="1" x14ac:dyDescent="0.25">
      <c r="B36" s="71"/>
      <c r="C36" s="61"/>
      <c r="H36" s="830"/>
    </row>
    <row r="37" spans="2:8" ht="70.5" thickTop="1" x14ac:dyDescent="0.2">
      <c r="B37" s="37" t="s">
        <v>224</v>
      </c>
      <c r="C37" s="854"/>
      <c r="D37" s="442"/>
      <c r="E37" s="37" t="s">
        <v>224</v>
      </c>
      <c r="F37" s="30" t="s">
        <v>767</v>
      </c>
      <c r="H37" s="436" t="s">
        <v>584</v>
      </c>
    </row>
    <row r="38" spans="2:8" x14ac:dyDescent="0.2">
      <c r="B38" s="38" t="s">
        <v>223</v>
      </c>
      <c r="C38" s="855" t="s">
        <v>224</v>
      </c>
      <c r="D38" s="376"/>
      <c r="E38" s="845" t="s">
        <v>88</v>
      </c>
      <c r="F38" s="40" t="s">
        <v>334</v>
      </c>
    </row>
    <row r="39" spans="2:8" x14ac:dyDescent="0.2">
      <c r="B39" s="62" t="s">
        <v>41</v>
      </c>
      <c r="C39" s="856">
        <f>2.9619*10^-9*C4^4-3.14524*10^-6*C4^3+0.0011416*C4^2-0.163762*C4+73.3086</f>
        <v>66.108955584</v>
      </c>
      <c r="D39" s="376"/>
      <c r="E39" s="846">
        <f>C39</f>
        <v>66.108955584</v>
      </c>
      <c r="F39" s="847"/>
    </row>
    <row r="40" spans="2:8" x14ac:dyDescent="0.2">
      <c r="B40" s="64" t="s">
        <v>748</v>
      </c>
      <c r="C40" s="856">
        <f>5.0381*10^-9*C4^4-4.95476*10^-6*C4^3+0.00161333*C4^2-0.190738*C4+65.6914</f>
        <v>61.062692416000004</v>
      </c>
      <c r="D40" s="853"/>
      <c r="E40" s="848">
        <f>C40</f>
        <v>61.062692416000004</v>
      </c>
      <c r="F40" s="849"/>
    </row>
    <row r="41" spans="2:8" x14ac:dyDescent="0.2">
      <c r="B41" s="62" t="s">
        <v>749</v>
      </c>
      <c r="C41" s="856">
        <f>6.28415*10^-8*C4^3-6.09521*10^-5*C4^2+0.0211364*C4+50.6706</f>
        <v>53.101215936000003</v>
      </c>
      <c r="D41" s="376"/>
      <c r="E41" s="846">
        <f>C41</f>
        <v>53.101215936000003</v>
      </c>
      <c r="F41" s="847"/>
      <c r="H41" s="437" t="s">
        <v>222</v>
      </c>
    </row>
    <row r="42" spans="2:8" x14ac:dyDescent="0.2">
      <c r="B42" s="62" t="s">
        <v>733</v>
      </c>
      <c r="C42" s="558">
        <v>0</v>
      </c>
      <c r="D42" s="376"/>
      <c r="E42" s="850">
        <f>IF(AND(Factors!$T$13=2,Factors!$V$14=1),C42,IF(AND(Factors!$T$13=1,Factors!$V$14=1),C42*(1.007+0.002228*C42),IF(AND(Factors!$T$13=2,Factors!$V$14=2),0.0592*C42,IF(AND(Factors!$T$13=1,Factors!$V$14=2),C42*(1.1007+0.00132*C42),IF(AND(Factors!$T$13=2,Factors!$V$14=3),C42*1.942,IF(AND(Factors!$T$13=1,Factors!$V$14=3),C33*(1.007+C42*0.004331),"false"))))))</f>
        <v>0</v>
      </c>
      <c r="F42" s="801">
        <f>Equations!B21</f>
        <v>58.4542</v>
      </c>
      <c r="G42" s="51" t="s">
        <v>222</v>
      </c>
    </row>
    <row r="43" spans="2:8" x14ac:dyDescent="0.2">
      <c r="B43" s="62" t="s">
        <v>329</v>
      </c>
      <c r="C43" s="558">
        <v>0</v>
      </c>
      <c r="D43" s="376"/>
      <c r="E43" s="850">
        <f>IF(AND(Factors!$T$13=2,Factors!$V$14=1),C43,IF(AND(Factors!$T$13=1,Factors!$V$14=1),C43*(1.007+0.002228*C43),IF(AND(Factors!$T$13=2,Factors!$V$14=2),0.0592*C43,IF(AND(Factors!$T$13=1,Factors!$V$14=2),C43*(1.1007+0.00132*C43),IF(AND(Factors!$T$13=2,Factors!$V$14=3),C43*1.942,IF(AND(Factors!$T$13=1,Factors!$V$14=3),C34*(1.007+C43*0.004331),"false"))))))</f>
        <v>0</v>
      </c>
      <c r="F43" s="801">
        <f>Equations!B22</f>
        <v>83.311799999999991</v>
      </c>
      <c r="G43" s="51" t="s">
        <v>222</v>
      </c>
    </row>
    <row r="44" spans="2:8" ht="13.5" thickBot="1" x14ac:dyDescent="0.25">
      <c r="B44" s="832" t="s">
        <v>330</v>
      </c>
      <c r="C44" s="857">
        <v>0</v>
      </c>
      <c r="D44" s="376"/>
      <c r="E44" s="851">
        <f>IF(AND(Factors!$T$13=2,Factors!$V$14=1),C44,IF(AND(Factors!$T$13=1,Factors!$V$14=1),C44*(1.007+0.002228*C44),IF(AND(Factors!$T$13=2,Factors!$V$14=2),0.0592*C44,IF(AND(Factors!$T$13=1,Factors!$V$14=2),C44*(1.1007+0.00132*C44),IF(AND(Factors!$T$13=2,Factors!$V$14=3),C44*1.942,IF(AND(Factors!$T$13=1,Factors!$V$14=3),C35*(1.007+C44*0.004331),"false"))))))</f>
        <v>0</v>
      </c>
      <c r="F44" s="852">
        <f>Equations!B23</f>
        <v>93.604399999999998</v>
      </c>
    </row>
    <row r="45" spans="2:8" ht="16.5" customHeight="1" thickTop="1" thickBot="1" x14ac:dyDescent="0.25">
      <c r="B45" s="66"/>
      <c r="C45" s="67"/>
      <c r="E45" s="68"/>
      <c r="G45" s="51" t="s">
        <v>222</v>
      </c>
    </row>
    <row r="46" spans="2:8" ht="21.75" customHeight="1" thickTop="1" x14ac:dyDescent="0.2">
      <c r="B46" s="37" t="s">
        <v>338</v>
      </c>
      <c r="C46" s="343"/>
      <c r="E46" s="29" t="s">
        <v>337</v>
      </c>
      <c r="F46" s="41"/>
      <c r="G46" s="224"/>
      <c r="H46" s="453" t="s">
        <v>750</v>
      </c>
    </row>
    <row r="47" spans="2:8" ht="14.25" customHeight="1" x14ac:dyDescent="0.2">
      <c r="B47" s="38" t="s">
        <v>42</v>
      </c>
      <c r="C47" s="344" t="s">
        <v>302</v>
      </c>
      <c r="E47" s="39" t="s">
        <v>223</v>
      </c>
      <c r="F47" s="42" t="s">
        <v>336</v>
      </c>
      <c r="G47" s="42" t="s">
        <v>302</v>
      </c>
      <c r="H47" s="453" t="s">
        <v>43</v>
      </c>
    </row>
    <row r="48" spans="2:8" ht="14.25" customHeight="1" x14ac:dyDescent="0.2">
      <c r="B48" s="62" t="s">
        <v>251</v>
      </c>
      <c r="C48" s="695">
        <f>IF($C$4&lt;25.0001,"Not Applicable",IF($C$4&gt;300.0001,Factors!$Z$24+(Factors!$Z$23-Factors!$Z$24)/(400-300)*(-$C$4+400),IF($C$4&gt;200.0001,Factors!$Z$23+(Factors!$Z$22-Factors!Z$23)/(300-200)*(-$C$4+300),IF($C$4&gt;100.0001,Factors!$Z$22+(Factors!$Z$21-Factors!$Z$22)/(200-100)*(-$C$4+200),IF($C$4&gt;50.0001,Factors!$Z$21+(Factors!$Z$20-Factors!$Z$21)/(100-50)*(-$C$4+100),IF(C4&gt;=25,Factors!Z20+(Factors!Z19-Factors!Z20)/(50-25)*(-C4+50)))))))</f>
        <v>1.5979999999999999</v>
      </c>
      <c r="D48" s="66"/>
      <c r="E48" s="345" t="s">
        <v>262</v>
      </c>
      <c r="F48" s="552">
        <v>1</v>
      </c>
      <c r="G48" s="63">
        <f>Factors!$V$21*F48</f>
        <v>0.59209999999999996</v>
      </c>
    </row>
    <row r="49" spans="2:8" ht="14.25" customHeight="1" x14ac:dyDescent="0.2">
      <c r="B49" s="62" t="s">
        <v>252</v>
      </c>
      <c r="C49" s="695">
        <f>IF($C$4&lt;25.0001,"Not Applicable",IF($C$4&gt;300.0001,Factors!AA24+(Factors!AA23-Factors!AA24)/(400-300)*(-$C$4+400),IF($C$4&gt;200.0001,Factors!AA23+(Factors!AA22-Factors!AA23)/(300-200)*(-$C$4+300),IF($C$4&gt;100.0001,Factors!AA22+(Factors!AA21-Factors!AA22)/(200-100)*(-$C$4+200),IF($C$4&gt;50.0001,Factors!AA21+(Factors!AA20-Factors!AA21)/(100-50)*(-$C$4+100),IF(C4&gt;=25,(Factors!AA20+(Factors!AA19-Factors!AA20)/(50-25)*(-C4+50))))))))</f>
        <v>1.49</v>
      </c>
      <c r="D49" s="66"/>
      <c r="E49" s="345" t="s">
        <v>263</v>
      </c>
      <c r="F49" s="552"/>
      <c r="G49" s="63">
        <f>Factors!$V$21*F49</f>
        <v>0</v>
      </c>
    </row>
    <row r="50" spans="2:8" ht="14.25" customHeight="1" x14ac:dyDescent="0.2">
      <c r="B50" s="62" t="s">
        <v>258</v>
      </c>
      <c r="C50" s="695">
        <f>IF($C$4&lt;25.0001,"Not Applicable",IF($C$4&gt;300.0001,Factors!AB24+(Factors!AB23-Factors!AB24)/(400-300)*(-$C$4+400),IF($C$4&gt;200.0001,Factors!AB23+(Factors!AB22-Factors!AB23)/(300-200)*(-$C$4+300),IF($C$4&gt;100.0001,Factors!AB22+(Factors!AB21-Factors!AB22)/(200-100)*(-$C$4+200),IF($C$4&gt;50.0001,Factors!AB21+(Factors!AB20-Factors!AB21)/(100-50)*(-$C$4+100),IF(C4&gt;=25,(Factors!AB20+(Factors!AB19-Factors!AB20)/(50-25)*(-C4+50))))))))</f>
        <v>1.4039999999999999</v>
      </c>
      <c r="D50" s="66"/>
      <c r="E50" s="345" t="s">
        <v>264</v>
      </c>
      <c r="F50" s="552"/>
      <c r="G50" s="63">
        <f>Factors!$V$21*F50</f>
        <v>0</v>
      </c>
    </row>
    <row r="51" spans="2:8" ht="14.25" customHeight="1" x14ac:dyDescent="0.2">
      <c r="B51" s="62" t="s">
        <v>259</v>
      </c>
      <c r="C51" s="695">
        <f>IF($C$4&lt;25.0001,"Not Applicable",IF($C$4&gt;300.0001,Factors!AC24+(Factors!AC23-Factors!AC24)/(400-300)*(-$C$4+400),IF($C$4&gt;200.0001,Factors!AC23+(Factors!AC22-Factors!AC23)/(300-200)*(-$C$4+300),IF($C$4&gt;100.0001,Factors!AC22+(Factors!AC21-Factors!AC22)/(200-100)*(-$C$4+200),IF($C$4&gt;50.0001,Factors!AC21+(Factors!AC20-Factors!AC21)/(100-50)*(-$C$4+100),IF(C4&gt;=25,(Factors!AC20+(Factors!AC19-Factors!AC20)/(50-25)*(-C4+50))))))))</f>
        <v>-42.647999999999996</v>
      </c>
      <c r="D51" s="87" t="s">
        <v>335</v>
      </c>
      <c r="E51" s="345" t="s">
        <v>259</v>
      </c>
      <c r="F51" s="552"/>
      <c r="G51" s="554">
        <f>F51</f>
        <v>0</v>
      </c>
      <c r="H51" s="437" t="s">
        <v>408</v>
      </c>
    </row>
    <row r="52" spans="2:8" ht="14.25" customHeight="1" x14ac:dyDescent="0.2">
      <c r="B52" s="64" t="s">
        <v>646</v>
      </c>
      <c r="C52" s="695">
        <f>IF($C$4&lt;25.0001,"Not Applicable",IF($C$4&gt;300.0001,Factors!$Z$17+(Factors!$Z$16-Factors!$Z$17)/(400-300)*(-$C$4+400),IF($C$4&gt;200.0001,Factors!$Z$16+(Factors!$Z$15-Factors!Z$16)/(300-200)*(-$C$4+300),IF($C$4&gt;100.0001,Factors!$Z$15+(Factors!$Z$14-Factors!$Z$15)/(200-100)*(-$C$4+200),IF($C$4&gt;50.0001,Factors!$Z$14+(Factors!$Z$13-Factors!$Z$14)/(100-50)*(-$C$4+100),IF(C4&gt;=25,(Factors!Z12+(Factors!Z13-Factors!Z20)/(50-25)*(-C4+50))))))))</f>
        <v>1.466</v>
      </c>
      <c r="D52" s="87"/>
      <c r="E52" s="345" t="s">
        <v>270</v>
      </c>
      <c r="F52" s="552"/>
      <c r="G52" s="63">
        <f>Factors!$V$21*F52</f>
        <v>0</v>
      </c>
    </row>
    <row r="53" spans="2:8" ht="14.25" customHeight="1" x14ac:dyDescent="0.2">
      <c r="B53" s="64" t="s">
        <v>253</v>
      </c>
      <c r="C53" s="695">
        <f>IF($C$4&lt;25.0001,"Not Applicable",IF($C$4&gt;300.0001,Factors!$AA$17+(Factors!$AA$16-Factors!$AA$17)/(400-300)*(-$C$4+400),IF($C$4&gt;200.0001,Factors!$AA$16+(Factors!$AA$15-Factors!AA$16)/(300-200)*(-$C$4+300),IF($C$4&gt;100.0001,Factors!$AA$15+(Factors!$AA$14-Factors!$AA$15)/(200-100)*(-$C$4+200),IF($C$4&gt;50.0001,Factors!$AA$14+(Factors!$Z$13-Factors!$AA$14)/(100-50)*(-$C$4+100),IF(C4&gt;=25,(Factors!AA12+(Factors!AA13-Factors!AA20)/(50-25)*(-C4+50))))))))</f>
        <v>1.3719999999999999</v>
      </c>
      <c r="D53" s="87"/>
      <c r="E53" s="345" t="s">
        <v>269</v>
      </c>
      <c r="F53" s="552"/>
      <c r="G53" s="63">
        <f>Factors!$V$21*F53</f>
        <v>0</v>
      </c>
    </row>
    <row r="54" spans="2:8" ht="14.25" customHeight="1" x14ac:dyDescent="0.2">
      <c r="B54" s="64" t="s">
        <v>257</v>
      </c>
      <c r="C54" s="695">
        <f>IF($C$4&lt;25.0001,"Not Applicable",IF($C$4&gt;300.0001,Factors!$AB$17+(Factors!$AB$16-Factors!$AB$17)/(400-300)*(-$C$4+400),IF($C$4&gt;200.0001,Factors!$AB$16+(Factors!$AB$15-Factors!AB$16)/(300-200)*(-$C$4+300),IF($C$4&gt;100.0001,Factors!$AB$15+(Factors!$AB$14-Factors!$AB$15)/(200-100)*(-$C$4+200),IF($C$4&gt;50.0001,Factors!$AB$14+(Factors!$AB$13-Factors!$AB$14)/(100-50)*(-$C$4+100),IF(C4&gt;=25,(Factors!AB12+(Factors!AB13-Factors!AB20)/(50-25)*(-C4+50))))))))</f>
        <v>1.28</v>
      </c>
      <c r="D54" s="87"/>
      <c r="E54" s="345" t="s">
        <v>268</v>
      </c>
      <c r="F54" s="552"/>
      <c r="G54" s="63">
        <f>Factors!$V$21*F54</f>
        <v>0</v>
      </c>
    </row>
    <row r="55" spans="2:8" ht="14.25" customHeight="1" x14ac:dyDescent="0.2">
      <c r="B55" s="64" t="s">
        <v>259</v>
      </c>
      <c r="C55" s="695">
        <f>IF($C$4&lt;25.0001,"Not Applicable",IF($C$4&gt;300.0001,Factors!$AC$17+(Factors!$AC$16-Factors!$AC$17)/(400-300)*(-$C$4+400),IF($C$4&gt;200.0001,Factors!$AC$16+(Factors!$AC$15-Factors!AC$16)/(300-200)*(-$C$4+300),IF($C$4&gt;100.0001,Factors!$AC$15+(Factors!$AC$14-Factors!$AC$15)/(200-100)*(-$C$4+200),IF($C$4&gt;50.0001,Factors!$AC$14+(Factors!$AC$13-Factors!$AC$14)/(100-50)*(-$C$4+100),IF(C4&gt;=25,(Factors!AC12+(Factors!AC13-Factors!AC20)/(50-25)*(-C4+50))))))))</f>
        <v>-42.647999999999996</v>
      </c>
      <c r="D55" s="87" t="s">
        <v>335</v>
      </c>
      <c r="E55" s="345" t="s">
        <v>259</v>
      </c>
      <c r="F55" s="552"/>
      <c r="G55" s="554">
        <f>F55</f>
        <v>0</v>
      </c>
      <c r="H55" s="437" t="s">
        <v>335</v>
      </c>
    </row>
    <row r="56" spans="2:8" ht="14.25" customHeight="1" x14ac:dyDescent="0.2">
      <c r="B56" s="62" t="s">
        <v>256</v>
      </c>
      <c r="C56" s="695">
        <f>IF($C$4&lt;25.0001,"Not Applicable",IF($C$4&gt;300.0001,Factors!$Z$31+(Factors!$Z$30-Factors!$Z$31)/(400-300)*(-$C$4+400),IF($C$4&gt;200.0001,Factors!$Z$30+(Factors!$Z$29-Factors!Z$30)/(300-200)*(-$C$4+300),IF($C$4&gt;100.0001,Factors!$Z$29+(Factors!$Z$28-Factors!$Z$29)/(200-100)*(-$C$4+200),IF($C$4&gt;50.0001,Factors!$Z$28+(Factors!$Z$27-Factors!$Z$28)/(100-50)*(-$C$4+100),IF(C4&gt;=25,(Factors!Z27+(Factors!Z26-Factors!Z27)/(50-25)*(-C4+50))))))))</f>
        <v>1.1339999999999999</v>
      </c>
      <c r="D56" s="87"/>
      <c r="E56" s="345" t="s">
        <v>265</v>
      </c>
      <c r="F56" s="552"/>
      <c r="G56" s="63">
        <f>Factors!$V$21*F56</f>
        <v>0</v>
      </c>
    </row>
    <row r="57" spans="2:8" ht="14.25" customHeight="1" x14ac:dyDescent="0.2">
      <c r="B57" s="62" t="s">
        <v>254</v>
      </c>
      <c r="C57" s="695">
        <f>IF($C$4&lt;25.0001,"Not Applicable",IF($C$4&gt;300.0001,Factors!$AA$31+(Factors!$AA$30-Factors!$AA$31)/(400-300)*(-$C$4+400),IF($C$4&gt;200.0001,Factors!$AA$30+(Factors!$AA$29-Factors!AA$30)/(300-200)*(-$C$4+300),IF($C$4&gt;100.0001,Factors!$AA$29+(Factors!$AA$28-Factors!$AA$29)/(200-100)*(-$C$4+200),IF($C$4&gt;50.0001,Factors!$AA$28+(Factors!$AA$27-Factors!$AA$28)/(100-50)*(-$C$4+100),IF(C4&gt;=25,(Factors!AA17+(Factors!AA26-Factors!AA27)/(50-25)*(-C4+50))))))))</f>
        <v>1.0900000000000001</v>
      </c>
      <c r="D57" s="87"/>
      <c r="E57" s="345" t="s">
        <v>266</v>
      </c>
      <c r="F57" s="552"/>
      <c r="G57" s="63">
        <f>Factors!$V$21*F57</f>
        <v>0</v>
      </c>
    </row>
    <row r="58" spans="2:8" ht="14.25" customHeight="1" x14ac:dyDescent="0.2">
      <c r="B58" s="62" t="s">
        <v>255</v>
      </c>
      <c r="C58" s="695">
        <f>IF($C$4&lt;25.0001,"Not Applicable",IF($C$4&gt;300.0001,Factors!$AB$31+(Factors!$AB$30-Factors!$AB$31)/(400-300)*(-$C$4+400),IF($C$4&gt;200.0001,Factors!$AB$30+(Factors!$AB$29-Factors!AB$30)/(300-200)*(-$C$4+300),IF($C$4&gt;100.0001,Factors!$AB$29+(Factors!$AB$28-Factors!$AB$29)/(200-100)*(-$C$4+200),IF($C$4&gt;50.0001,Factors!$AB$28+(Factors!$AB$27-Factors!$AB$28)/(100-50)*(-$C$4+100),IF(C4&gt;=25,(Factors!AB17+(Factors!AB26-Factors!AB27)/(50-25)*(-C4+50))))))))</f>
        <v>0.998</v>
      </c>
      <c r="D58" s="87"/>
      <c r="E58" s="345" t="s">
        <v>267</v>
      </c>
      <c r="F58" s="552"/>
      <c r="G58" s="63">
        <f>Factors!$V$21*F58</f>
        <v>0</v>
      </c>
    </row>
    <row r="59" spans="2:8" ht="29.25" customHeight="1" thickBot="1" x14ac:dyDescent="0.25">
      <c r="B59" s="65" t="s">
        <v>259</v>
      </c>
      <c r="C59" s="696">
        <f>IF($C$4&lt;25.0001,"Not Applicable",IF($C$4&gt;300.0001,Factors!$AC$31+(Factors!$AC$30-Factors!$AC$31)/(400-300)*(-$C$4+400),IF($C$4&gt;200.0001,Factors!$AC$30+(Factors!$AC$29-Factors!AC$30)/(300-200)*(-$C$4+300),IF($C$4&gt;100.0001,Factors!$AC$29+(Factors!$AC$28-Factors!$AC$29)/(200-100)*(-$C$4+200),IF($C$4&gt;50.0001,Factors!$AC$28+(Factors!$AC$27-Factors!$AC$28)/(100-50)*(-$C$4+100),IF(C4&gt;=25,(Factors!AC17+(Factors!AC26-Factors!AC27)/(50-25)*(-C4+50))))))))</f>
        <v>-42.647999999999996</v>
      </c>
      <c r="D59" s="87" t="s">
        <v>335</v>
      </c>
      <c r="E59" s="346" t="s">
        <v>259</v>
      </c>
      <c r="F59" s="553"/>
      <c r="G59" s="555">
        <f>F59</f>
        <v>0</v>
      </c>
      <c r="H59" s="437" t="s">
        <v>335</v>
      </c>
    </row>
    <row r="60" spans="2:8" ht="29.25" customHeight="1" thickTop="1" x14ac:dyDescent="0.2"/>
    <row r="61" spans="2:8" x14ac:dyDescent="0.2">
      <c r="B61" s="69"/>
      <c r="C61" s="70"/>
    </row>
    <row r="62" spans="2:8" x14ac:dyDescent="0.2">
      <c r="B62" s="69"/>
      <c r="C62" s="69" t="s">
        <v>222</v>
      </c>
    </row>
    <row r="63" spans="2:8" x14ac:dyDescent="0.2">
      <c r="B63" s="69"/>
      <c r="C63" s="69" t="s">
        <v>222</v>
      </c>
    </row>
    <row r="64" spans="2:8" x14ac:dyDescent="0.2">
      <c r="B64" s="69"/>
      <c r="C64" s="69" t="s">
        <v>222</v>
      </c>
    </row>
    <row r="65" spans="2:3" x14ac:dyDescent="0.2">
      <c r="B65" s="69"/>
      <c r="C65" s="69" t="s">
        <v>222</v>
      </c>
    </row>
  </sheetData>
  <sheetProtection password="83AF" sheet="1" objects="1" scenarios="1" formatRows="0"/>
  <phoneticPr fontId="4" type="noConversion"/>
  <conditionalFormatting sqref="C62:C65">
    <cfRule type="cellIs" priority="1" stopIfTrue="1" operator="greaterThan">
      <formula>0</formula>
    </cfRule>
  </conditionalFormatting>
  <conditionalFormatting sqref="F30">
    <cfRule type="cellIs" dxfId="136" priority="2" stopIfTrue="1" operator="equal">
      <formula>"YES"</formula>
    </cfRule>
    <cfRule type="cellIs" dxfId="135" priority="3" stopIfTrue="1" operator="equal">
      <formula>"NO"</formula>
    </cfRule>
  </conditionalFormatting>
  <conditionalFormatting sqref="C10">
    <cfRule type="cellIs" dxfId="134" priority="4" stopIfTrue="1" operator="lessThan">
      <formula>0</formula>
    </cfRule>
    <cfRule type="cellIs" dxfId="133" priority="5" stopIfTrue="1" operator="equal">
      <formula>"YES"</formula>
    </cfRule>
  </conditionalFormatting>
  <conditionalFormatting sqref="C12:C14">
    <cfRule type="cellIs" dxfId="132" priority="6" stopIfTrue="1" operator="equal">
      <formula>"YES"</formula>
    </cfRule>
    <cfRule type="cellIs" dxfId="131" priority="7" stopIfTrue="1" operator="equal">
      <formula>"NO"</formula>
    </cfRule>
  </conditionalFormatting>
  <conditionalFormatting sqref="C11">
    <cfRule type="cellIs" dxfId="130" priority="8" stopIfTrue="1" operator="notEqual">
      <formula>"no"</formula>
    </cfRule>
    <cfRule type="cellIs" dxfId="129" priority="9" stopIfTrue="1" operator="equal">
      <formula>"NO"</formula>
    </cfRule>
  </conditionalFormatting>
  <dataValidations disablePrompts="1" count="1">
    <dataValidation allowBlank="1" showInputMessage="1" showErrorMessage="1" prompt="Noted from Location worksheet" sqref="C15"/>
  </dataValidations>
  <pageMargins left="0.75" right="0.52" top="0.64" bottom="0.56999999999999995" header="0.5" footer="0.5"/>
  <pageSetup scale="67" orientation="portrait" horizontalDpi="1200" verticalDpi="1200" r:id="rId1"/>
  <headerFooter alignWithMargins="0">
    <oddHeader>&amp;L&amp;F&amp;C&amp;A</oddHeader>
    <oddFooter>&amp;R&amp;P</oddFooter>
  </headerFooter>
  <rowBreaks count="1" manualBreakCount="1">
    <brk id="3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0" r:id="rId4" name="Drop Down 4">
              <controlPr defaultSize="0" autoLine="0" autoPict="0">
                <anchor moveWithCells="1">
                  <from>
                    <xdr:col>2</xdr:col>
                    <xdr:colOff>295275</xdr:colOff>
                    <xdr:row>36</xdr:row>
                    <xdr:rowOff>457200</xdr:rowOff>
                  </from>
                  <to>
                    <xdr:col>2</xdr:col>
                    <xdr:colOff>1143000</xdr:colOff>
                    <xdr:row>36</xdr:row>
                    <xdr:rowOff>723900</xdr:rowOff>
                  </to>
                </anchor>
              </controlPr>
            </control>
          </mc:Choice>
        </mc:AlternateContent>
        <mc:AlternateContent xmlns:mc="http://schemas.openxmlformats.org/markup-compatibility/2006">
          <mc:Choice Requires="x14">
            <control shapeId="4101" r:id="rId5" name="Drop Down 5">
              <controlPr defaultSize="0" autoLine="0" autoPict="0">
                <anchor moveWithCells="1">
                  <from>
                    <xdr:col>2</xdr:col>
                    <xdr:colOff>295275</xdr:colOff>
                    <xdr:row>36</xdr:row>
                    <xdr:rowOff>142875</xdr:rowOff>
                  </from>
                  <to>
                    <xdr:col>2</xdr:col>
                    <xdr:colOff>1143000</xdr:colOff>
                    <xdr:row>36</xdr:row>
                    <xdr:rowOff>400050</xdr:rowOff>
                  </to>
                </anchor>
              </controlPr>
            </control>
          </mc:Choice>
        </mc:AlternateContent>
        <mc:AlternateContent xmlns:mc="http://schemas.openxmlformats.org/markup-compatibility/2006">
          <mc:Choice Requires="x14">
            <control shapeId="4106" r:id="rId6" name="Drop Down 10">
              <controlPr locked="0" defaultSize="0" autoLine="0" autoPict="0">
                <anchor moveWithCells="1">
                  <from>
                    <xdr:col>5</xdr:col>
                    <xdr:colOff>333375</xdr:colOff>
                    <xdr:row>44</xdr:row>
                    <xdr:rowOff>219075</xdr:rowOff>
                  </from>
                  <to>
                    <xdr:col>5</xdr:col>
                    <xdr:colOff>1181100</xdr:colOff>
                    <xdr:row>45</xdr:row>
                    <xdr:rowOff>257175</xdr:rowOff>
                  </to>
                </anchor>
              </controlPr>
            </control>
          </mc:Choice>
        </mc:AlternateContent>
        <mc:AlternateContent xmlns:mc="http://schemas.openxmlformats.org/markup-compatibility/2006">
          <mc:Choice Requires="x14">
            <control shapeId="4129" r:id="rId7" name="Drop Down 33">
              <controlPr locked="0" defaultSize="0" autoLine="0" autoPict="0">
                <anchor moveWithCells="1">
                  <from>
                    <xdr:col>1</xdr:col>
                    <xdr:colOff>1228725</xdr:colOff>
                    <xdr:row>26</xdr:row>
                    <xdr:rowOff>38100</xdr:rowOff>
                  </from>
                  <to>
                    <xdr:col>1</xdr:col>
                    <xdr:colOff>1762125</xdr:colOff>
                    <xdr:row>26</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tabColor indexed="60"/>
    <pageSetUpPr fitToPage="1"/>
  </sheetPr>
  <dimension ref="A1:AH53"/>
  <sheetViews>
    <sheetView topLeftCell="A18" zoomScale="75" zoomScaleNormal="100" zoomScaleSheetLayoutView="75" workbookViewId="0">
      <selection activeCell="A24" sqref="A24"/>
    </sheetView>
  </sheetViews>
  <sheetFormatPr defaultRowHeight="12.75" x14ac:dyDescent="0.2"/>
  <cols>
    <col min="1" max="1" width="45" style="51" customWidth="1"/>
    <col min="2" max="2" width="24.85546875" style="51" customWidth="1"/>
    <col min="3" max="3" width="23" style="51" customWidth="1"/>
    <col min="4" max="4" width="60.85546875" style="54" customWidth="1"/>
    <col min="5" max="5" width="76.5703125" style="437" customWidth="1"/>
    <col min="6" max="6" width="9.140625" style="51"/>
    <col min="7" max="7" width="12.5703125" style="51" customWidth="1"/>
    <col min="8" max="16384" width="9.140625" style="51"/>
  </cols>
  <sheetData>
    <row r="1" spans="1:11" ht="13.5" thickBot="1" x14ac:dyDescent="0.25">
      <c r="B1" s="104" t="s">
        <v>696</v>
      </c>
    </row>
    <row r="2" spans="1:11" s="226" customFormat="1" ht="32.25" customHeight="1" thickTop="1" thickBot="1" x14ac:dyDescent="0.25">
      <c r="A2" s="157"/>
      <c r="B2" s="1129" t="s">
        <v>513</v>
      </c>
      <c r="C2" s="922"/>
      <c r="E2" s="225" t="s">
        <v>222</v>
      </c>
    </row>
    <row r="3" spans="1:11" s="226" customFormat="1" ht="14.25" thickTop="1" thickBot="1" x14ac:dyDescent="0.25">
      <c r="A3" s="157"/>
      <c r="B3" s="157"/>
      <c r="C3" s="157"/>
      <c r="D3" s="258"/>
      <c r="E3" s="239"/>
    </row>
    <row r="4" spans="1:11" ht="13.5" thickTop="1" x14ac:dyDescent="0.2">
      <c r="A4" s="1118" t="s">
        <v>487</v>
      </c>
      <c r="B4" s="1140"/>
      <c r="C4" s="1140"/>
      <c r="D4" s="1141"/>
    </row>
    <row r="5" spans="1:11" ht="18.75" customHeight="1" x14ac:dyDescent="0.2">
      <c r="A5" s="180" t="s">
        <v>208</v>
      </c>
      <c r="B5" s="1143" t="str">
        <f>IF(Factors!$J$6=1, "Independent Leg","Mat")</f>
        <v>Independent Leg</v>
      </c>
      <c r="C5" s="1144"/>
      <c r="D5" s="833" t="s">
        <v>222</v>
      </c>
    </row>
    <row r="6" spans="1:11" ht="18.75" customHeight="1" x14ac:dyDescent="0.2">
      <c r="A6" s="181" t="s">
        <v>411</v>
      </c>
      <c r="B6" s="1133" t="str">
        <f>'LEASEHOLDER Provided Data'!D36</f>
        <v>LOW CONSEQUENCE FROM INFRASTRUCTURE</v>
      </c>
      <c r="C6" s="1134"/>
      <c r="D6" s="690" t="str">
        <f>IF(Factors!$N$152&gt;0,"Mudslide Zone: Submit Report","Not in Mudslide Zone")</f>
        <v>Not in Mudslide Zone</v>
      </c>
      <c r="E6" s="767"/>
    </row>
    <row r="7" spans="1:11" ht="18.75" customHeight="1" thickBot="1" x14ac:dyDescent="0.25">
      <c r="A7" s="182" t="s">
        <v>341</v>
      </c>
      <c r="B7" s="717">
        <f>LOCATION!$D$12</f>
        <v>240</v>
      </c>
      <c r="C7" s="834"/>
      <c r="D7" s="835"/>
      <c r="E7" s="88"/>
    </row>
    <row r="8" spans="1:11" ht="14.25" thickTop="1" thickBot="1" x14ac:dyDescent="0.25">
      <c r="A8" s="1109" t="s">
        <v>409</v>
      </c>
      <c r="B8" s="1060"/>
      <c r="C8" s="1138"/>
      <c r="D8" s="259" t="s">
        <v>488</v>
      </c>
    </row>
    <row r="9" spans="1:11" ht="38.25" customHeight="1" thickTop="1" x14ac:dyDescent="0.2">
      <c r="A9" s="404" t="s">
        <v>621</v>
      </c>
      <c r="B9" s="405" t="s">
        <v>622</v>
      </c>
      <c r="C9" s="707">
        <f>'LEASEHOLDER Provided Data'!E52</f>
        <v>2008</v>
      </c>
      <c r="D9" s="837" t="s">
        <v>28</v>
      </c>
      <c r="E9" s="453" t="s">
        <v>46</v>
      </c>
    </row>
    <row r="10" spans="1:11" ht="38.25" customHeight="1" thickBot="1" x14ac:dyDescent="0.25">
      <c r="A10" s="179" t="s">
        <v>346</v>
      </c>
      <c r="B10" s="766" t="str">
        <f>VLOOKUP(Factors!AE23, Factors!AD16:AE22,2)</f>
        <v>On Arrival at Location</v>
      </c>
      <c r="C10" s="398" t="str">
        <f>'LEASEHOLDER Provided Data'!F54</f>
        <v>Optional Explanation of Suitability of the soil data for evaluating fitness for purpose</v>
      </c>
      <c r="D10" s="708" t="str">
        <f>'LEASEHOLDER Provided Data'!G54</f>
        <v>Leaseholder 11:</v>
      </c>
      <c r="E10" s="477" t="s">
        <v>741</v>
      </c>
    </row>
    <row r="11" spans="1:11" ht="45.75" customHeight="1" thickTop="1" x14ac:dyDescent="0.2">
      <c r="A11" s="178" t="s">
        <v>429</v>
      </c>
      <c r="B11" s="405" t="s">
        <v>622</v>
      </c>
      <c r="C11" s="1131" t="str">
        <f>'LEASEHOLDER Provided Data'!E55</f>
        <v xml:space="preserve">Leaseholder 12: </v>
      </c>
      <c r="D11" s="1132"/>
    </row>
    <row r="12" spans="1:11" ht="38.25" customHeight="1" thickBot="1" x14ac:dyDescent="0.25">
      <c r="A12" s="177" t="s">
        <v>410</v>
      </c>
      <c r="B12" s="561" t="s">
        <v>318</v>
      </c>
      <c r="C12" s="169"/>
      <c r="D12" s="576" t="s">
        <v>29</v>
      </c>
      <c r="E12" s="453" t="s">
        <v>47</v>
      </c>
    </row>
    <row r="13" spans="1:11" ht="14.25" thickTop="1" thickBot="1" x14ac:dyDescent="0.25">
      <c r="A13" s="1135" t="str">
        <f>IF(Factors!$J$6=2,"Please ignore this block of questions for Mat Supported Jack-Up","Please complete this Block of Questions for this Independent Leg Jack-Up")</f>
        <v>Please complete this Block of Questions for this Independent Leg Jack-Up</v>
      </c>
      <c r="B13" s="1136"/>
      <c r="C13" s="1136"/>
      <c r="D13" s="1137"/>
      <c r="E13" s="254"/>
      <c r="F13" s="89"/>
      <c r="G13" s="393"/>
      <c r="H13" s="88"/>
      <c r="I13" s="88"/>
      <c r="J13" s="88"/>
      <c r="K13" s="88"/>
    </row>
    <row r="14" spans="1:11" s="71" customFormat="1" ht="14.25" thickTop="1" thickBot="1" x14ac:dyDescent="0.25">
      <c r="A14" s="1109" t="s">
        <v>702</v>
      </c>
      <c r="B14" s="1018"/>
      <c r="C14" s="1138"/>
      <c r="D14" s="350" t="s">
        <v>488</v>
      </c>
      <c r="E14" s="451"/>
    </row>
    <row r="15" spans="1:11" ht="39" thickTop="1" x14ac:dyDescent="0.2">
      <c r="A15" s="404" t="str">
        <f>IF(Factors!J6=2, "Mat Rig: Please ignore","How Far Away from the Center of the Rig was the Samples for the Geotechnical Report taken? (ft)
 If &gt; 1000 Ft Explain. ")</f>
        <v xml:space="preserve">How Far Away from the Center of the Rig was the Samples for the Geotechnical Report taken? (ft)
 If &gt; 1000 Ft Explain. </v>
      </c>
      <c r="B15" s="707">
        <f>IF(Factors!J6=2,"",'LEASEHOLDER Provided Data'!E53)</f>
        <v>79</v>
      </c>
      <c r="C15" s="709" t="str">
        <f>IF(Factors!J6=2,"",IF((B15&gt;1000),"&gt;1000 ft",""))</f>
        <v/>
      </c>
      <c r="D15" s="877" t="str">
        <f>IF(Factors!J6=2,"",'LEASEHOLDER Provided Data'!G53)</f>
        <v>Leaseholder 10:</v>
      </c>
      <c r="E15" s="453" t="s">
        <v>48</v>
      </c>
    </row>
    <row r="16" spans="1:11" ht="27" customHeight="1" x14ac:dyDescent="0.2">
      <c r="A16" s="836" t="str">
        <f>IF(Factors!J6=2,"Mat Rig: Please ignore",IF(B15&lt;1000,"Less than 1000 ft: Please ignore",IF(Factors!J58=1,"The information was tied back to the site-specific location with Shallow Seismic","The information was NOT tied back with Shallow Seismic")))</f>
        <v>Less than 1000 ft: Please ignore</v>
      </c>
      <c r="B16" s="464" t="s">
        <v>49</v>
      </c>
      <c r="C16" s="813" t="str">
        <f>IF(Factors!J6=2,"",IF(AND(B15&gt;1000,Factors!$J$58=2),"Please Explain",""))</f>
        <v/>
      </c>
      <c r="D16" s="878" t="str">
        <f>IF(Factors!J6=2,"",'LEASEHOLDER Provided Data'!G58)</f>
        <v>Leaseholder 13:</v>
      </c>
    </row>
    <row r="17" spans="1:34" ht="50.25" customHeight="1" x14ac:dyDescent="0.2">
      <c r="A17" s="836" t="str">
        <f>IF(Factors!J6=2,"Mat Rig: Please ignore",IF(Factors!J80=2,"There is NO Calculated Load-Penetration curve available","There is a Calculated Load-Penetration Curve available"))</f>
        <v>There is a Calculated Load-Penetration Curve available</v>
      </c>
      <c r="B17" s="1131" t="str">
        <f>IF(Factors!J6=1,IF(Factors!$J$80=1, "Please attach Load-Penetration Curve for soils to at least half the spudcan diameter below expected penetration. Show stillwater and preload reactions on the curve", "Please Explain"),"")</f>
        <v>Please attach Load-Penetration Curve for soils to at least half the spudcan diameter below expected penetration. Show stillwater and preload reactions on the curve</v>
      </c>
      <c r="C17" s="1139"/>
      <c r="D17" s="560" t="s">
        <v>677</v>
      </c>
    </row>
    <row r="18" spans="1:34" ht="75" customHeight="1" x14ac:dyDescent="0.2">
      <c r="A18" s="836" t="str">
        <f>IF(Factors!J6=2,"Mat Rig: Please ignore",IF(Factors!$J$97=1,"No potential to scour","You previously indicated the following applies: 
The maximum penetration is &lt; Max bearing area of spud can + 5ft on sand AND
High current speed OR
Breaking wave"))</f>
        <v>No potential to scour</v>
      </c>
      <c r="B18" s="345" t="s">
        <v>53</v>
      </c>
      <c r="C18" s="812" t="str">
        <f>IF(Factors!J6=2,"",IF(AND(Factors!J6=1,Factors!$J$97=1),"","Explain potential for and protection against Scour"))</f>
        <v/>
      </c>
      <c r="D18" s="708" t="str">
        <f>IF(Factors!J6=2,"",LOCATION!G45)</f>
        <v xml:space="preserve">Loc 8: </v>
      </c>
    </row>
    <row r="19" spans="1:34" ht="26.25" thickBot="1" x14ac:dyDescent="0.25">
      <c r="A19" s="392" t="str">
        <f>IF(Factors!J6=2, "Mat Rig: Please ignore","Selected Survival Case (Drilling Contractor's) :" )</f>
        <v>Selected Survival Case (Drilling Contractor's) :</v>
      </c>
      <c r="B19" s="706" t="str">
        <f>IF(Factors!J6=2,"",VLOOKUP(Factors!$AE$14,Factors!$AD$4:$AE$10,2))</f>
        <v>10-Yr Site Specific</v>
      </c>
      <c r="C19" s="406" t="s">
        <v>412</v>
      </c>
      <c r="D19" s="710" t="str">
        <f>IF(Factors!J6=2,"",LOCATION!G38)</f>
        <v>Loc 5:</v>
      </c>
    </row>
    <row r="20" spans="1:34" ht="13.5" thickTop="1" x14ac:dyDescent="0.2">
      <c r="A20" s="101"/>
      <c r="B20" s="69"/>
      <c r="C20" s="69"/>
      <c r="D20" s="397"/>
      <c r="E20" s="461"/>
      <c r="F20" s="393"/>
      <c r="G20" s="88"/>
      <c r="H20" s="88"/>
      <c r="I20" s="88"/>
      <c r="J20" s="88"/>
    </row>
    <row r="21" spans="1:34" ht="13.5" customHeight="1" x14ac:dyDescent="0.2">
      <c r="A21" s="102" t="str">
        <f>IF(Factors!J6=2, "Mat Rig: Please ignore","Expected Leg Penetration on Location (full preload)")</f>
        <v>Expected Leg Penetration on Location (full preload)</v>
      </c>
      <c r="B21" s="711">
        <f>LOCATION!D17</f>
        <v>10</v>
      </c>
      <c r="C21" s="69" t="s">
        <v>413</v>
      </c>
      <c r="D21" s="397"/>
      <c r="E21" s="465" t="s">
        <v>222</v>
      </c>
      <c r="F21" s="393"/>
      <c r="G21" s="88"/>
      <c r="H21" s="88"/>
      <c r="I21" s="88"/>
      <c r="J21" s="88"/>
    </row>
    <row r="22" spans="1:34" ht="33.75" customHeight="1" thickBot="1" x14ac:dyDescent="0.25">
      <c r="A22" s="102" t="str">
        <f>IF(Factors!J6=2, "Mat Rig: Please ignore","What will be soils under spudcan at expected penetration")</f>
        <v>What will be soils under spudcan at expected penetration</v>
      </c>
      <c r="B22" s="859"/>
      <c r="C22" s="393"/>
      <c r="D22" s="397"/>
      <c r="E22" s="461"/>
      <c r="F22" s="393"/>
      <c r="G22" s="88"/>
      <c r="H22" s="88"/>
      <c r="I22" s="88"/>
      <c r="J22" s="88"/>
    </row>
    <row r="23" spans="1:34" ht="30.75" customHeight="1" thickTop="1" thickBot="1" x14ac:dyDescent="0.25">
      <c r="A23" s="103" t="str">
        <f>IF(Factors!J6=2, "Mat Rig: Please ignore","Is Punchthrough a possibility on Location during storm?")</f>
        <v>Is Punchthrough a possibility on Location during storm?</v>
      </c>
      <c r="B23" s="860" t="s">
        <v>222</v>
      </c>
      <c r="C23" s="393" t="str">
        <f>IF(Factors!$J$6=1,IF(Factors!$AL$6=1,"Please Explain Controls",""),"")</f>
        <v/>
      </c>
      <c r="D23" s="562" t="s">
        <v>678</v>
      </c>
      <c r="E23" s="461" t="str">
        <f>C23</f>
        <v/>
      </c>
      <c r="F23" s="393"/>
      <c r="G23" s="88"/>
      <c r="H23" s="88"/>
      <c r="I23" s="88"/>
      <c r="J23" s="88"/>
    </row>
    <row r="24" spans="1:34" ht="37.5" customHeight="1" thickTop="1" thickBot="1" x14ac:dyDescent="0.25">
      <c r="A24" s="809" t="str">
        <f>IF(Factors!J6=2,"Mat Rig: Please ignore",IF(Factors!$AL$12=1,"You previously indicated that the rig has no more than 4ft settlement in the GoM Annex Contingency case","You previously indicated that the Jack-up had &gt;4ft settlement in GoM Annex Contingency Case"))</f>
        <v>You previously indicated that the rig has no more than 4ft settlement in the GoM Annex Contingency case</v>
      </c>
      <c r="B24" s="393" t="s">
        <v>222</v>
      </c>
      <c r="C24" s="714" t="str">
        <f>IF(Factors!$AL$12=2,"Explanation was:","")</f>
        <v/>
      </c>
      <c r="D24" s="712" t="str">
        <f>IF(Factors!J6=2,"",LOCATION!$G$42)</f>
        <v xml:space="preserve">Loc 6: </v>
      </c>
      <c r="E24" s="462"/>
      <c r="F24" s="393"/>
      <c r="G24" s="88"/>
      <c r="H24" s="88"/>
      <c r="I24" s="88"/>
      <c r="J24" s="88"/>
    </row>
    <row r="25" spans="1:34" ht="45.75" customHeight="1" thickTop="1" thickBot="1" x14ac:dyDescent="0.25">
      <c r="A25" s="809" t="str">
        <f>IF(Factors!J6=2,"Mat Rig: Please ignore",IF(Factors!$J$86=1,"You previously indicated that the rig has no more than 6 ft settlement in the GoM Annex Survival case",IF(Factors!$J$86=2,"You previously indicated that the Jack-up had &gt; 6 ft settlement in GoM Annex Survival Case","Explanation of how you will predict/control settlement ina major storm")))</f>
        <v>You previously indicated that the rig has no more than 6 ft settlement in the GoM Annex Survival case</v>
      </c>
      <c r="B25" s="393" t="s">
        <v>222</v>
      </c>
      <c r="C25" s="714" t="str">
        <f>IF(Factors!$J$86=1,"","Explanation was:")</f>
        <v/>
      </c>
      <c r="D25" s="713" t="str">
        <f>IF(Factors!J6=2,"",LOCATION!$G$43)</f>
        <v xml:space="preserve">Loc 7: </v>
      </c>
      <c r="E25" s="461"/>
      <c r="F25" s="393"/>
    </row>
    <row r="26" spans="1:34" ht="14.25" thickTop="1" thickBot="1" x14ac:dyDescent="0.25">
      <c r="A26" s="1135" t="str">
        <f>IF(Factors!$J$6=1,"Please ignore this block of questions for Independent Leg Jack-Up","Please complete this Block of Questions for this Mat Supported Jack-Up")</f>
        <v>Please ignore this block of questions for Independent Leg Jack-Up</v>
      </c>
      <c r="B26" s="1136"/>
      <c r="C26" s="1136"/>
      <c r="D26" s="1137"/>
      <c r="E26" s="254"/>
      <c r="F26" s="89"/>
      <c r="G26" s="393"/>
      <c r="H26" s="88"/>
      <c r="I26" s="88"/>
      <c r="J26" s="88"/>
      <c r="K26" s="88"/>
    </row>
    <row r="27" spans="1:34" s="71" customFormat="1" ht="14.25" thickTop="1" thickBot="1" x14ac:dyDescent="0.25">
      <c r="A27" s="1109" t="s">
        <v>701</v>
      </c>
      <c r="B27" s="1018"/>
      <c r="C27" s="1138"/>
      <c r="D27" s="350" t="s">
        <v>488</v>
      </c>
      <c r="E27" s="458"/>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row>
    <row r="28" spans="1:34" ht="31.5" customHeight="1" thickTop="1" x14ac:dyDescent="0.2">
      <c r="A28" s="178" t="str">
        <f>IF(Factors!J6=1, "Independent Leg Rig: Please ignore","How Far Away from the Center of the Rig was the geotechnical information?  (ft)")</f>
        <v>Independent Leg Rig: Please ignore</v>
      </c>
      <c r="B28" s="717" t="str">
        <f>IF(Factors!J6=1,"",'LEASEHOLDER Provided Data'!E53)</f>
        <v/>
      </c>
      <c r="C28" s="688" t="str">
        <f>IF(Factors!J6=1,"",IF($B$28&gt;1000, "&gt;1000 ft, Please Explain", ""))</f>
        <v/>
      </c>
      <c r="D28" s="560" t="s">
        <v>30</v>
      </c>
      <c r="F28" s="71"/>
      <c r="G28" s="51" t="s">
        <v>222</v>
      </c>
    </row>
    <row r="29" spans="1:34" s="71" customFormat="1" ht="44.25" customHeight="1" thickBot="1" x14ac:dyDescent="0.25">
      <c r="A29" s="407" t="str">
        <f>IF(Factors!J6=1, "Independent Leg Rig: Please ignore","What is the average Soil Shear Strength at the Seabed?  (psf)  ( threshold value is &lt; or &gt; 100 psf)")</f>
        <v>Independent Leg Rig: Please ignore</v>
      </c>
      <c r="B29" s="564">
        <v>80</v>
      </c>
      <c r="C29" s="715" t="str">
        <f>IF(Factors!J6=1,"",IF($B$29&lt;100,(IF('LEASEHOLDER Provided Data'!$D$36="High Consequence from Infrastructure","Detailed Soil safety factor submission required or Explain",(IF('LEASEHOLDER Provided Data'!$D$36="Medium Consequence from Infrastructure","Detailed Soil safety factor submission required or Explain","")))),""))</f>
        <v/>
      </c>
      <c r="D29" s="563" t="s">
        <v>679</v>
      </c>
      <c r="E29" s="453" t="s">
        <v>358</v>
      </c>
    </row>
    <row r="30" spans="1:34" ht="26.25" thickTop="1" x14ac:dyDescent="0.2">
      <c r="A30" s="404" t="str">
        <f>IF(Factors!J6=1, "Independent Leg Rig: Please ignore","Explanation of any consequence of movement: (Repeated from Leaseholder Data worksheet")</f>
        <v>Independent Leg Rig: Please ignore</v>
      </c>
      <c r="B30" s="1130"/>
      <c r="C30" s="1130"/>
      <c r="D30" s="716" t="str">
        <f>IF(Factors!J6=1,"",'LEASEHOLDER Provided Data'!$E$36)</f>
        <v/>
      </c>
      <c r="E30" s="453" t="s">
        <v>31</v>
      </c>
    </row>
    <row r="31" spans="1:34" s="71" customFormat="1" ht="32.25" customHeight="1" x14ac:dyDescent="0.2">
      <c r="A31" s="407" t="str">
        <f>IF(Factors!J6=1,"Independent Leg Rig: Please ignore",IF(C29="Detailed Soil safety factor submission required or Explain","Sliding calculation as needed- Mat forces included:","Sliding Calculation not Compulsory"))</f>
        <v>Independent Leg Rig: Please ignore</v>
      </c>
      <c r="B31" s="408" t="s">
        <v>222</v>
      </c>
      <c r="C31" s="409" t="str">
        <f>IF(C29="Detailed Soil safety factor submission required or Explain","Sliding Factor of Safety =:","")</f>
        <v/>
      </c>
      <c r="D31" s="565" t="s">
        <v>680</v>
      </c>
      <c r="E31" s="478" t="s">
        <v>359</v>
      </c>
    </row>
    <row r="32" spans="1:34" s="71" customFormat="1" ht="32.25" customHeight="1" x14ac:dyDescent="0.2">
      <c r="A32" s="407" t="str">
        <f>IF(Factors!J6=1,"Independent Leg Rig: Please ignore",IF(C29="Detailed Soil safety factor submission required or Explain","Overturning calculation :","Overturning Calculation not Compulsory"))</f>
        <v>Independent Leg Rig: Please ignore</v>
      </c>
      <c r="B32" s="408" t="s">
        <v>222</v>
      </c>
      <c r="C32" s="409" t="str">
        <f>IF(C29="Detailed Soil safety factor submission required or Explain","Overturning Factor of Safety =:","")</f>
        <v/>
      </c>
      <c r="D32" s="565" t="s">
        <v>681</v>
      </c>
      <c r="E32" s="478" t="s">
        <v>360</v>
      </c>
    </row>
    <row r="33" spans="1:5" s="71" customFormat="1" ht="25.5" x14ac:dyDescent="0.2">
      <c r="A33" s="178" t="str">
        <f>IF(Factors!J6=1, "Independent Leg Rig: Please ignore","Scour Potential: ")</f>
        <v>Independent Leg Rig: Please ignore</v>
      </c>
      <c r="B33" s="1142" t="str">
        <f>IF(Factors!J6=1,"",IF(LOCATION!F49="Explain potential to scour","Since there may be potential to scour  at this location: Please Explain","Scour less important at this location"))</f>
        <v/>
      </c>
      <c r="C33" s="1142"/>
      <c r="D33" s="708" t="str">
        <f>IF(Factors!J6=1,"",LOCATION!G49)</f>
        <v/>
      </c>
      <c r="E33" s="478" t="s">
        <v>623</v>
      </c>
    </row>
    <row r="34" spans="1:5" s="71" customFormat="1" ht="27.75" customHeight="1" x14ac:dyDescent="0.2">
      <c r="A34" s="179" t="str">
        <f>IF(Factors!J6=1, "Independent Leg Rig: Please ignore","Expected Penetration including Skirt (ft)")</f>
        <v>Independent Leg Rig: Please ignore</v>
      </c>
      <c r="B34" s="765" t="str">
        <f>IF(Factors!J6=2, IF(B35+LOCATION!D17&gt;13,"EH? &gt; 13 - recheck Penetration or Skirt Ht",B35+LOCATION!D17),"")</f>
        <v/>
      </c>
      <c r="C34" s="235"/>
      <c r="D34" s="410"/>
      <c r="E34" s="478" t="s">
        <v>54</v>
      </c>
    </row>
    <row r="35" spans="1:5" s="71" customFormat="1" ht="27.75" customHeight="1" x14ac:dyDescent="0.2">
      <c r="A35" s="179" t="str">
        <f>IF(Factors!J6=1, "Independent Leg Rig: Please ignore","Skirt Height: (ft)")</f>
        <v>Independent Leg Rig: Please ignore</v>
      </c>
      <c r="B35" s="808">
        <v>1</v>
      </c>
      <c r="C35" s="396"/>
      <c r="D35" s="411"/>
      <c r="E35" s="478" t="s">
        <v>54</v>
      </c>
    </row>
    <row r="36" spans="1:5" ht="33.75" customHeight="1" x14ac:dyDescent="0.2">
      <c r="A36" s="466" t="str">
        <f>IF(Factors!J6=1, "Independent Leg Rig: Please ignore","Storm used for Evaluation based on Drilling Contractor's Survivability Case:" )</f>
        <v>Independent Leg Rig: Please ignore</v>
      </c>
      <c r="B36" s="717" t="str">
        <f>IF(Factors!J6=1,"",VLOOKUP(Factors!$AE$14,Factors!$AD$4:$AE$10,2))</f>
        <v/>
      </c>
      <c r="C36" s="402" t="str">
        <f>IF(Factors!J6=1,"","Survivability Selected on Location Page:")</f>
        <v/>
      </c>
      <c r="D36" s="708" t="str">
        <f>IF(Factors!J6=1,"",LOCATION!G38)</f>
        <v/>
      </c>
    </row>
    <row r="37" spans="1:5" ht="35.25" customHeight="1" thickBot="1" x14ac:dyDescent="0.25">
      <c r="A37" s="177" t="str">
        <f>IF(Factors!J6=1, "Independent Leg Rig: Please ignore","Does the Geotechnical Information go to a depth equal to or greater than the width of the mat")</f>
        <v>Independent Leg Rig: Please ignore</v>
      </c>
      <c r="B37" s="390"/>
      <c r="C37" s="412" t="str">
        <f>IF(AND(Factors!J6=2,Factors!$J$62=2),"Please Explain","")</f>
        <v/>
      </c>
      <c r="D37" s="559" t="s">
        <v>676</v>
      </c>
      <c r="E37" s="478" t="s">
        <v>33</v>
      </c>
    </row>
    <row r="38" spans="1:5" ht="13.5" thickTop="1" x14ac:dyDescent="0.2">
      <c r="A38" s="51" t="s">
        <v>222</v>
      </c>
      <c r="B38" s="51" t="s">
        <v>222</v>
      </c>
    </row>
    <row r="39" spans="1:5" x14ac:dyDescent="0.2">
      <c r="A39" s="51" t="s">
        <v>222</v>
      </c>
    </row>
    <row r="40" spans="1:5" x14ac:dyDescent="0.2">
      <c r="A40" s="51" t="s">
        <v>222</v>
      </c>
    </row>
    <row r="42" spans="1:5" x14ac:dyDescent="0.2">
      <c r="A42" s="51" t="s">
        <v>222</v>
      </c>
    </row>
    <row r="43" spans="1:5" x14ac:dyDescent="0.2">
      <c r="A43" s="51" t="s">
        <v>222</v>
      </c>
    </row>
    <row r="44" spans="1:5" x14ac:dyDescent="0.2">
      <c r="A44" s="51" t="s">
        <v>222</v>
      </c>
    </row>
    <row r="53" spans="3:3" x14ac:dyDescent="0.2">
      <c r="C53" s="66"/>
    </row>
  </sheetData>
  <sheetProtection password="83AF" sheet="1" objects="1" scenarios="1" formatRows="0"/>
  <mergeCells count="13">
    <mergeCell ref="A4:D4"/>
    <mergeCell ref="B33:C33"/>
    <mergeCell ref="B5:C5"/>
    <mergeCell ref="B2:C2"/>
    <mergeCell ref="B30:C30"/>
    <mergeCell ref="C11:D11"/>
    <mergeCell ref="B6:C6"/>
    <mergeCell ref="A13:D13"/>
    <mergeCell ref="A8:C8"/>
    <mergeCell ref="A14:C14"/>
    <mergeCell ref="B17:C17"/>
    <mergeCell ref="A27:C27"/>
    <mergeCell ref="A26:D26"/>
  </mergeCells>
  <phoneticPr fontId="4" type="noConversion"/>
  <conditionalFormatting sqref="D36 D24:D25">
    <cfRule type="cellIs" dxfId="128" priority="1" stopIfTrue="1" operator="equal">
      <formula>0</formula>
    </cfRule>
  </conditionalFormatting>
  <conditionalFormatting sqref="C36 B19:C19">
    <cfRule type="cellIs" dxfId="127" priority="2" stopIfTrue="1" operator="equal">
      <formula>"State Survivability Level"</formula>
    </cfRule>
  </conditionalFormatting>
  <conditionalFormatting sqref="D37">
    <cfRule type="cellIs" dxfId="126" priority="3" stopIfTrue="1" operator="equal">
      <formula>0</formula>
    </cfRule>
  </conditionalFormatting>
  <conditionalFormatting sqref="C34">
    <cfRule type="cellIs" priority="4" stopIfTrue="1" operator="equal">
      <formula>"Explain potential to scour"</formula>
    </cfRule>
  </conditionalFormatting>
  <conditionalFormatting sqref="C28">
    <cfRule type="cellIs" dxfId="125" priority="5" stopIfTrue="1" operator="equal">
      <formula>"&gt;1000 ft, Please Explain"</formula>
    </cfRule>
    <cfRule type="cellIs" dxfId="124" priority="6" stopIfTrue="1" operator="equal">
      <formula>""</formula>
    </cfRule>
  </conditionalFormatting>
  <conditionalFormatting sqref="A33">
    <cfRule type="cellIs" dxfId="123" priority="7" stopIfTrue="1" operator="equal">
      <formula>"Since there may be potential to scour  at this location: Please Explain"</formula>
    </cfRule>
    <cfRule type="cellIs" dxfId="122" priority="8" stopIfTrue="1" operator="equal">
      <formula>""</formula>
    </cfRule>
  </conditionalFormatting>
  <conditionalFormatting sqref="C29">
    <cfRule type="cellIs" dxfId="121" priority="9" stopIfTrue="1" operator="equal">
      <formula>"Detailed Soil safety factor submission required or Explain"</formula>
    </cfRule>
  </conditionalFormatting>
  <conditionalFormatting sqref="F26 F13">
    <cfRule type="cellIs" dxfId="120" priority="10" stopIfTrue="1" operator="equal">
      <formula>"Please complete this Block of Questions for this Independent Leg Jack-Up"</formula>
    </cfRule>
    <cfRule type="cellIs" dxfId="119" priority="11" stopIfTrue="1" operator="equal">
      <formula>"Please ignore this block of questions for Mat Supported Jack-Up"</formula>
    </cfRule>
  </conditionalFormatting>
  <conditionalFormatting sqref="A26 A13">
    <cfRule type="cellIs" dxfId="118" priority="12" stopIfTrue="1" operator="equal">
      <formula>"Please complete this Block of Questions for this Independent Leg Jack-Up"</formula>
    </cfRule>
    <cfRule type="cellIs" dxfId="117" priority="13" stopIfTrue="1" operator="equal">
      <formula>"Please ignore this block of questions for Mat Supported Jack-Up"</formula>
    </cfRule>
  </conditionalFormatting>
  <conditionalFormatting sqref="B33:C33">
    <cfRule type="cellIs" dxfId="116" priority="14" stopIfTrue="1" operator="equal">
      <formula>"Since there may be potential to scour  at this location: Please Explain"</formula>
    </cfRule>
  </conditionalFormatting>
  <conditionalFormatting sqref="C37 C16">
    <cfRule type="cellIs" dxfId="115" priority="15" stopIfTrue="1" operator="equal">
      <formula>"Please Explain"</formula>
    </cfRule>
    <cfRule type="cellIs" dxfId="114" priority="16" stopIfTrue="1" operator="equal">
      <formula>""</formula>
    </cfRule>
  </conditionalFormatting>
  <conditionalFormatting sqref="E24">
    <cfRule type="cellIs" dxfId="113" priority="17" stopIfTrue="1" operator="equal">
      <formula>"Please Explain Soil Limits"</formula>
    </cfRule>
  </conditionalFormatting>
  <conditionalFormatting sqref="C23">
    <cfRule type="cellIs" dxfId="112" priority="18" stopIfTrue="1" operator="equal">
      <formula>"Please Explain Controls"</formula>
    </cfRule>
  </conditionalFormatting>
  <conditionalFormatting sqref="C7">
    <cfRule type="cellIs" dxfId="111" priority="19" stopIfTrue="1" operator="equal">
      <formula>1</formula>
    </cfRule>
  </conditionalFormatting>
  <conditionalFormatting sqref="B7 D5">
    <cfRule type="cellIs" dxfId="110" priority="20" stopIfTrue="1" operator="equal">
      <formula>"Submit Report"</formula>
    </cfRule>
  </conditionalFormatting>
  <conditionalFormatting sqref="C15">
    <cfRule type="cellIs" dxfId="109" priority="21" stopIfTrue="1" operator="equal">
      <formula>"&gt;1000 ft"</formula>
    </cfRule>
    <cfRule type="cellIs" dxfId="108" priority="22" stopIfTrue="1" operator="equal">
      <formula>""</formula>
    </cfRule>
  </conditionalFormatting>
  <conditionalFormatting sqref="C18">
    <cfRule type="cellIs" dxfId="107" priority="23" stopIfTrue="1" operator="equal">
      <formula>"Explain potential for and protection against Scour"</formula>
    </cfRule>
  </conditionalFormatting>
  <conditionalFormatting sqref="D6:E6">
    <cfRule type="cellIs" dxfId="106" priority="24" stopIfTrue="1" operator="equal">
      <formula>"Mudslide Zone: Submit Report"</formula>
    </cfRule>
  </conditionalFormatting>
  <conditionalFormatting sqref="B6:C6">
    <cfRule type="cellIs" dxfId="105" priority="25" stopIfTrue="1" operator="equal">
      <formula>"LOW CONSEQUENCE FROM INFRASTRUCTURE"</formula>
    </cfRule>
    <cfRule type="cellIs" dxfId="104" priority="26" stopIfTrue="1" operator="equal">
      <formula>"MEDIUM CONSEQUENCE FROM INFRASTRUCTURE"</formula>
    </cfRule>
    <cfRule type="cellIs" dxfId="103" priority="27" stopIfTrue="1" operator="equal">
      <formula>"HIGH CONSEQUENCE FROM INFRASTRUCTURE"</formula>
    </cfRule>
  </conditionalFormatting>
  <conditionalFormatting sqref="B17:C17">
    <cfRule type="cellIs" dxfId="102" priority="28" stopIfTrue="1" operator="equal">
      <formula>"Please explain"</formula>
    </cfRule>
    <cfRule type="cellIs" dxfId="101" priority="29" stopIfTrue="1" operator="equal">
      <formula>"Please attach Load-Penetration Curve for soils to at least half the spudcan diameter below expected penetration. Show stillwater and preload reactions on the curve"</formula>
    </cfRule>
  </conditionalFormatting>
  <pageMargins left="0.94" right="0.41" top="0.82" bottom="0.6" header="0.5" footer="0.5"/>
  <pageSetup scale="59" fitToHeight="2" orientation="portrait" horizontalDpi="1200" verticalDpi="1200" r:id="rId1"/>
  <headerFooter alignWithMargins="0">
    <oddHeader>&amp;L&amp;F&amp;C&amp;A</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223" r:id="rId4" name="Drop Down 31">
              <controlPr defaultSize="0" autoLine="0" autoPict="0">
                <anchor moveWithCells="1">
                  <from>
                    <xdr:col>1</xdr:col>
                    <xdr:colOff>352425</xdr:colOff>
                    <xdr:row>36</xdr:row>
                    <xdr:rowOff>57150</xdr:rowOff>
                  </from>
                  <to>
                    <xdr:col>1</xdr:col>
                    <xdr:colOff>1238250</xdr:colOff>
                    <xdr:row>36</xdr:row>
                    <xdr:rowOff>266700</xdr:rowOff>
                  </to>
                </anchor>
              </controlPr>
            </control>
          </mc:Choice>
        </mc:AlternateContent>
        <mc:AlternateContent xmlns:mc="http://schemas.openxmlformats.org/markup-compatibility/2006">
          <mc:Choice Requires="x14">
            <control shapeId="8233" r:id="rId5" name="Drop Down 41">
              <controlPr defaultSize="0" autoLine="0" autoPict="0">
                <anchor moveWithCells="1">
                  <from>
                    <xdr:col>1</xdr:col>
                    <xdr:colOff>542925</xdr:colOff>
                    <xdr:row>22</xdr:row>
                    <xdr:rowOff>47625</xdr:rowOff>
                  </from>
                  <to>
                    <xdr:col>1</xdr:col>
                    <xdr:colOff>1428750</xdr:colOff>
                    <xdr:row>22</xdr:row>
                    <xdr:rowOff>247650</xdr:rowOff>
                  </to>
                </anchor>
              </controlPr>
            </control>
          </mc:Choice>
        </mc:AlternateContent>
        <mc:AlternateContent xmlns:mc="http://schemas.openxmlformats.org/markup-compatibility/2006">
          <mc:Choice Requires="x14">
            <control shapeId="8234" r:id="rId6" name="Drop Down 42">
              <controlPr defaultSize="0" autoLine="0" autoPict="0">
                <anchor moveWithCells="1">
                  <from>
                    <xdr:col>1</xdr:col>
                    <xdr:colOff>447675</xdr:colOff>
                    <xdr:row>21</xdr:row>
                    <xdr:rowOff>85725</xdr:rowOff>
                  </from>
                  <to>
                    <xdr:col>1</xdr:col>
                    <xdr:colOff>1514475</xdr:colOff>
                    <xdr:row>21</xdr:row>
                    <xdr:rowOff>295275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23"/>
    <pageSetUpPr fitToPage="1"/>
  </sheetPr>
  <dimension ref="A1:O40"/>
  <sheetViews>
    <sheetView topLeftCell="A24" zoomScale="75" zoomScaleNormal="75" zoomScaleSheetLayoutView="75" workbookViewId="0">
      <selection activeCell="H34" sqref="H34"/>
    </sheetView>
  </sheetViews>
  <sheetFormatPr defaultRowHeight="12.75" x14ac:dyDescent="0.2"/>
  <cols>
    <col min="1" max="1" width="36.5703125" style="317" customWidth="1"/>
    <col min="2" max="2" width="15" style="317" customWidth="1"/>
    <col min="3" max="3" width="16.42578125" style="317" customWidth="1"/>
    <col min="4" max="4" width="14.28515625" style="317" customWidth="1"/>
    <col min="5" max="5" width="14.140625" style="317" customWidth="1"/>
    <col min="6" max="6" width="15.85546875" style="317" customWidth="1"/>
    <col min="7" max="7" width="28.28515625" style="317" customWidth="1"/>
    <col min="8" max="8" width="19.42578125" style="317" customWidth="1"/>
    <col min="9" max="9" width="87.7109375" style="459" customWidth="1"/>
    <col min="10" max="16384" width="9.140625" style="317"/>
  </cols>
  <sheetData>
    <row r="1" spans="1:10" ht="13.5" thickBot="1" x14ac:dyDescent="0.25">
      <c r="D1" s="318" t="s">
        <v>693</v>
      </c>
      <c r="G1" s="319"/>
    </row>
    <row r="2" spans="1:10" ht="14.25" thickTop="1" thickBot="1" x14ac:dyDescent="0.25">
      <c r="B2" s="1157" t="s">
        <v>697</v>
      </c>
      <c r="C2" s="1158"/>
      <c r="D2" s="1158"/>
      <c r="E2" s="1158"/>
      <c r="F2" s="1159"/>
      <c r="G2" s="319"/>
      <c r="H2" s="319"/>
      <c r="I2" s="458"/>
    </row>
    <row r="3" spans="1:10" ht="14.25" thickTop="1" thickBot="1" x14ac:dyDescent="0.25">
      <c r="C3" s="319"/>
      <c r="D3" s="319"/>
      <c r="E3" s="319"/>
      <c r="F3" s="319"/>
      <c r="G3" s="319"/>
      <c r="H3" s="319"/>
      <c r="I3" s="458"/>
    </row>
    <row r="4" spans="1:10" ht="13.5" thickTop="1" x14ac:dyDescent="0.2">
      <c r="A4" s="320" t="s">
        <v>288</v>
      </c>
      <c r="B4" s="321"/>
      <c r="C4" s="319"/>
      <c r="D4" s="319"/>
      <c r="E4" s="1145" t="s">
        <v>85</v>
      </c>
      <c r="F4" s="1140"/>
      <c r="G4" s="1141"/>
      <c r="I4" s="458"/>
    </row>
    <row r="5" spans="1:10" x14ac:dyDescent="0.2">
      <c r="A5" s="322" t="s">
        <v>506</v>
      </c>
      <c r="B5" s="570"/>
      <c r="C5" s="319"/>
      <c r="D5" s="319"/>
      <c r="E5" s="323" t="s">
        <v>586</v>
      </c>
      <c r="F5" s="324"/>
      <c r="G5" s="325">
        <f>G6-G7-G8-G9-G10-6</f>
        <v>41.399999999999977</v>
      </c>
      <c r="H5" s="326"/>
      <c r="I5" s="458"/>
    </row>
    <row r="6" spans="1:10" x14ac:dyDescent="0.2">
      <c r="A6" s="322" t="s">
        <v>507</v>
      </c>
      <c r="B6" s="571"/>
      <c r="C6" s="319"/>
      <c r="D6" s="319"/>
      <c r="E6" s="1168" t="str">
        <f>IF(Factors!J6=1,"Total Leg Length","Total Leg Length to Bottom of Mat")</f>
        <v>Total Leg Length</v>
      </c>
      <c r="F6" s="1108"/>
      <c r="G6" s="698">
        <f>LOCATION!D14</f>
        <v>410</v>
      </c>
      <c r="H6" s="319"/>
      <c r="I6" s="458"/>
    </row>
    <row r="7" spans="1:10" x14ac:dyDescent="0.2">
      <c r="A7" s="322" t="s">
        <v>508</v>
      </c>
      <c r="B7" s="571"/>
      <c r="C7" s="319"/>
      <c r="D7" s="319"/>
      <c r="E7" s="1168" t="s">
        <v>84</v>
      </c>
      <c r="F7" s="1108"/>
      <c r="G7" s="698">
        <f>LOCATION!D15</f>
        <v>50</v>
      </c>
      <c r="H7" s="326"/>
      <c r="I7" s="458"/>
    </row>
    <row r="8" spans="1:10" x14ac:dyDescent="0.2">
      <c r="A8" s="322" t="s">
        <v>289</v>
      </c>
      <c r="B8" s="571"/>
      <c r="C8" s="319"/>
      <c r="D8" s="319"/>
      <c r="E8" s="323" t="s">
        <v>495</v>
      </c>
      <c r="F8" s="324"/>
      <c r="G8" s="698">
        <f>METOCEAN!C7</f>
        <v>62.6</v>
      </c>
      <c r="H8" s="326"/>
      <c r="I8" s="458"/>
    </row>
    <row r="9" spans="1:10" x14ac:dyDescent="0.2">
      <c r="A9" s="322" t="s">
        <v>326</v>
      </c>
      <c r="B9" s="571"/>
      <c r="C9" s="319"/>
      <c r="D9" s="319" t="s">
        <v>222</v>
      </c>
      <c r="E9" s="323" t="s">
        <v>242</v>
      </c>
      <c r="F9" s="324"/>
      <c r="G9" s="698">
        <f>METOCEAN!C4</f>
        <v>240</v>
      </c>
      <c r="H9" s="326"/>
      <c r="I9" s="458"/>
    </row>
    <row r="10" spans="1:10" ht="33.75" customHeight="1" thickBot="1" x14ac:dyDescent="0.25">
      <c r="A10" s="327" t="s">
        <v>325</v>
      </c>
      <c r="B10" s="571"/>
      <c r="C10" s="319"/>
      <c r="D10" s="319"/>
      <c r="E10" s="1168" t="str">
        <f>IF(Factors!J6=1,"Expected Penetration: Full Preload (ft)","Expected Penetration: surface to mat bottom (ft)")</f>
        <v>Expected Penetration: Full Preload (ft)</v>
      </c>
      <c r="F10" s="1108"/>
      <c r="G10" s="699">
        <f>GEOTECH!B21</f>
        <v>10</v>
      </c>
      <c r="H10" s="319"/>
      <c r="I10" s="458"/>
    </row>
    <row r="11" spans="1:10" ht="19.5" customHeight="1" thickTop="1" thickBot="1" x14ac:dyDescent="0.25">
      <c r="A11" s="413" t="s">
        <v>316</v>
      </c>
      <c r="B11" s="572"/>
      <c r="C11" s="319"/>
      <c r="D11" s="319"/>
      <c r="E11" s="326"/>
      <c r="F11" s="326"/>
      <c r="G11" s="319"/>
      <c r="H11" s="319"/>
      <c r="I11" s="458"/>
    </row>
    <row r="12" spans="1:10" ht="14.25" thickTop="1" thickBot="1" x14ac:dyDescent="0.25">
      <c r="A12" s="415" t="s">
        <v>222</v>
      </c>
      <c r="B12" s="415"/>
      <c r="C12" s="326"/>
      <c r="D12" s="319"/>
      <c r="E12" s="328" t="s">
        <v>510</v>
      </c>
      <c r="F12" s="1152" t="str">
        <f>LOCATION!$D$25</f>
        <v>West Central</v>
      </c>
      <c r="G12" s="1153"/>
      <c r="H12" s="319"/>
      <c r="I12" s="458"/>
      <c r="J12" s="319"/>
    </row>
    <row r="13" spans="1:10" ht="13.5" thickTop="1" x14ac:dyDescent="0.2">
      <c r="A13" s="414" t="str">
        <f>IF(Factors!$J$6=2,"Mat Length (ft)","Spud Can Diameter (ft)")</f>
        <v>Spud Can Diameter (ft)</v>
      </c>
      <c r="B13" s="573"/>
      <c r="C13" s="319"/>
      <c r="D13" s="319"/>
      <c r="F13" s="319"/>
      <c r="G13" s="319"/>
      <c r="H13" s="319"/>
      <c r="I13" s="458"/>
      <c r="J13" s="319"/>
    </row>
    <row r="14" spans="1:10" x14ac:dyDescent="0.2">
      <c r="A14" s="329" t="str">
        <f>IF(Factors!$J$6=2,"Mat Height (excluding Skirt) (ft)","Spud Can Height (ft)")</f>
        <v>Spud Can Height (ft)</v>
      </c>
      <c r="B14" s="569"/>
      <c r="C14" s="319"/>
      <c r="D14" s="319"/>
      <c r="F14" s="319"/>
      <c r="G14" s="319"/>
      <c r="H14" s="319"/>
      <c r="I14" s="458"/>
      <c r="J14" s="319"/>
    </row>
    <row r="15" spans="1:10" x14ac:dyDescent="0.2">
      <c r="A15" s="329" t="str">
        <f>IF(Factors!$J$6=2,"Mat Width","")</f>
        <v/>
      </c>
      <c r="B15" s="569"/>
      <c r="C15" s="319"/>
      <c r="D15" s="319"/>
      <c r="F15" s="319"/>
      <c r="G15" s="319"/>
      <c r="H15" s="319"/>
      <c r="I15" s="458"/>
      <c r="J15" s="319"/>
    </row>
    <row r="16" spans="1:10" x14ac:dyDescent="0.2">
      <c r="A16" s="329" t="str">
        <f>IF(Factors!$J$6=2,"Skirt Height","")</f>
        <v/>
      </c>
      <c r="B16" s="569"/>
      <c r="C16" s="319"/>
      <c r="D16" s="319"/>
      <c r="F16" s="319"/>
      <c r="G16" s="319"/>
      <c r="H16" s="319"/>
      <c r="I16" s="458"/>
      <c r="J16" s="319"/>
    </row>
    <row r="17" spans="1:15" ht="25.5" x14ac:dyDescent="0.2">
      <c r="A17" s="322" t="s">
        <v>699</v>
      </c>
      <c r="B17" s="697">
        <f>LOCATION!E28</f>
        <v>250</v>
      </c>
      <c r="C17" s="319"/>
      <c r="D17" s="319"/>
      <c r="F17" s="319"/>
      <c r="G17" s="319"/>
      <c r="H17" s="319"/>
      <c r="I17" s="458"/>
      <c r="J17" s="319"/>
    </row>
    <row r="18" spans="1:15" ht="15.75" customHeight="1" x14ac:dyDescent="0.2">
      <c r="A18" s="322" t="s">
        <v>509</v>
      </c>
      <c r="B18" s="569"/>
      <c r="C18" s="319"/>
      <c r="D18" s="330" t="s">
        <v>222</v>
      </c>
      <c r="F18" s="319"/>
      <c r="G18" s="319"/>
      <c r="H18" s="319"/>
      <c r="I18" s="458"/>
      <c r="J18" s="319"/>
    </row>
    <row r="19" spans="1:15" ht="21.75" customHeight="1" thickBot="1" x14ac:dyDescent="0.25">
      <c r="A19" s="322" t="s">
        <v>290</v>
      </c>
      <c r="B19" s="569" t="s">
        <v>222</v>
      </c>
      <c r="C19" s="319"/>
      <c r="D19" s="330" t="s">
        <v>222</v>
      </c>
      <c r="F19" s="319"/>
      <c r="G19" s="319"/>
      <c r="H19" s="319"/>
      <c r="I19" s="458"/>
      <c r="J19" s="319"/>
    </row>
    <row r="20" spans="1:15" ht="89.25" customHeight="1" thickTop="1" thickBot="1" x14ac:dyDescent="0.25">
      <c r="A20" s="887" t="s">
        <v>381</v>
      </c>
      <c r="B20" s="888"/>
      <c r="C20" s="380" t="str">
        <f>IF(Factors!$J$10=2, "Explain","")</f>
        <v/>
      </c>
      <c r="D20" s="1165" t="s">
        <v>771</v>
      </c>
      <c r="E20" s="1166"/>
      <c r="F20" s="1166"/>
      <c r="G20" s="1166"/>
      <c r="H20" s="1167"/>
      <c r="I20" s="458"/>
      <c r="J20" s="319"/>
    </row>
    <row r="21" spans="1:15" ht="14.25" thickTop="1" thickBot="1" x14ac:dyDescent="0.25">
      <c r="A21" s="319"/>
      <c r="B21" s="319"/>
      <c r="C21" s="319"/>
      <c r="D21" s="319"/>
      <c r="E21" s="319"/>
      <c r="F21" s="380"/>
      <c r="G21" s="319"/>
      <c r="H21" s="319"/>
      <c r="I21" s="458"/>
      <c r="J21" s="319"/>
    </row>
    <row r="22" spans="1:15" s="319" customFormat="1" ht="58.5" customHeight="1" thickTop="1" thickBot="1" x14ac:dyDescent="0.25">
      <c r="A22" s="1160" t="str">
        <f>IF(Factors!$J$76=1,"From the Location Sheet: The rig meets the Structural requirements of the SNAME GoM Annex (both curves)","From the Location Sheet: The rig does NOT meet the Structural requirements of SNAME GoM Annex (both curves)")</f>
        <v>From the Location Sheet: The rig meets the Structural requirements of the SNAME GoM Annex (both curves)</v>
      </c>
      <c r="B22" s="1161"/>
      <c r="C22" s="1161"/>
      <c r="D22" s="1162"/>
      <c r="E22" s="1163" t="str">
        <f>IF(Factors!$J$76=2,"Explanation from Location worksheet","")</f>
        <v/>
      </c>
      <c r="F22" s="1164"/>
      <c r="G22" s="1146" t="str">
        <f>LOCATION!$G$37</f>
        <v xml:space="preserve">Loc 4:  </v>
      </c>
      <c r="H22" s="1147"/>
      <c r="I22" s="460"/>
    </row>
    <row r="23" spans="1:15" ht="14.25" thickTop="1" thickBot="1" x14ac:dyDescent="0.25">
      <c r="A23" s="331"/>
      <c r="B23" s="326"/>
      <c r="C23" s="326"/>
      <c r="D23" s="330"/>
      <c r="F23" s="319"/>
      <c r="G23" s="319"/>
      <c r="H23" s="319"/>
      <c r="I23" s="458"/>
      <c r="J23" s="319"/>
    </row>
    <row r="24" spans="1:15" ht="39" customHeight="1" thickTop="1" thickBot="1" x14ac:dyDescent="0.25">
      <c r="A24" s="1148" t="s">
        <v>362</v>
      </c>
      <c r="B24" s="1149"/>
      <c r="C24" s="1149"/>
      <c r="D24" s="1149"/>
      <c r="E24" s="1149"/>
      <c r="F24" s="1149"/>
      <c r="G24" s="1150" t="s">
        <v>417</v>
      </c>
      <c r="H24" s="1151"/>
      <c r="I24" s="458"/>
      <c r="J24" s="241"/>
      <c r="K24" s="241"/>
      <c r="L24" s="241"/>
      <c r="M24" s="241"/>
      <c r="N24" s="241"/>
      <c r="O24" s="241"/>
    </row>
    <row r="25" spans="1:15" ht="55.5" customHeight="1" thickTop="1" thickBot="1" x14ac:dyDescent="0.25">
      <c r="A25" s="1148" t="s">
        <v>738</v>
      </c>
      <c r="B25" s="1169"/>
      <c r="C25" s="1169"/>
      <c r="D25" s="1170"/>
      <c r="E25" s="347" t="s">
        <v>511</v>
      </c>
      <c r="F25" s="347" t="s">
        <v>511</v>
      </c>
      <c r="G25" s="348" t="str">
        <f>IF(Factors!AE14&lt;4,"Survival Case
in 
Full Population Hurricane", "Please Ignore Below")</f>
        <v>Please Ignore Below</v>
      </c>
      <c r="H25" s="675" t="str">
        <f>IF(Factors!AE14&lt;4,"Please Ignore Below",IF(Factors!AE14=4,"10-Year Site Specific",IF(Factors!AE14=5,"50-Year Site Specific",IF(Factors!AE14=6,"100-Year Site Specific",IF(Factors!AE14=7,"10-Year Site Seasonal",IF(Factors!AE14=8,"50-Year Site Seasonal",IF(Factors!AE14=9,"100-Year Site Seasonal",IF(Factors!AE14=10,"Survival Case Other Specified:
(Specify Return Period Below)"""))))))))</f>
        <v>10-Year Site Specific</v>
      </c>
      <c r="I25" s="676"/>
      <c r="J25" s="241"/>
      <c r="K25" s="241"/>
      <c r="L25" s="241"/>
      <c r="M25" s="241"/>
      <c r="N25" s="241"/>
      <c r="O25" s="241"/>
    </row>
    <row r="26" spans="1:15" ht="68.25" customHeight="1" thickTop="1" thickBot="1" x14ac:dyDescent="0.25">
      <c r="A26" s="349" t="s">
        <v>512</v>
      </c>
      <c r="B26" s="347" t="s">
        <v>291</v>
      </c>
      <c r="C26" s="347" t="s">
        <v>292</v>
      </c>
      <c r="D26" s="347" t="s">
        <v>293</v>
      </c>
      <c r="E26" s="348" t="s">
        <v>340</v>
      </c>
      <c r="F26" s="348" t="s">
        <v>340</v>
      </c>
      <c r="G26" s="100" t="str">
        <f>IF(Factors!AE14&lt;4,'ASSESSMENT RESULTS'!B31,IF(Factors!AE14&gt;3,"Please Ignore",""))</f>
        <v>Please Ignore</v>
      </c>
      <c r="H26" s="674" t="str">
        <f>IF(Factors!AE14=10,LOCATION!$G$38,"")</f>
        <v/>
      </c>
      <c r="I26" s="677" t="s">
        <v>772</v>
      </c>
      <c r="J26" s="241"/>
      <c r="K26" s="241"/>
      <c r="L26" s="241"/>
      <c r="M26" s="241"/>
      <c r="N26" s="241"/>
      <c r="O26" s="241"/>
    </row>
    <row r="27" spans="1:15" ht="22.5" customHeight="1" thickTop="1" x14ac:dyDescent="0.2">
      <c r="A27" s="381" t="s">
        <v>242</v>
      </c>
      <c r="B27" s="861" t="s">
        <v>222</v>
      </c>
      <c r="C27" s="862"/>
      <c r="D27" s="863"/>
      <c r="E27" s="700">
        <f>LOCATION!$D$12</f>
        <v>240</v>
      </c>
      <c r="F27" s="700">
        <f>LOCATION!$D$12</f>
        <v>240</v>
      </c>
      <c r="G27" s="700">
        <f>LOCATION!$D$12</f>
        <v>240</v>
      </c>
      <c r="H27" s="700">
        <f>LOCATION!$D$12</f>
        <v>240</v>
      </c>
      <c r="I27" s="458" t="s">
        <v>222</v>
      </c>
      <c r="J27" s="241"/>
      <c r="K27" s="241"/>
      <c r="L27" s="241"/>
      <c r="M27" s="241"/>
      <c r="N27" s="241"/>
      <c r="O27" s="241"/>
    </row>
    <row r="28" spans="1:15" ht="29.25" customHeight="1" x14ac:dyDescent="0.2">
      <c r="A28" s="322" t="s">
        <v>294</v>
      </c>
      <c r="B28" s="864"/>
      <c r="C28" s="865"/>
      <c r="D28" s="864" t="s">
        <v>222</v>
      </c>
      <c r="E28" s="701">
        <f>IF(Factors!$Y$6=1,METOCEAN!$C$40,IF(Factors!$Y$6=2,METOCEAN!$C$39,IF(Factors!$Y$6=3,METOCEAN!$C$41,"Error")))</f>
        <v>61.062692416000004</v>
      </c>
      <c r="F28" s="701">
        <f>IF(Factors!$Z$6=1,METOCEAN!$C$40,IF(Factors!$Z$6=2,METOCEAN!$C$39,IF(Factors!$Z$6=3,METOCEAN!$C$41,"Error")))</f>
        <v>66.108955584</v>
      </c>
      <c r="G28" s="702" t="str">
        <f>IF(Factors!$AE$14=1,Equations!$B$21,IF(Factors!$AE$14=2,Equations!$B$22,IF(Factors!$AE$14=3,Equations!$B$23,"")))</f>
        <v/>
      </c>
      <c r="H28" s="568"/>
      <c r="I28" s="458"/>
      <c r="J28" s="241"/>
      <c r="K28" s="241"/>
      <c r="L28" s="241"/>
      <c r="M28" s="241"/>
      <c r="N28" s="241"/>
      <c r="O28" s="241"/>
    </row>
    <row r="29" spans="1:15" ht="29.25" customHeight="1" x14ac:dyDescent="0.2">
      <c r="A29" s="322" t="s">
        <v>295</v>
      </c>
      <c r="B29" s="864"/>
      <c r="C29" s="865"/>
      <c r="D29" s="864" t="s">
        <v>222</v>
      </c>
      <c r="E29" s="701">
        <f>IF(Factors!$Y$6=1,METOCEAN!$C$33,IF(Factors!$Y$6=2,METOCEAN!$C$32,IF(Factors!$Y$6=3,METOCEAN!$C$34,"Error")))</f>
        <v>37.007373215999998</v>
      </c>
      <c r="F29" s="701">
        <f>IF(Factors!$Z$6=1,METOCEAN!$C$33,IF(Factors!$Z$6=2,METOCEAN!$C$32,IF(Factors!$Z$6=3,METOCEAN!$C$34,"Error")))</f>
        <v>40.356856870399994</v>
      </c>
      <c r="G29" s="703" t="str">
        <f>IF(Factors!$AE$14=1,Equations!$B$20*3.2808,IF(Factors!$AE$14=2,Equations!$B$18*3.2808,IF(Factors!$AE$14=3,Equations!$B$17*3.2808,"")))</f>
        <v/>
      </c>
      <c r="H29" s="568"/>
      <c r="I29" s="458"/>
      <c r="J29" s="241"/>
      <c r="K29" s="241"/>
      <c r="L29" s="241"/>
      <c r="M29" s="241"/>
      <c r="N29" s="241"/>
      <c r="O29" s="241"/>
    </row>
    <row r="30" spans="1:15" ht="29.25" customHeight="1" x14ac:dyDescent="0.2">
      <c r="A30" s="322" t="s">
        <v>296</v>
      </c>
      <c r="B30" s="865"/>
      <c r="C30" s="865"/>
      <c r="D30" s="864"/>
      <c r="E30" s="701"/>
      <c r="F30" s="701"/>
      <c r="G30" s="703"/>
      <c r="H30" s="568"/>
      <c r="I30" s="458" t="s">
        <v>222</v>
      </c>
      <c r="J30" s="241"/>
      <c r="K30" s="241"/>
      <c r="L30" s="241"/>
      <c r="M30" s="241"/>
      <c r="N30" s="241"/>
      <c r="O30" s="241"/>
    </row>
    <row r="31" spans="1:15" ht="29.25" customHeight="1" x14ac:dyDescent="0.2">
      <c r="A31" s="322" t="s">
        <v>299</v>
      </c>
      <c r="B31" s="865"/>
      <c r="C31" s="865"/>
      <c r="D31" s="864"/>
      <c r="E31" s="701" t="s">
        <v>319</v>
      </c>
      <c r="F31" s="701" t="s">
        <v>319</v>
      </c>
      <c r="G31" s="703" t="str">
        <f>IF(OR(Factors!$AE$14=1,Factors!$AE$14=2,Factors!$AE$14=3),"Incl. in C.E.","")</f>
        <v/>
      </c>
      <c r="H31" s="568"/>
      <c r="I31" s="458"/>
      <c r="J31" s="241"/>
      <c r="K31" s="241"/>
      <c r="L31" s="241"/>
      <c r="M31" s="241"/>
      <c r="N31" s="241"/>
      <c r="O31" s="241"/>
    </row>
    <row r="32" spans="1:15" ht="29.25" customHeight="1" thickBot="1" x14ac:dyDescent="0.25">
      <c r="A32" s="322" t="s">
        <v>315</v>
      </c>
      <c r="B32" s="865"/>
      <c r="C32" s="865"/>
      <c r="D32" s="864"/>
      <c r="E32" s="701" t="s">
        <v>319</v>
      </c>
      <c r="F32" s="701" t="s">
        <v>319</v>
      </c>
      <c r="G32" s="703" t="str">
        <f>IF(OR(Factors!$AE$14=1,Factors!$AE$14=2,Factors!$AE$14=3),"Incl. in C.E.","")</f>
        <v/>
      </c>
      <c r="H32" s="568"/>
      <c r="I32" s="458"/>
      <c r="J32" s="241"/>
      <c r="K32" s="241"/>
      <c r="L32" s="241"/>
      <c r="M32" s="241"/>
      <c r="N32" s="241"/>
      <c r="O32" s="241"/>
    </row>
    <row r="33" spans="1:15" ht="29.25" customHeight="1" thickTop="1" x14ac:dyDescent="0.2">
      <c r="A33" s="322" t="s">
        <v>297</v>
      </c>
      <c r="B33" s="865"/>
      <c r="C33" s="865"/>
      <c r="D33" s="864"/>
      <c r="E33" s="701">
        <f>METOCEAN!$C$7</f>
        <v>62.6</v>
      </c>
      <c r="F33" s="701">
        <f>METOCEAN!$C$7</f>
        <v>62.6</v>
      </c>
      <c r="G33" s="701">
        <f>METOCEAN!$C$7</f>
        <v>62.6</v>
      </c>
      <c r="H33" s="700">
        <f>METOCEAN!$C$7</f>
        <v>62.6</v>
      </c>
      <c r="I33" s="479" t="s">
        <v>44</v>
      </c>
      <c r="J33" s="241"/>
      <c r="K33" s="241"/>
      <c r="L33" s="241"/>
      <c r="M33" s="241"/>
      <c r="N33" s="241"/>
      <c r="O33" s="241"/>
    </row>
    <row r="34" spans="1:15" ht="29.25" customHeight="1" x14ac:dyDescent="0.2">
      <c r="A34" s="322" t="s">
        <v>320</v>
      </c>
      <c r="B34" s="866"/>
      <c r="C34" s="865"/>
      <c r="D34" s="864"/>
      <c r="E34" s="704">
        <f>IF(Factors!$Y$6=1,METOCEAN!$C$52,IF(Factors!$Y$6=2,METOCEAN!$C$48,IF(Factors!$Y$6=3,METOCEAN!$C$56,"Error")))</f>
        <v>1.466</v>
      </c>
      <c r="F34" s="704">
        <f>IF(Factors!$Z$6=1,METOCEAN!$C$52,IF(Factors!$Z$6=2,METOCEAN!$C$48,IF(Factors!$Z$6=3,METOCEAN!$C$56,"Error")))</f>
        <v>1.5979999999999999</v>
      </c>
      <c r="G34" s="894"/>
      <c r="H34" s="568"/>
      <c r="I34" s="458"/>
      <c r="J34" s="241"/>
      <c r="K34" s="241"/>
      <c r="L34" s="241"/>
      <c r="M34" s="241"/>
      <c r="N34" s="241"/>
      <c r="O34" s="241"/>
    </row>
    <row r="35" spans="1:15" ht="29.25" customHeight="1" x14ac:dyDescent="0.2">
      <c r="A35" s="322" t="s">
        <v>486</v>
      </c>
      <c r="B35" s="865" t="s">
        <v>521</v>
      </c>
      <c r="C35" s="865"/>
      <c r="D35" s="864"/>
      <c r="E35" s="867" t="s">
        <v>521</v>
      </c>
      <c r="F35" s="867"/>
      <c r="G35" s="703">
        <f>LOCATION!$D$17</f>
        <v>10</v>
      </c>
      <c r="H35" s="705">
        <f>LOCATION!$D$17</f>
        <v>10</v>
      </c>
      <c r="I35" s="479" t="s">
        <v>45</v>
      </c>
      <c r="J35" s="241"/>
      <c r="K35" s="241"/>
      <c r="L35" s="241"/>
      <c r="M35" s="241"/>
      <c r="N35" s="241"/>
      <c r="O35" s="241"/>
    </row>
    <row r="36" spans="1:15" ht="53.25" customHeight="1" x14ac:dyDescent="0.2">
      <c r="A36" s="387" t="s">
        <v>419</v>
      </c>
      <c r="B36" s="865"/>
      <c r="C36" s="865"/>
      <c r="D36" s="864"/>
      <c r="E36" s="867" t="s">
        <v>222</v>
      </c>
      <c r="F36" s="871" t="s">
        <v>661</v>
      </c>
      <c r="G36" s="567" t="s">
        <v>222</v>
      </c>
      <c r="H36" s="568"/>
      <c r="I36" s="678" t="s">
        <v>361</v>
      </c>
      <c r="J36" s="241"/>
      <c r="K36" s="241"/>
      <c r="L36" s="241"/>
      <c r="M36" s="241"/>
      <c r="N36" s="241"/>
      <c r="O36" s="241"/>
    </row>
    <row r="37" spans="1:15" ht="45" customHeight="1" x14ac:dyDescent="0.2">
      <c r="A37" s="1171" t="s">
        <v>52</v>
      </c>
      <c r="B37" s="1172"/>
      <c r="C37" s="1172"/>
      <c r="D37" s="1172"/>
      <c r="E37" s="1172"/>
      <c r="F37" s="1172"/>
      <c r="G37" s="673" t="str">
        <f>IF(Factors!AE14&gt;3,"",IF('LEASEHOLDER Provided Data'!$D$36="LOW CONSEQUENCE FROM INFRASTRUCTURE","",IF(AND(Factors!Y40=1,'LEASEHOLDER Provided Data'!$D$36="MEDIUM CONSEQUENCE FROM INFRASTRUCTURE"),"Calculated Value Required: Medium Consequence",IF(AND(Factors!Y40=1,'LEASEHOLDER Provided Data'!$D$36="HIGH CONSEQUENCE FROM INFRASTRUCTURE"),"Calculated Value Required: High Consequence",""))))</f>
        <v/>
      </c>
      <c r="H37" s="673" t="str">
        <f>IF(Factors!AE14&gt;3, IF('LEASEHOLDER Provided Data'!$D$36="LOW CONSEQUENCE FROM INFRASTRUCTURE","",IF(AND(Factors!AA40=1,'LEASEHOLDER Provided Data'!$D$36="MEDIUM CONSEQUENCE FROM INFRASTRUCTURE"),"Calculated Required: Medium Consequence",IF(AND(Factors!AA40=1,'LEASEHOLDER Provided Data'!$D$36="HIGH CONSEQUENCE FROM INFRASTRUCTURE"),"Calculated Required: High Consequence",""))),"")</f>
        <v/>
      </c>
      <c r="I37" s="317"/>
      <c r="J37" s="241"/>
      <c r="K37" s="241"/>
      <c r="L37" s="241"/>
      <c r="M37" s="241"/>
      <c r="N37" s="241"/>
      <c r="O37" s="241"/>
    </row>
    <row r="38" spans="1:15" ht="57.75" customHeight="1" thickBot="1" x14ac:dyDescent="0.25">
      <c r="A38" s="388" t="s">
        <v>363</v>
      </c>
      <c r="B38" s="332" t="s">
        <v>661</v>
      </c>
      <c r="C38" s="332" t="s">
        <v>661</v>
      </c>
      <c r="D38" s="332" t="s">
        <v>661</v>
      </c>
      <c r="E38" s="868" t="s">
        <v>522</v>
      </c>
      <c r="F38" s="566" t="s">
        <v>682</v>
      </c>
      <c r="G38" s="566" t="s">
        <v>722</v>
      </c>
      <c r="H38" s="810" t="s">
        <v>723</v>
      </c>
      <c r="I38" s="811" t="s">
        <v>383</v>
      </c>
      <c r="J38" s="241"/>
      <c r="K38" s="241"/>
      <c r="L38" s="241"/>
      <c r="M38" s="241"/>
      <c r="N38" s="241"/>
      <c r="O38" s="241"/>
    </row>
    <row r="39" spans="1:15" s="319" customFormat="1" ht="45.75" customHeight="1" thickTop="1" thickBot="1" x14ac:dyDescent="0.25">
      <c r="A39" s="388" t="s">
        <v>418</v>
      </c>
      <c r="B39" s="1154" t="s">
        <v>521</v>
      </c>
      <c r="C39" s="1155"/>
      <c r="D39" s="1155"/>
      <c r="E39" s="1155"/>
      <c r="F39" s="1155"/>
      <c r="G39" s="1155"/>
      <c r="H39" s="1156"/>
      <c r="I39" s="458"/>
    </row>
    <row r="40" spans="1:15" ht="13.5" thickTop="1" x14ac:dyDescent="0.2"/>
  </sheetData>
  <sheetProtection password="83AF" sheet="1" objects="1" scenarios="1" formatRows="0"/>
  <mergeCells count="15">
    <mergeCell ref="B2:F2"/>
    <mergeCell ref="A22:D22"/>
    <mergeCell ref="E22:F22"/>
    <mergeCell ref="D20:H20"/>
    <mergeCell ref="E6:F6"/>
    <mergeCell ref="E7:F7"/>
    <mergeCell ref="E10:F10"/>
    <mergeCell ref="E4:G4"/>
    <mergeCell ref="G22:H22"/>
    <mergeCell ref="A24:F24"/>
    <mergeCell ref="G24:H24"/>
    <mergeCell ref="F12:G12"/>
    <mergeCell ref="B39:H39"/>
    <mergeCell ref="A25:D25"/>
    <mergeCell ref="A37:F37"/>
  </mergeCells>
  <phoneticPr fontId="4" type="noConversion"/>
  <conditionalFormatting sqref="H37">
    <cfRule type="cellIs" dxfId="100" priority="1" stopIfTrue="1" operator="equal">
      <formula>"Calculated Required: High Consequence"</formula>
    </cfRule>
    <cfRule type="cellIs" dxfId="99" priority="2" stopIfTrue="1" operator="equal">
      <formula>"Calculated Required: Medium Consequence"</formula>
    </cfRule>
  </conditionalFormatting>
  <conditionalFormatting sqref="G37">
    <cfRule type="cellIs" dxfId="98" priority="3" stopIfTrue="1" operator="equal">
      <formula>"Calculated Value Required: High Consequence"</formula>
    </cfRule>
    <cfRule type="cellIs" dxfId="97" priority="4" stopIfTrue="1" operator="equal">
      <formula>"Calculated Value Required: Medium Consequence"</formula>
    </cfRule>
  </conditionalFormatting>
  <conditionalFormatting sqref="G22">
    <cfRule type="cellIs" dxfId="96" priority="5" stopIfTrue="1" operator="equal">
      <formula>0</formula>
    </cfRule>
  </conditionalFormatting>
  <conditionalFormatting sqref="E22:F22">
    <cfRule type="cellIs" dxfId="95" priority="6" stopIfTrue="1" operator="equal">
      <formula>"Explanation from Location worksheet"</formula>
    </cfRule>
  </conditionalFormatting>
  <conditionalFormatting sqref="C20">
    <cfRule type="cellIs" dxfId="94" priority="7" stopIfTrue="1" operator="equal">
      <formula>"Explain"</formula>
    </cfRule>
  </conditionalFormatting>
  <conditionalFormatting sqref="G5">
    <cfRule type="cellIs" dxfId="93" priority="8" stopIfTrue="1" operator="lessThan">
      <formula>6</formula>
    </cfRule>
    <cfRule type="cellIs" dxfId="92" priority="9" stopIfTrue="1" operator="greaterThan">
      <formula>6</formula>
    </cfRule>
  </conditionalFormatting>
  <dataValidations count="3">
    <dataValidation allowBlank="1" showInputMessage="1" showErrorMessage="1" promptTitle="Factor may exceed 1.0" prompt="Historically, jack-ups in GoM have been shown to survive a Structural factor of &gt;1.5 over the design storm _x000a_and in many cases &gt;2 when foundations are sufficient." sqref="G38:H38"/>
    <dataValidation allowBlank="1" showInputMessage="1" showErrorMessage="1" promptTitle="Analysis Method" prompt="e.g SNAME 5-5A or General Engineering Calculations or Pushover" sqref="A36"/>
    <dataValidation allowBlank="1" showInputMessage="1" showErrorMessage="1" promptTitle="Surface Current" prompt="Although Int-Met specifies current it was decided to allow user input of the current to take account of potential load combination issues.   Thus, if using API 2 Int-Met enter the specified current within this box for your load combination case " sqref="G34"/>
  </dataValidations>
  <pageMargins left="0.75" right="0.4" top="0.85" bottom="0.57999999999999996" header="0.5" footer="0.5"/>
  <pageSetup scale="59" fitToHeight="2" orientation="portrait" horizontalDpi="1200" verticalDpi="1200" r:id="rId1"/>
  <headerFooter alignWithMargins="0">
    <oddHeader>&amp;L&amp;F&amp;C&amp;A</oddHeader>
    <oddFooter>&amp;R&amp;P</oddFooter>
  </headerFooter>
  <rowBreaks count="1" manualBreakCount="1">
    <brk id="2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6153" r:id="rId4" name="Drop Down 9">
              <controlPr defaultSize="0" autoLine="0" autoPict="0">
                <anchor moveWithCells="1">
                  <from>
                    <xdr:col>1</xdr:col>
                    <xdr:colOff>200025</xdr:colOff>
                    <xdr:row>19</xdr:row>
                    <xdr:rowOff>371475</xdr:rowOff>
                  </from>
                  <to>
                    <xdr:col>1</xdr:col>
                    <xdr:colOff>828675</xdr:colOff>
                    <xdr:row>19</xdr:row>
                    <xdr:rowOff>581025</xdr:rowOff>
                  </to>
                </anchor>
              </controlPr>
            </control>
          </mc:Choice>
        </mc:AlternateContent>
        <mc:AlternateContent xmlns:mc="http://schemas.openxmlformats.org/markup-compatibility/2006">
          <mc:Choice Requires="x14">
            <control shapeId="6157" r:id="rId5" name="Check Box 13">
              <controlPr defaultSize="0" autoFill="0" autoLine="0" autoPict="0">
                <anchor moveWithCells="1" sizeWithCells="1">
                  <from>
                    <xdr:col>4</xdr:col>
                    <xdr:colOff>1295400</xdr:colOff>
                    <xdr:row>41</xdr:row>
                    <xdr:rowOff>0</xdr:rowOff>
                  </from>
                  <to>
                    <xdr:col>4</xdr:col>
                    <xdr:colOff>609600</xdr:colOff>
                    <xdr:row>41</xdr:row>
                    <xdr:rowOff>0</xdr:rowOff>
                  </to>
                </anchor>
              </controlPr>
            </control>
          </mc:Choice>
        </mc:AlternateContent>
        <mc:AlternateContent xmlns:mc="http://schemas.openxmlformats.org/markup-compatibility/2006">
          <mc:Choice Requires="x14">
            <control shapeId="6160" r:id="rId6" name="Drop Down 16">
              <controlPr defaultSize="0" autoLine="0" autoPict="0">
                <anchor moveWithCells="1">
                  <from>
                    <xdr:col>4</xdr:col>
                    <xdr:colOff>9525</xdr:colOff>
                    <xdr:row>25</xdr:row>
                    <xdr:rowOff>57150</xdr:rowOff>
                  </from>
                  <to>
                    <xdr:col>5</xdr:col>
                    <xdr:colOff>0</xdr:colOff>
                    <xdr:row>25</xdr:row>
                    <xdr:rowOff>304800</xdr:rowOff>
                  </to>
                </anchor>
              </controlPr>
            </control>
          </mc:Choice>
        </mc:AlternateContent>
        <mc:AlternateContent xmlns:mc="http://schemas.openxmlformats.org/markup-compatibility/2006">
          <mc:Choice Requires="x14">
            <control shapeId="6163" r:id="rId7" name="Drop Down 19">
              <controlPr defaultSize="0" autoLine="0" autoPict="0">
                <anchor moveWithCells="1">
                  <from>
                    <xdr:col>5</xdr:col>
                    <xdr:colOff>9525</xdr:colOff>
                    <xdr:row>25</xdr:row>
                    <xdr:rowOff>57150</xdr:rowOff>
                  </from>
                  <to>
                    <xdr:col>6</xdr:col>
                    <xdr:colOff>0</xdr:colOff>
                    <xdr:row>25</xdr:row>
                    <xdr:rowOff>295275</xdr:rowOff>
                  </to>
                </anchor>
              </controlPr>
            </control>
          </mc:Choice>
        </mc:AlternateContent>
        <mc:AlternateContent xmlns:mc="http://schemas.openxmlformats.org/markup-compatibility/2006">
          <mc:Choice Requires="x14">
            <control shapeId="6173" r:id="rId8" name="Drop Down 29">
              <controlPr defaultSize="0" autoLine="0" autoPict="0">
                <anchor moveWithCells="1">
                  <from>
                    <xdr:col>6</xdr:col>
                    <xdr:colOff>381000</xdr:colOff>
                    <xdr:row>35</xdr:row>
                    <xdr:rowOff>114300</xdr:rowOff>
                  </from>
                  <to>
                    <xdr:col>6</xdr:col>
                    <xdr:colOff>1304925</xdr:colOff>
                    <xdr:row>35</xdr:row>
                    <xdr:rowOff>371475</xdr:rowOff>
                  </to>
                </anchor>
              </controlPr>
            </control>
          </mc:Choice>
        </mc:AlternateContent>
        <mc:AlternateContent xmlns:mc="http://schemas.openxmlformats.org/markup-compatibility/2006">
          <mc:Choice Requires="x14">
            <control shapeId="6175" r:id="rId9" name="Drop Down 31">
              <controlPr defaultSize="0" autoLine="0" autoPict="0">
                <anchor moveWithCells="1">
                  <from>
                    <xdr:col>7</xdr:col>
                    <xdr:colOff>142875</xdr:colOff>
                    <xdr:row>35</xdr:row>
                    <xdr:rowOff>104775</xdr:rowOff>
                  </from>
                  <to>
                    <xdr:col>7</xdr:col>
                    <xdr:colOff>1066800</xdr:colOff>
                    <xdr:row>35</xdr:row>
                    <xdr:rowOff>361950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H40"/>
  <sheetViews>
    <sheetView topLeftCell="B1" zoomScale="75" zoomScaleNormal="100" workbookViewId="0">
      <selection activeCell="F7" sqref="F7"/>
    </sheetView>
  </sheetViews>
  <sheetFormatPr defaultRowHeight="12.75" x14ac:dyDescent="0.2"/>
  <cols>
    <col min="1" max="3" width="9.140625" style="246"/>
    <col min="4" max="4" width="46" style="246" customWidth="1"/>
    <col min="5" max="5" width="14.85546875" style="246" customWidth="1"/>
    <col min="6" max="6" width="21.7109375" style="246" customWidth="1"/>
    <col min="7" max="7" width="32.7109375" style="246" customWidth="1"/>
    <col min="8" max="8" width="33.5703125" style="246" customWidth="1"/>
    <col min="9" max="16384" width="9.140625" style="246"/>
  </cols>
  <sheetData>
    <row r="1" spans="1:8" ht="13.5" thickBot="1" x14ac:dyDescent="0.25">
      <c r="D1" s="1188" t="s">
        <v>693</v>
      </c>
      <c r="E1" s="1189"/>
      <c r="F1" s="1189"/>
    </row>
    <row r="2" spans="1:8" ht="14.25" thickTop="1" thickBot="1" x14ac:dyDescent="0.25">
      <c r="D2" s="1193" t="s">
        <v>685</v>
      </c>
      <c r="E2" s="1194"/>
      <c r="F2" s="1195"/>
    </row>
    <row r="3" spans="1:8" ht="13.5" thickTop="1" x14ac:dyDescent="0.2">
      <c r="D3" s="244"/>
      <c r="E3" s="247"/>
      <c r="H3" s="1185" t="s">
        <v>222</v>
      </c>
    </row>
    <row r="4" spans="1:8" ht="39.75" customHeight="1" x14ac:dyDescent="0.2">
      <c r="D4" s="1186" t="s">
        <v>403</v>
      </c>
      <c r="E4" s="1187"/>
      <c r="F4" s="1187"/>
      <c r="G4" s="454"/>
      <c r="H4" s="1185"/>
    </row>
    <row r="5" spans="1:8" ht="18.75" customHeight="1" thickBot="1" x14ac:dyDescent="0.25">
      <c r="B5" s="246" t="s">
        <v>222</v>
      </c>
      <c r="D5" s="245"/>
      <c r="E5" s="455"/>
      <c r="H5" s="1185"/>
    </row>
    <row r="6" spans="1:8" ht="23.25" customHeight="1" thickTop="1" thickBot="1" x14ac:dyDescent="0.25">
      <c r="B6" s="1190" t="s">
        <v>644</v>
      </c>
      <c r="C6" s="1191"/>
      <c r="D6" s="1191"/>
      <c r="E6" s="1191"/>
      <c r="F6" s="1191"/>
      <c r="G6" s="1192"/>
    </row>
    <row r="7" spans="1:8" ht="30" customHeight="1" thickTop="1" x14ac:dyDescent="0.2">
      <c r="A7" s="247"/>
      <c r="B7" s="1173" t="s">
        <v>366</v>
      </c>
      <c r="C7" s="1174"/>
      <c r="D7" s="1175"/>
      <c r="E7" s="883"/>
      <c r="F7" s="884" t="s">
        <v>222</v>
      </c>
      <c r="G7" s="885"/>
    </row>
    <row r="8" spans="1:8" ht="46.5" customHeight="1" x14ac:dyDescent="0.2">
      <c r="A8" s="247"/>
      <c r="B8" s="1182" t="s">
        <v>367</v>
      </c>
      <c r="C8" s="1183"/>
      <c r="D8" s="1184" t="s">
        <v>475</v>
      </c>
      <c r="E8" s="248"/>
      <c r="F8" s="882" t="s">
        <v>222</v>
      </c>
      <c r="G8" s="886"/>
    </row>
    <row r="9" spans="1:8" ht="33" customHeight="1" thickBot="1" x14ac:dyDescent="0.25">
      <c r="A9" s="247"/>
      <c r="B9" s="1182" t="s">
        <v>390</v>
      </c>
      <c r="C9" s="1183"/>
      <c r="D9" s="1184"/>
      <c r="E9" s="249"/>
      <c r="F9" s="880" t="str">
        <f>IF(Factors!$J$31=2,"Please Explain","")</f>
        <v/>
      </c>
      <c r="G9" s="881" t="s">
        <v>768</v>
      </c>
    </row>
    <row r="10" spans="1:8" ht="37.5" customHeight="1" thickTop="1" thickBot="1" x14ac:dyDescent="0.25">
      <c r="A10" s="247"/>
      <c r="B10" s="1179" t="s">
        <v>380</v>
      </c>
      <c r="C10" s="1180"/>
      <c r="D10" s="1181"/>
      <c r="E10" s="249"/>
      <c r="F10" s="250" t="s">
        <v>478</v>
      </c>
      <c r="G10" s="574" t="s">
        <v>769</v>
      </c>
    </row>
    <row r="11" spans="1:8" ht="36.75" customHeight="1" thickTop="1" thickBot="1" x14ac:dyDescent="0.25">
      <c r="A11" s="247"/>
      <c r="B11" s="1176" t="s">
        <v>379</v>
      </c>
      <c r="C11" s="1177"/>
      <c r="D11" s="1178"/>
      <c r="E11" s="456"/>
      <c r="F11" s="251" t="s">
        <v>478</v>
      </c>
      <c r="G11" s="574" t="s">
        <v>770</v>
      </c>
    </row>
    <row r="12" spans="1:8" ht="13.5" thickTop="1" x14ac:dyDescent="0.2"/>
    <row r="32" spans="2:2" x14ac:dyDescent="0.2">
      <c r="B32" s="457"/>
    </row>
    <row r="40" spans="2:2" x14ac:dyDescent="0.2">
      <c r="B40" s="457"/>
    </row>
  </sheetData>
  <sheetProtection password="83AF" sheet="1" objects="1" scenarios="1" formatRows="0"/>
  <mergeCells count="10">
    <mergeCell ref="D1:F1"/>
    <mergeCell ref="B6:G6"/>
    <mergeCell ref="D2:F2"/>
    <mergeCell ref="B7:D7"/>
    <mergeCell ref="B11:D11"/>
    <mergeCell ref="B10:D10"/>
    <mergeCell ref="B9:D9"/>
    <mergeCell ref="B8:D8"/>
    <mergeCell ref="H3:H5"/>
    <mergeCell ref="D4:F4"/>
  </mergeCells>
  <phoneticPr fontId="4" type="noConversion"/>
  <conditionalFormatting sqref="F10:F11">
    <cfRule type="cellIs" dxfId="91" priority="1" stopIfTrue="1" operator="equal">
      <formula>1</formula>
    </cfRule>
  </conditionalFormatting>
  <conditionalFormatting sqref="F7:F8">
    <cfRule type="cellIs" dxfId="90" priority="2" stopIfTrue="1" operator="equal">
      <formula>"Please Explain"</formula>
    </cfRule>
  </conditionalFormatting>
  <conditionalFormatting sqref="E7:E10">
    <cfRule type="cellIs" dxfId="89" priority="3" stopIfTrue="1" operator="equal">
      <formula>"Submit Report"</formula>
    </cfRule>
  </conditionalFormatting>
  <conditionalFormatting sqref="F9">
    <cfRule type="cellIs" dxfId="88" priority="4" stopIfTrue="1" operator="equal">
      <formula>"Please Explain"</formula>
    </cfRule>
    <cfRule type="cellIs" dxfId="87" priority="5" stopIfTrue="1" operator="equal">
      <formula>""</formula>
    </cfRule>
  </conditionalFormatting>
  <pageMargins left="0.75" right="0.75" top="1" bottom="1" header="0.5" footer="0.5"/>
  <pageSetup scale="63" orientation="portrait" horizontalDpi="300" verticalDpi="300" r:id="rId1"/>
  <headerFooter alignWithMargins="0">
    <oddHeader>&amp;L&amp;F&amp;C&amp;A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Drop Down 1">
              <controlPr locked="0" defaultSize="0" autoLine="0" autoPict="0">
                <anchor moveWithCells="1">
                  <from>
                    <xdr:col>4</xdr:col>
                    <xdr:colOff>180975</xdr:colOff>
                    <xdr:row>8</xdr:row>
                    <xdr:rowOff>95250</xdr:rowOff>
                  </from>
                  <to>
                    <xdr:col>4</xdr:col>
                    <xdr:colOff>800100</xdr:colOff>
                    <xdr:row>8</xdr:row>
                    <xdr:rowOff>295275</xdr:rowOff>
                  </to>
                </anchor>
              </controlPr>
            </control>
          </mc:Choice>
        </mc:AlternateContent>
        <mc:AlternateContent xmlns:mc="http://schemas.openxmlformats.org/markup-compatibility/2006">
          <mc:Choice Requires="x14">
            <control shapeId="14338" r:id="rId5" name="Drop Down 2">
              <controlPr locked="0" defaultSize="0" autoLine="0" autoPict="0">
                <anchor moveWithCells="1">
                  <from>
                    <xdr:col>4</xdr:col>
                    <xdr:colOff>180975</xdr:colOff>
                    <xdr:row>6</xdr:row>
                    <xdr:rowOff>57150</xdr:rowOff>
                  </from>
                  <to>
                    <xdr:col>4</xdr:col>
                    <xdr:colOff>819150</xdr:colOff>
                    <xdr:row>6</xdr:row>
                    <xdr:rowOff>257175</xdr:rowOff>
                  </to>
                </anchor>
              </controlPr>
            </control>
          </mc:Choice>
        </mc:AlternateContent>
        <mc:AlternateContent xmlns:mc="http://schemas.openxmlformats.org/markup-compatibility/2006">
          <mc:Choice Requires="x14">
            <control shapeId="14339" r:id="rId6" name="Drop Down 3">
              <controlPr locked="0" defaultSize="0" autoLine="0" autoPict="0">
                <anchor moveWithCells="1">
                  <from>
                    <xdr:col>4</xdr:col>
                    <xdr:colOff>180975</xdr:colOff>
                    <xdr:row>7</xdr:row>
                    <xdr:rowOff>180975</xdr:rowOff>
                  </from>
                  <to>
                    <xdr:col>4</xdr:col>
                    <xdr:colOff>819150</xdr:colOff>
                    <xdr:row>7</xdr:row>
                    <xdr:rowOff>361950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11"/>
  </sheetPr>
  <dimension ref="A1:AE101"/>
  <sheetViews>
    <sheetView topLeftCell="A12" zoomScale="75" zoomScaleNormal="75" zoomScaleSheetLayoutView="75" workbookViewId="0">
      <selection activeCell="B31" sqref="B31"/>
    </sheetView>
  </sheetViews>
  <sheetFormatPr defaultRowHeight="12.75" x14ac:dyDescent="0.2"/>
  <cols>
    <col min="1" max="1" width="62.7109375" style="51" customWidth="1"/>
    <col min="2" max="2" width="43.28515625" style="51" customWidth="1"/>
    <col min="3" max="3" width="96.7109375" style="54" customWidth="1"/>
    <col min="4" max="4" width="2.140625" style="51" customWidth="1"/>
    <col min="5" max="5" width="9.140625" style="51"/>
    <col min="6" max="6" width="12.5703125" style="51" customWidth="1"/>
    <col min="7" max="16384" width="9.140625" style="51"/>
  </cols>
  <sheetData>
    <row r="1" spans="1:31" s="69" customFormat="1" ht="13.5" thickBot="1" x14ac:dyDescent="0.25">
      <c r="B1" s="93" t="s">
        <v>698</v>
      </c>
      <c r="C1" s="254"/>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row>
    <row r="2" spans="1:31" s="69" customFormat="1" ht="13.5" customHeight="1" thickTop="1" thickBot="1" x14ac:dyDescent="0.25">
      <c r="A2" s="110" t="s">
        <v>222</v>
      </c>
      <c r="B2" s="156" t="s">
        <v>703</v>
      </c>
      <c r="C2" s="257"/>
      <c r="D2" s="22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row>
    <row r="3" spans="1:31" s="157" customFormat="1" ht="3" customHeight="1" thickTop="1" thickBot="1" x14ac:dyDescent="0.25">
      <c r="A3" s="110"/>
      <c r="B3" s="158"/>
      <c r="C3" s="258"/>
    </row>
    <row r="4" spans="1:31" s="157" customFormat="1" ht="21" customHeight="1" thickTop="1" x14ac:dyDescent="0.2">
      <c r="A4" s="110" t="s">
        <v>531</v>
      </c>
      <c r="B4" s="256">
        <f>LOCATION!$D$8</f>
        <v>0</v>
      </c>
      <c r="C4" s="258"/>
    </row>
    <row r="5" spans="1:31" s="733" customFormat="1" ht="21" customHeight="1" x14ac:dyDescent="0.2">
      <c r="A5" s="110" t="s">
        <v>657</v>
      </c>
      <c r="B5" s="731" t="str">
        <f>VLOOKUP(Factors!$A$66,Factors!$A$3:'Factors'!$B$65,2)</f>
        <v xml:space="preserve">Galveston </v>
      </c>
      <c r="C5" s="732"/>
    </row>
    <row r="6" spans="1:31" s="733" customFormat="1" ht="21" customHeight="1" x14ac:dyDescent="0.2">
      <c r="A6" s="110" t="s">
        <v>524</v>
      </c>
      <c r="B6" s="731">
        <f>Factors!$A$67</f>
        <v>53</v>
      </c>
      <c r="C6" s="732"/>
    </row>
    <row r="7" spans="1:31" s="733" customFormat="1" ht="21" customHeight="1" x14ac:dyDescent="0.2">
      <c r="A7" s="110" t="s">
        <v>231</v>
      </c>
      <c r="B7" s="734">
        <f>LOCATION!$D$11</f>
        <v>0</v>
      </c>
      <c r="C7" s="732"/>
    </row>
    <row r="8" spans="1:31" s="733" customFormat="1" ht="21" customHeight="1" x14ac:dyDescent="0.2">
      <c r="A8" s="110" t="s">
        <v>530</v>
      </c>
      <c r="B8" s="731">
        <f>LOCATION!$D$12</f>
        <v>240</v>
      </c>
      <c r="C8" s="732"/>
    </row>
    <row r="9" spans="1:31" s="733" customFormat="1" ht="21" customHeight="1" x14ac:dyDescent="0.2">
      <c r="A9" s="110" t="s">
        <v>525</v>
      </c>
      <c r="B9" s="735">
        <f>LOCATION!$D$13</f>
        <v>0</v>
      </c>
      <c r="C9" s="732"/>
    </row>
    <row r="10" spans="1:31" s="733" customFormat="1" ht="21" customHeight="1" x14ac:dyDescent="0.2">
      <c r="A10" s="110" t="s">
        <v>526</v>
      </c>
      <c r="B10" s="735">
        <f>LOCATION!$D$18</f>
        <v>0</v>
      </c>
      <c r="C10" s="732"/>
    </row>
    <row r="11" spans="1:31" s="733" customFormat="1" ht="21" customHeight="1" x14ac:dyDescent="0.2">
      <c r="A11" s="110" t="s">
        <v>527</v>
      </c>
      <c r="B11" s="736">
        <f>LOCATION!$D$19</f>
        <v>92</v>
      </c>
      <c r="C11" s="732"/>
    </row>
    <row r="12" spans="1:31" s="69" customFormat="1" ht="21" customHeight="1" x14ac:dyDescent="0.2">
      <c r="A12" s="110" t="s">
        <v>209</v>
      </c>
      <c r="B12" s="729" t="str">
        <f>IF(Factors!$J$6=1,"Independent Leg Jack-up","Mat Jack-up")</f>
        <v>Independent Leg Jack-up</v>
      </c>
      <c r="C12" s="254"/>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row>
    <row r="13" spans="1:31" s="69" customFormat="1" ht="21" customHeight="1" x14ac:dyDescent="0.2">
      <c r="A13" s="110" t="s">
        <v>528</v>
      </c>
      <c r="B13" s="718">
        <f>LOCATION!$D$4</f>
        <v>0</v>
      </c>
      <c r="C13" s="254"/>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row>
    <row r="14" spans="1:31" s="69" customFormat="1" ht="21" customHeight="1" x14ac:dyDescent="0.2">
      <c r="A14" s="110" t="s">
        <v>529</v>
      </c>
      <c r="B14" s="718">
        <f>LOCATION!$D$7</f>
        <v>0</v>
      </c>
      <c r="C14" s="254"/>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row>
    <row r="15" spans="1:31" s="69" customFormat="1" ht="21" customHeight="1" x14ac:dyDescent="0.2">
      <c r="A15" s="110" t="s">
        <v>533</v>
      </c>
      <c r="B15" s="718">
        <f>LOCATION!$D$5</f>
        <v>0</v>
      </c>
      <c r="C15" s="254"/>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row>
    <row r="16" spans="1:31" s="69" customFormat="1" ht="21" customHeight="1" x14ac:dyDescent="0.2">
      <c r="A16" s="110" t="s">
        <v>71</v>
      </c>
      <c r="B16" s="729" t="str">
        <f>LOCATION!$D$25</f>
        <v>West Central</v>
      </c>
      <c r="C16" s="254" t="s">
        <v>222</v>
      </c>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row>
    <row r="17" spans="1:31" s="69" customFormat="1" ht="21" customHeight="1" x14ac:dyDescent="0.2">
      <c r="A17" s="110" t="s">
        <v>532</v>
      </c>
      <c r="B17" s="729" t="str">
        <f>IF('LEASEHOLDER Provided Data'!$E$9="YES","PEAK", "NOT PEAK")</f>
        <v>PEAK</v>
      </c>
      <c r="C17" s="254"/>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row>
    <row r="18" spans="1:31" s="69" customFormat="1" ht="29.25" customHeight="1" thickBot="1" x14ac:dyDescent="0.25">
      <c r="A18" s="110" t="s">
        <v>534</v>
      </c>
      <c r="B18" s="730" t="str">
        <f>'LEASEHOLDER Provided Data'!$B$12</f>
        <v>GoM at Peak of Season, but not most severe zone</v>
      </c>
      <c r="C18" s="254"/>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row>
    <row r="19" spans="1:31" s="69" customFormat="1" ht="21" customHeight="1" thickTop="1" thickBot="1" x14ac:dyDescent="0.25">
      <c r="A19" s="231" t="s">
        <v>222</v>
      </c>
      <c r="B19" s="159"/>
      <c r="C19" s="737" t="s">
        <v>57</v>
      </c>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row>
    <row r="20" spans="1:31" s="69" customFormat="1" ht="14.25" thickTop="1" thickBot="1" x14ac:dyDescent="0.25">
      <c r="A20" s="838" t="s">
        <v>499</v>
      </c>
      <c r="B20" s="111" t="s">
        <v>260</v>
      </c>
      <c r="C20" s="659" t="s">
        <v>659</v>
      </c>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row>
    <row r="21" spans="1:31" s="69" customFormat="1" ht="32.25" customHeight="1" thickTop="1" x14ac:dyDescent="0.2">
      <c r="A21" s="805" t="str">
        <f>IF(LOCATION!$D$23="YES", "Potential for Mudslide: Expert Report Needed","")</f>
        <v/>
      </c>
      <c r="B21" s="728" t="str">
        <f>IF(LOCATION!D23="YES","Mudslide Report Information","Not in the Mudslide Area - No Further Info Required")</f>
        <v>Not in the Mudslide Area - No Further Info Required</v>
      </c>
      <c r="C21" s="738" t="str">
        <f>LOCATION!$G$23</f>
        <v xml:space="preserve">Loc 1: Mudslide:  </v>
      </c>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row>
    <row r="22" spans="1:31" s="109" customFormat="1" ht="30" customHeight="1" x14ac:dyDescent="0.2">
      <c r="A22" s="407" t="s">
        <v>364</v>
      </c>
      <c r="B22" s="398" t="str">
        <f>'LEASEHOLDER Provided Data'!$D$36</f>
        <v>LOW CONSEQUENCE FROM INFRASTRUCTURE</v>
      </c>
      <c r="C22" s="739" t="str">
        <f>IF('LEASEHOLDER Provided Data'!$D$36="HIGH Consequence FROM INFRASTRUCTURE",'LEASEHOLDER Provided Data'!E22,IF('LEASEHOLDER Provided Data'!D36="MEDIUM Consequence FROM INFRASTRUCTURE",'LEASEHOLDER Provided Data'!E30,""))</f>
        <v/>
      </c>
      <c r="D22" s="254" t="s">
        <v>521</v>
      </c>
      <c r="E22" s="382" t="s">
        <v>222</v>
      </c>
      <c r="K22" s="314"/>
      <c r="L22" s="314"/>
      <c r="M22" s="314"/>
      <c r="N22" s="314"/>
      <c r="O22" s="314"/>
      <c r="P22" s="314"/>
      <c r="Q22" s="314"/>
      <c r="R22" s="314"/>
      <c r="S22" s="314"/>
      <c r="T22" s="314"/>
      <c r="U22" s="314"/>
      <c r="V22" s="314"/>
      <c r="W22" s="314"/>
      <c r="X22" s="314"/>
      <c r="Y22" s="314"/>
      <c r="Z22" s="314"/>
      <c r="AA22" s="314"/>
      <c r="AB22" s="314"/>
      <c r="AC22" s="314"/>
      <c r="AD22" s="314"/>
      <c r="AE22" s="314"/>
    </row>
    <row r="23" spans="1:31" s="109" customFormat="1" ht="30" customHeight="1" x14ac:dyDescent="0.2">
      <c r="A23" s="407" t="s">
        <v>672</v>
      </c>
      <c r="B23" s="872" t="str">
        <f>'LEASEHOLDER Provided Data'!E22</f>
        <v>NONE</v>
      </c>
      <c r="C23" s="873" t="str">
        <f>'LEASEHOLDER Provided Data'!E30</f>
        <v>NONE</v>
      </c>
      <c r="D23" s="254"/>
      <c r="E23" s="382"/>
      <c r="K23" s="314"/>
      <c r="L23" s="314"/>
      <c r="M23" s="314"/>
      <c r="N23" s="314"/>
      <c r="O23" s="314"/>
      <c r="P23" s="314"/>
      <c r="Q23" s="314"/>
      <c r="R23" s="314"/>
      <c r="S23" s="314"/>
      <c r="T23" s="314"/>
      <c r="U23" s="314"/>
      <c r="V23" s="314"/>
      <c r="W23" s="314"/>
      <c r="X23" s="314"/>
      <c r="Y23" s="314"/>
      <c r="Z23" s="314"/>
      <c r="AA23" s="314"/>
      <c r="AB23" s="314"/>
      <c r="AC23" s="314"/>
      <c r="AD23" s="314"/>
      <c r="AE23" s="314"/>
    </row>
    <row r="24" spans="1:31" s="109" customFormat="1" ht="27" customHeight="1" x14ac:dyDescent="0.2">
      <c r="A24" s="764" t="str">
        <f>IF(AND(Factors!$J$90=1,(OR($B$22="HIGH Consequence FROM INFRASTRUCTURE",$B$22="MEDIUM Consequence FROM INFRASTRUCTURE"))),"Expected Punchthrough going onto location AND High or Med Consequence","Either No expected punchthrough going on location or Low Consequence")</f>
        <v>Either No expected punchthrough going on location or Low Consequence</v>
      </c>
      <c r="B24" s="688" t="str">
        <f>IF($A$24="Expected Punchthrough going onto location AND High or Med Consequence", "Explanation (to the right)", "")</f>
        <v/>
      </c>
      <c r="C24" s="739" t="str">
        <f>LOCATION!$G$34</f>
        <v xml:space="preserve">Loc 3:  </v>
      </c>
      <c r="K24" s="314"/>
      <c r="L24" s="314"/>
      <c r="M24" s="314"/>
      <c r="N24" s="314"/>
      <c r="O24" s="314"/>
      <c r="P24" s="314"/>
      <c r="Q24" s="314"/>
      <c r="R24" s="314"/>
      <c r="S24" s="314"/>
      <c r="T24" s="314"/>
      <c r="U24" s="314"/>
      <c r="V24" s="314"/>
      <c r="W24" s="314"/>
      <c r="X24" s="314"/>
      <c r="Y24" s="314"/>
      <c r="Z24" s="314"/>
      <c r="AA24" s="314"/>
      <c r="AB24" s="314"/>
      <c r="AC24" s="314"/>
      <c r="AD24" s="314"/>
      <c r="AE24" s="314"/>
    </row>
    <row r="25" spans="1:31" s="69" customFormat="1" ht="23.25" customHeight="1" x14ac:dyDescent="0.2">
      <c r="A25" s="179" t="str">
        <f>IF(STRUCTURE!$G$5&lt;6,"Insufficient leg length","Sufficient Leg Length")</f>
        <v>Sufficient Leg Length</v>
      </c>
      <c r="B25" s="774" t="str">
        <f>IF(STRUCTURE!$G$5&gt;6,"OK", "Explanation (to the right)")</f>
        <v>OK</v>
      </c>
      <c r="C25" s="575"/>
      <c r="K25" s="157"/>
      <c r="L25" s="157"/>
      <c r="M25" s="157"/>
      <c r="N25" s="157"/>
      <c r="O25" s="157"/>
      <c r="P25" s="157"/>
      <c r="Q25" s="157"/>
      <c r="R25" s="157"/>
      <c r="S25" s="157"/>
      <c r="T25" s="157"/>
      <c r="U25" s="157"/>
      <c r="V25" s="157"/>
      <c r="W25" s="157"/>
      <c r="X25" s="157"/>
      <c r="Y25" s="157"/>
      <c r="Z25" s="157"/>
      <c r="AA25" s="157"/>
      <c r="AB25" s="157"/>
      <c r="AC25" s="157"/>
      <c r="AD25" s="157"/>
      <c r="AE25" s="157"/>
    </row>
    <row r="26" spans="1:31" s="69" customFormat="1" ht="23.25" customHeight="1" x14ac:dyDescent="0.2">
      <c r="A26" s="179" t="s">
        <v>382</v>
      </c>
      <c r="B26" s="742" t="str">
        <f>IF(VLOOKUP(Factors!$J$10,Factors!$I$8:'Factors'!$J$9,2)="YES","OK","Explanation (to the right)")</f>
        <v>OK</v>
      </c>
      <c r="C26" s="739" t="str">
        <f>STRUCTURE!$D$20</f>
        <v>Structure 1:</v>
      </c>
      <c r="D26" s="416" t="s">
        <v>222</v>
      </c>
      <c r="K26" s="157"/>
      <c r="L26" s="157"/>
      <c r="M26" s="157"/>
      <c r="N26" s="157"/>
      <c r="O26" s="157"/>
      <c r="P26" s="157"/>
      <c r="Q26" s="157"/>
      <c r="R26" s="157"/>
      <c r="S26" s="157"/>
      <c r="T26" s="157"/>
      <c r="U26" s="157"/>
      <c r="V26" s="157"/>
      <c r="W26" s="157"/>
      <c r="X26" s="157"/>
      <c r="Y26" s="157"/>
      <c r="Z26" s="157"/>
      <c r="AA26" s="157"/>
      <c r="AB26" s="157"/>
      <c r="AC26" s="157"/>
      <c r="AD26" s="157"/>
      <c r="AE26" s="157"/>
    </row>
    <row r="27" spans="1:31" s="69" customFormat="1" ht="23.25" customHeight="1" x14ac:dyDescent="0.2">
      <c r="A27" s="1201" t="s">
        <v>734</v>
      </c>
      <c r="B27" s="742" t="str">
        <f>IF(Factors!$AE$23=1,Factors!$AE$16,IF(Factors!$AE$23=2,Factors!$AE$17,IF(Factors!$AE$23=3,Factors!$AE$18,IF(Factors!$AE$23=4,Factors!$AE$19,IF(Factors!$AE$23=5,Factors!$AE$20,IF(Factors!$AE$23=6,Factors!$AE$21,IF(Factors!$AE$23=7,Factors!$AE$22,"")))))))</f>
        <v>On Arrival at Location</v>
      </c>
      <c r="C27" s="1203" t="str">
        <f>'LEASEHOLDER Provided Data'!G54</f>
        <v>Leaseholder 11:</v>
      </c>
      <c r="K27" s="157"/>
      <c r="L27" s="157"/>
      <c r="M27" s="157"/>
      <c r="N27" s="157"/>
      <c r="O27" s="157"/>
      <c r="P27" s="157"/>
      <c r="Q27" s="157"/>
      <c r="R27" s="157"/>
      <c r="S27" s="157"/>
      <c r="T27" s="157"/>
      <c r="U27" s="157"/>
      <c r="V27" s="157"/>
      <c r="W27" s="157"/>
      <c r="X27" s="157"/>
      <c r="Y27" s="157"/>
      <c r="Z27" s="157"/>
      <c r="AA27" s="157"/>
      <c r="AB27" s="157"/>
      <c r="AC27" s="157"/>
      <c r="AD27" s="157"/>
      <c r="AE27" s="157"/>
    </row>
    <row r="28" spans="1:31" s="69" customFormat="1" ht="23.25" customHeight="1" x14ac:dyDescent="0.2">
      <c r="A28" s="1202"/>
      <c r="B28" s="742" t="str">
        <f>IF(Factors!J105=1,"Borehole Provided","Borehole NOT provided")</f>
        <v>Borehole NOT provided</v>
      </c>
      <c r="C28" s="1204"/>
      <c r="K28" s="157"/>
      <c r="L28" s="157"/>
      <c r="M28" s="157"/>
      <c r="N28" s="157"/>
      <c r="O28" s="157"/>
      <c r="P28" s="157"/>
      <c r="Q28" s="157"/>
      <c r="R28" s="157"/>
      <c r="S28" s="157"/>
      <c r="T28" s="157"/>
      <c r="U28" s="157"/>
      <c r="V28" s="157"/>
      <c r="W28" s="157"/>
      <c r="X28" s="157"/>
      <c r="Y28" s="157"/>
      <c r="Z28" s="157"/>
      <c r="AA28" s="157"/>
      <c r="AB28" s="157"/>
      <c r="AC28" s="157"/>
      <c r="AD28" s="157"/>
      <c r="AE28" s="157"/>
    </row>
    <row r="29" spans="1:31" s="69" customFormat="1" ht="28.5" customHeight="1" x14ac:dyDescent="0.2">
      <c r="A29" s="178" t="s">
        <v>12</v>
      </c>
      <c r="B29" s="743">
        <f>GEOTECH!C9</f>
        <v>2008</v>
      </c>
      <c r="C29" s="739" t="str">
        <f>GEOTECH!$D$9</f>
        <v xml:space="preserve">Geotech 1:   </v>
      </c>
      <c r="K29" s="157"/>
      <c r="L29" s="157"/>
      <c r="M29" s="157"/>
      <c r="N29" s="157"/>
      <c r="O29" s="157"/>
      <c r="P29" s="157"/>
      <c r="Q29" s="157"/>
      <c r="R29" s="157"/>
      <c r="S29" s="157"/>
      <c r="T29" s="157"/>
      <c r="U29" s="157"/>
      <c r="V29" s="157"/>
      <c r="W29" s="157"/>
      <c r="X29" s="157"/>
      <c r="Y29" s="157"/>
      <c r="Z29" s="157"/>
      <c r="AA29" s="157"/>
      <c r="AB29" s="157"/>
      <c r="AC29" s="157"/>
      <c r="AD29" s="157"/>
      <c r="AE29" s="157"/>
    </row>
    <row r="30" spans="1:31" s="69" customFormat="1" ht="39" customHeight="1" x14ac:dyDescent="0.2">
      <c r="A30" s="178" t="s">
        <v>717</v>
      </c>
      <c r="B30" s="1199" t="str">
        <f>'LEASEHOLDER Provided Data'!E55</f>
        <v xml:space="preserve">Leaseholder 12: </v>
      </c>
      <c r="C30" s="1200"/>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row>
    <row r="31" spans="1:31" s="69" customFormat="1" ht="32.25" customHeight="1" x14ac:dyDescent="0.2">
      <c r="A31" s="178" t="s">
        <v>716</v>
      </c>
      <c r="B31" s="742" t="str">
        <f>VLOOKUP(Factors!$AE$14,Factors!$AD$4:$AE$13,2)</f>
        <v>10-Yr Site Specific</v>
      </c>
      <c r="C31" s="740" t="str">
        <f>LOCATION!$G$38</f>
        <v>Loc 5:</v>
      </c>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row>
    <row r="32" spans="1:31" s="24" customFormat="1" ht="32.25" customHeight="1" thickBot="1" x14ac:dyDescent="0.25">
      <c r="A32" s="417" t="s">
        <v>711</v>
      </c>
      <c r="B32" s="744" t="str">
        <f>VLOOKUP(Factors!AE34,Factors!AD4:'Factors'!AE13,2)</f>
        <v>10-Yr Int Met</v>
      </c>
      <c r="C32" s="741" t="str">
        <f>'LEASEHOLDER Provided Data'!$G$37</f>
        <v xml:space="preserve">Leaseholder 4: </v>
      </c>
      <c r="D32" s="109" t="s">
        <v>222</v>
      </c>
      <c r="E32" s="357" t="s">
        <v>222</v>
      </c>
      <c r="F32" s="1196" t="s">
        <v>222</v>
      </c>
      <c r="G32" s="1196"/>
      <c r="H32" s="1196"/>
      <c r="I32" s="69"/>
      <c r="J32" s="69"/>
      <c r="K32" s="357" t="s">
        <v>222</v>
      </c>
      <c r="L32" s="357" t="s">
        <v>222</v>
      </c>
      <c r="M32" s="357" t="s">
        <v>222</v>
      </c>
    </row>
    <row r="33" spans="1:31" s="24" customFormat="1" ht="11.25" customHeight="1" thickTop="1" thickBot="1" x14ac:dyDescent="0.25">
      <c r="A33" s="839"/>
      <c r="B33" s="418"/>
      <c r="C33" s="660"/>
      <c r="D33" s="109"/>
      <c r="E33" s="357" t="s">
        <v>222</v>
      </c>
      <c r="F33" s="109"/>
      <c r="G33" s="109"/>
      <c r="H33" s="109"/>
      <c r="I33" s="69"/>
      <c r="J33" s="69"/>
      <c r="L33" s="357" t="s">
        <v>222</v>
      </c>
      <c r="M33" s="357" t="s">
        <v>222</v>
      </c>
    </row>
    <row r="34" spans="1:31" s="97" customFormat="1" ht="14.25" thickTop="1" thickBot="1" x14ac:dyDescent="0.25">
      <c r="A34" s="341" t="s">
        <v>539</v>
      </c>
      <c r="B34" s="25" t="s">
        <v>260</v>
      </c>
      <c r="C34" s="661" t="s">
        <v>659</v>
      </c>
      <c r="E34" s="315"/>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row>
    <row r="35" spans="1:31" s="69" customFormat="1" ht="55.5" customHeight="1" thickTop="1" x14ac:dyDescent="0.2">
      <c r="A35" s="757" t="str">
        <f>IF(Factors!$AL$5=1, "Operator has supplied Geotech (Soils) data for the Location", "Operator has not supplied Geotech (Soil) data ")</f>
        <v>Operator has supplied Geotech (Soils) data for the Location</v>
      </c>
      <c r="B35" s="719" t="str">
        <f>IF(Factors!$AL$5=2, "Explanation (to the right)", "")</f>
        <v/>
      </c>
      <c r="C35" s="745" t="str">
        <f>'LEASEHOLDER Provided Data'!$G$41</f>
        <v>Leaseholder 5:</v>
      </c>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row>
    <row r="36" spans="1:31" s="69" customFormat="1" ht="55.5" customHeight="1" x14ac:dyDescent="0.2">
      <c r="A36" s="807" t="str">
        <f>IF(Factors!$AL$4=1, "Operator has supplied Geotech information from which a Load-Penetration Curve can be provided", "Operator has NOT supplied Geotech information from which a Load-Penetration Curve can be provided")</f>
        <v>Operator has supplied Geotech information from which a Load-Penetration Curve can be provided</v>
      </c>
      <c r="B36" s="824" t="str">
        <f>IF(Factors!$AL$4=2, "Explanation (to the right)", "Please attach Load-Penetration Curve for soils to at least half the spudcan diameter below expected penetration. Show stillwater and preload reactions on the curve")</f>
        <v>Please attach Load-Penetration Curve for soils to at least half the spudcan diameter below expected penetration. Show stillwater and preload reactions on the curve</v>
      </c>
      <c r="C36" s="745" t="str">
        <f>'LEASEHOLDER Provided Data'!G42</f>
        <v xml:space="preserve">Leaseholder 6: </v>
      </c>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row>
    <row r="37" spans="1:31" s="69" customFormat="1" ht="55.5" customHeight="1" x14ac:dyDescent="0.2">
      <c r="A37" s="807" t="str">
        <f>IF(Factors!$J$23=1,"The Geotech (soil) information supplied is sufficient to determine the soil charateristics over depth and foundation strength of the location", "The soil information is NOT sufficient to determine the soil characteristics over the depth and foundation strength of the location")</f>
        <v>The Geotech (soil) information supplied is sufficient to determine the soil charateristics over depth and foundation strength of the location</v>
      </c>
      <c r="B37" s="823" t="str">
        <f>IF(Factors!$J$23=2,"Explanation (to the right)","")</f>
        <v/>
      </c>
      <c r="C37" s="739" t="str">
        <f>LOCATION!$G$32</f>
        <v>Loc 2:</v>
      </c>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row>
    <row r="38" spans="1:31" s="69" customFormat="1" ht="55.5" customHeight="1" x14ac:dyDescent="0.2">
      <c r="A38" s="807" t="str">
        <f>IF(Factors!$J$27=1,"Operator supplied shallow hazards survey or Mesotech for jack-up optimal siting: NTL 2008-G05", "Operator has NOT supplies shallow hazards survey or Mesotech for jack-up optimal siting: NTL 2008-G05")</f>
        <v>Operator supplied shallow hazards survey or Mesotech for jack-up optimal siting: NTL 2008-G05</v>
      </c>
      <c r="B38" s="720" t="str">
        <f>IF(Factors!$J$27=2,"Explanation (to the right)","")</f>
        <v/>
      </c>
      <c r="C38" s="739" t="str">
        <f>'LEASEHOLDER Provided Data'!$G$43</f>
        <v>Leaseholder 7:</v>
      </c>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row>
    <row r="39" spans="1:31" s="69" customFormat="1" ht="55.5" customHeight="1" x14ac:dyDescent="0.2">
      <c r="A39" s="807" t="str">
        <f>IF(AND(Factors!$J$35=1,Factors!J109=1),"The cantilever will be stowed and the conductor supported during the storm", "Either cantilever is not stowed or conductor is not supported")</f>
        <v>The cantilever will be stowed and the conductor supported during the storm</v>
      </c>
      <c r="B39" s="720" t="str">
        <f>IF(OR(Factors!$J$35=2,Factors!J109=2),"Explanation (to the right)","")</f>
        <v/>
      </c>
      <c r="C39" s="739" t="str">
        <f>'LEASEHOLDER Provided Data'!$G$44</f>
        <v>Leaseholder 8:</v>
      </c>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row>
    <row r="40" spans="1:31" s="69" customFormat="1" ht="36.75" customHeight="1" thickBot="1" x14ac:dyDescent="0.25">
      <c r="A40" s="721" t="s">
        <v>683</v>
      </c>
      <c r="B40" s="419"/>
      <c r="C40" s="746">
        <f>'LEASEHOLDER Provided Data'!$E$45</f>
        <v>100</v>
      </c>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row>
    <row r="41" spans="1:31" s="69" customFormat="1" ht="20.25" customHeight="1" thickTop="1" thickBot="1" x14ac:dyDescent="0.25">
      <c r="A41" s="420"/>
      <c r="B41" s="421"/>
      <c r="C41" s="422"/>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row>
    <row r="42" spans="1:31" s="69" customFormat="1" ht="14.25" thickTop="1" thickBot="1" x14ac:dyDescent="0.25">
      <c r="A42" s="351" t="s">
        <v>476</v>
      </c>
      <c r="B42" s="25" t="s">
        <v>260</v>
      </c>
      <c r="C42" s="350" t="s">
        <v>659</v>
      </c>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row>
    <row r="43" spans="1:31" s="69" customFormat="1" ht="15" customHeight="1" thickTop="1" x14ac:dyDescent="0.2">
      <c r="A43" s="757" t="str">
        <f>IF(Factors!$J$47=1,"There has been a jack-up operating at this location before","There has NOT been a jack-up operating at this location before")</f>
        <v>There has been a jack-up operating at this location before</v>
      </c>
      <c r="B43" s="440"/>
      <c r="C43" s="840"/>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row>
    <row r="44" spans="1:31" s="69" customFormat="1" ht="29.25" customHeight="1" thickBot="1" x14ac:dyDescent="0.25">
      <c r="A44" s="773" t="str">
        <f>IF(AND(Factors!$J$47=1,Factors!$J$51=1),"A history of jack-up type and leg/mat penetrations at this location has been been provided",IF(Factors!$J$47=1,"A history of jack-up type and leg/mat penetrations at this location has NOT been provided","Please ignore"))</f>
        <v>A history of jack-up type and leg/mat penetrations at this location has been been provided</v>
      </c>
      <c r="B44" s="756" t="str">
        <f>IF(AND(Factors!$J$47=1,Factors!$J$51=2),"Explanation (to the right)","")</f>
        <v/>
      </c>
      <c r="C44" s="748" t="str">
        <f>'LEASEHOLDER Provided Data'!$G$49</f>
        <v>Leaseholder 9:</v>
      </c>
      <c r="E44" s="157" t="s">
        <v>222</v>
      </c>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row>
    <row r="45" spans="1:31" s="69" customFormat="1" ht="14.25" thickTop="1" thickBot="1" x14ac:dyDescent="0.25">
      <c r="A45" s="107" t="s">
        <v>498</v>
      </c>
      <c r="B45" s="107" t="s">
        <v>260</v>
      </c>
      <c r="C45" s="662" t="s">
        <v>659</v>
      </c>
      <c r="E45" s="157"/>
      <c r="F45" s="314" t="s">
        <v>222</v>
      </c>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row>
    <row r="46" spans="1:31" s="69" customFormat="1" ht="21" customHeight="1" thickTop="1" x14ac:dyDescent="0.2">
      <c r="A46" s="423" t="s">
        <v>483</v>
      </c>
      <c r="B46" s="747" t="str">
        <f>IF(Factors!$J$57=1,"API RP 95J",IF(Factors!$J$57=2,"API INT-MET with Contingency",IF(Factors!$J$57=3,"API INT-MET without Contingency",(IF(Factors!J57=4,"Site Specific Values","Error")))))</f>
        <v>API RP 95J</v>
      </c>
      <c r="C46" s="663"/>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row>
    <row r="47" spans="1:31" s="69" customFormat="1" ht="21" customHeight="1" x14ac:dyDescent="0.2">
      <c r="A47" s="255" t="s">
        <v>261</v>
      </c>
      <c r="B47" s="742" t="str">
        <f>IF(METOCEAN!$C$8= "Complies with API 95J", "YES", "Does Not Comply with API 95J")</f>
        <v>YES</v>
      </c>
      <c r="C47" s="575"/>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row>
    <row r="48" spans="1:31" s="69" customFormat="1" ht="21" customHeight="1" x14ac:dyDescent="0.2">
      <c r="A48" s="255" t="s">
        <v>721</v>
      </c>
      <c r="B48" s="742" t="str">
        <f>METOCEAN!C14</f>
        <v>Please Ignore</v>
      </c>
      <c r="C48" s="575"/>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row>
    <row r="49" spans="1:31" s="69" customFormat="1" ht="21" customHeight="1" x14ac:dyDescent="0.2">
      <c r="A49" s="658" t="s">
        <v>587</v>
      </c>
      <c r="B49" s="743" t="str">
        <f>METOCEAN!C11</f>
        <v>NO</v>
      </c>
      <c r="C49" s="575"/>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row>
    <row r="50" spans="1:31" s="69" customFormat="1" ht="21" customHeight="1" x14ac:dyDescent="0.2">
      <c r="A50" s="658" t="s">
        <v>420</v>
      </c>
      <c r="B50" s="742" t="str">
        <f>METOCEAN!C12</f>
        <v>YES</v>
      </c>
      <c r="C50" s="575"/>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row>
    <row r="51" spans="1:31" s="69" customFormat="1" ht="21" customHeight="1" x14ac:dyDescent="0.2">
      <c r="A51" s="255" t="s">
        <v>719</v>
      </c>
      <c r="B51" s="742" t="str">
        <f>METOCEAN!C13</f>
        <v>YES</v>
      </c>
      <c r="C51" s="575"/>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row>
    <row r="52" spans="1:31" s="69" customFormat="1" ht="21" customHeight="1" x14ac:dyDescent="0.2">
      <c r="A52" s="255" t="s">
        <v>484</v>
      </c>
      <c r="B52" s="742" t="str">
        <f>METOCEAN!$C$14</f>
        <v>Please Ignore</v>
      </c>
      <c r="C52" s="575"/>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row>
    <row r="53" spans="1:31" s="69" customFormat="1" ht="21" customHeight="1" thickBot="1" x14ac:dyDescent="0.25">
      <c r="A53" s="424" t="s">
        <v>505</v>
      </c>
      <c r="B53" s="744" t="str">
        <f>IF(STRUCTURE!$G$5&lt;6, "Leg Length is &gt; Limits: Explain", "Leg Length OK")</f>
        <v>Leg Length OK</v>
      </c>
      <c r="C53" s="576"/>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row>
    <row r="54" spans="1:31" s="69" customFormat="1" ht="14.25" thickTop="1" thickBot="1" x14ac:dyDescent="0.25">
      <c r="A54" s="425"/>
      <c r="B54" s="426"/>
      <c r="C54" s="664"/>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row>
    <row r="55" spans="1:31" s="69" customFormat="1" ht="14.25" thickTop="1" thickBot="1" x14ac:dyDescent="0.25">
      <c r="A55" s="383" t="s">
        <v>500</v>
      </c>
      <c r="B55" s="107" t="s">
        <v>260</v>
      </c>
      <c r="C55" s="662" t="s">
        <v>659</v>
      </c>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row>
    <row r="56" spans="1:31" s="69" customFormat="1" ht="47.25" customHeight="1" thickTop="1" x14ac:dyDescent="0.2">
      <c r="A56" s="841" t="str">
        <f>IF(Factors!$J$76=1,"Jack-Up meets the Structural  requirements of the SNAME GoM Annex (both Assessment and Contingency curves)","Jack-Up does NOT meet the requirements of the SNAME GoM Annex (both Assessment and Contingency curves)")</f>
        <v>Jack-Up meets the Structural  requirements of the SNAME GoM Annex (both Assessment and Contingency curves)</v>
      </c>
      <c r="B56" s="824" t="str">
        <f>IF(Factors!$J$76=2, "Explanation (to the right)","OK")</f>
        <v>OK</v>
      </c>
      <c r="C56" s="749" t="str">
        <f>LOCATION!G37</f>
        <v xml:space="preserve">Loc 4:  </v>
      </c>
      <c r="E56" s="157" t="s">
        <v>222</v>
      </c>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row>
    <row r="57" spans="1:31" s="69" customFormat="1" ht="47.25" customHeight="1" thickBot="1" x14ac:dyDescent="0.25">
      <c r="A57" s="842" t="s">
        <v>422</v>
      </c>
      <c r="B57" s="752" t="str">
        <f>IF(Factors!$AE$14&lt;4,VLOOKUP(Factors!$Y$40,Factors!$X$37:$Y$39,2),VLOOKUP(Factors!$AA$40,Factors!$Z$37:$AA$39,2))</f>
        <v>Estimated *</v>
      </c>
      <c r="C57" s="750" t="str">
        <f>IF(Factors!$AE$14&lt;4,STRUCTURE!$G$38,STRUCTURE!$H$38)</f>
        <v>Structure Factor 2</v>
      </c>
      <c r="E57" s="751"/>
      <c r="F57" s="389"/>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row>
    <row r="58" spans="1:31" s="69" customFormat="1" ht="36" customHeight="1" thickTop="1" thickBot="1" x14ac:dyDescent="0.25">
      <c r="A58" s="429"/>
      <c r="B58" s="430" t="str">
        <f>IF(B22="LOW CONSEQUENCE FROM INFRASTRUCTURE","",IF(AND(B57="Calculated *",B22="MEDIUM CONSEQUENCE FROM INFRASTRUCTURE"),"",IF(AND(B57="Calculated *",B22="HIGH CONSEQUENCE FROM INFRASTRUCTURE"),"","Warning: Calculated Values Required as High or Medium Consequence location")))</f>
        <v/>
      </c>
      <c r="C58" s="665"/>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row>
    <row r="59" spans="1:31" s="173" customFormat="1" ht="22.5" customHeight="1" thickTop="1" thickBot="1" x14ac:dyDescent="0.25">
      <c r="A59" s="843" t="s">
        <v>540</v>
      </c>
      <c r="B59" s="100" t="s">
        <v>260</v>
      </c>
      <c r="C59" s="659" t="s">
        <v>659</v>
      </c>
      <c r="E59" s="315"/>
      <c r="F59" s="315"/>
      <c r="G59" s="315"/>
      <c r="H59" s="315"/>
      <c r="I59" s="315"/>
      <c r="J59" s="315"/>
      <c r="K59" s="315"/>
      <c r="L59" s="315"/>
      <c r="M59" s="315"/>
      <c r="N59" s="315"/>
      <c r="O59" s="315"/>
      <c r="P59" s="315"/>
      <c r="Q59" s="315"/>
      <c r="R59" s="315"/>
      <c r="S59" s="315"/>
      <c r="T59" s="315"/>
      <c r="U59" s="315"/>
      <c r="V59" s="315"/>
      <c r="W59" s="315"/>
      <c r="X59" s="315"/>
      <c r="Y59" s="315"/>
      <c r="Z59" s="315"/>
      <c r="AA59" s="315"/>
      <c r="AB59" s="315"/>
      <c r="AC59" s="315"/>
      <c r="AD59" s="315"/>
      <c r="AE59" s="315"/>
    </row>
    <row r="60" spans="1:31" s="69" customFormat="1" ht="48.75" customHeight="1" thickTop="1" x14ac:dyDescent="0.2">
      <c r="A60" s="760" t="str">
        <f>IF(Factors!J6=2,"Mat Rig: Please ignore",IF(GEOTECH!$B$15&gt;1000,"Geotech information is&gt;1000 ft distance away from the location","Geotech information is &lt;1000 ft from location"))</f>
        <v>Geotech information is &lt;1000 ft from location</v>
      </c>
      <c r="B60" s="688" t="str">
        <f>IF(Factors!J6=2,"",IF('LEASEHOLDER Provided Data'!E53&lt;1000,"","Explanation: "))</f>
        <v/>
      </c>
      <c r="C60" s="739" t="str">
        <f>IF(Factors!J6=2,"",GEOTECH!$D$15)</f>
        <v>Leaseholder 10:</v>
      </c>
      <c r="E60" s="157" t="s">
        <v>222</v>
      </c>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row>
    <row r="61" spans="1:31" s="69" customFormat="1" ht="48.75" customHeight="1" x14ac:dyDescent="0.2">
      <c r="A61" s="760" t="str">
        <f>IF(Factors!J6=2,"Mat Rig: Please ignore",IF(AND('LEASEHOLDER Provided Data'!E53&gt;1000,Factors!$J$58=2),"Geotech info is &gt;1000 ft and no tieback","Tieback of soil MAY not be required"))</f>
        <v>Tieback of soil MAY not be required</v>
      </c>
      <c r="B61" s="161"/>
      <c r="C61" s="739" t="str">
        <f>IF(Factors!J6=2,"",GEOTECH!D16)</f>
        <v>Leaseholder 13:</v>
      </c>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row>
    <row r="62" spans="1:31" s="69" customFormat="1" ht="48.75" customHeight="1" x14ac:dyDescent="0.2">
      <c r="A62" s="759" t="str">
        <f>IF(Factors!J6=2,"Mat Rig: Please ignore",IF(Factors!$AL$6=1,"Potential for punchthru during storm","Jack-up punchthrough during storm is NOT anticipated"))</f>
        <v>Jack-up punchthrough during storm is NOT anticipated</v>
      </c>
      <c r="B62" s="742" t="str">
        <f>IF(Factors!J6=2,"",IF(Factors!$AL$6=1,"Controls Explained (to the right)","Please ignore"))</f>
        <v>Please ignore</v>
      </c>
      <c r="C62" s="739" t="str">
        <f>IF(Factors!J6=2,"",GEOTECH!$D$23)</f>
        <v>Geotech 4: this is ind leg</v>
      </c>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row>
    <row r="63" spans="1:31" s="69" customFormat="1" ht="48.75" customHeight="1" x14ac:dyDescent="0.2">
      <c r="A63" s="761" t="str">
        <f>IF(Factors!J6=2,"Mat Rig: Please ignore","Settlement in Contingency storm")</f>
        <v>Settlement in Contingency storm</v>
      </c>
      <c r="B63" s="742" t="str">
        <f>IF(Factors!J6=2,"",IF(Factors!$AL$12=1,"Settlement in Contingency Case is = or &lt; 4ft","Settlement in Contingency case may be &gt; 4 ft"))</f>
        <v>Settlement in Contingency Case is = or &lt; 4ft</v>
      </c>
      <c r="C63" s="739" t="str">
        <f>IF(Factors!J6=2,"",LOCATION!$G$42)</f>
        <v xml:space="preserve">Loc 6: </v>
      </c>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row>
    <row r="64" spans="1:31" s="69" customFormat="1" ht="48.75" customHeight="1" x14ac:dyDescent="0.2">
      <c r="A64" s="762" t="str">
        <f>IF(Factors!J6=2,"Mat Rig: Please ignore",IF(Factors!$J$6=1,IF(Factors!$J$92=2,"The soil limits of the sand are as follows:","Please Ignore"),"Please Ignore"))</f>
        <v>Please Ignore</v>
      </c>
      <c r="B64" s="92"/>
      <c r="C64" s="739" t="e">
        <f>IF(Factors!J6=2,"",GEOTECH!#REF!)</f>
        <v>#REF!</v>
      </c>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row>
    <row r="65" spans="1:31" s="69" customFormat="1" ht="48.75" customHeight="1" x14ac:dyDescent="0.2">
      <c r="A65" s="759" t="str">
        <f>IF(Factors!J6=2,"Mat Rig: Please ignore", "Calculated Load-Penetration Curve")</f>
        <v>Calculated Load-Penetration Curve</v>
      </c>
      <c r="B65" s="743" t="str">
        <f>IF(Factors!J6=2,"",IF(Factors!J80=1,"Submit Load-Penetration Curve annotated as described","Load-Penetration Curve was NOT provided"))</f>
        <v>Submit Load-Penetration Curve annotated as described</v>
      </c>
      <c r="C65" s="739" t="str">
        <f>IF(Factors!J6=2,"",GEOTECH!D17)</f>
        <v>Geotech 3:</v>
      </c>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row>
    <row r="66" spans="1:31" s="69" customFormat="1" ht="48.75" customHeight="1" thickBot="1" x14ac:dyDescent="0.25">
      <c r="A66" s="243" t="str">
        <f>IF(Factors!J6=2,"Mat Rig: Please ignore","Settlement in Survival storm")</f>
        <v>Settlement in Survival storm</v>
      </c>
      <c r="B66" s="758" t="str">
        <f>IF(Factors!J6=2,"",IF(Factors!J86=1,"Settlement in Survival storm is = or &lt; 6ft","Settlement in Survival storm may be &gt; 6ft"))</f>
        <v>Settlement in Survival storm is = or &lt; 6ft</v>
      </c>
      <c r="C66" s="753" t="str">
        <f>IF(Factors!J6=2,"",LOCATION!$G$43)</f>
        <v xml:space="preserve">Loc 7: </v>
      </c>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row>
    <row r="67" spans="1:31" s="69" customFormat="1" ht="48.75" customHeight="1" thickTop="1" x14ac:dyDescent="0.2">
      <c r="A67" s="255" t="str">
        <f>IF(Factors!J6=2,"Mat Rig: Please ignore","Comment on Potential Scour: ")</f>
        <v xml:space="preserve">Comment on Potential Scour: </v>
      </c>
      <c r="B67" s="742" t="str">
        <f>IF(Factors!J6=2,"",IF(GEOTECH!$C$18="Explain potential for and protection against Scour","Potential to Scour explained to the right","None"))</f>
        <v>None</v>
      </c>
      <c r="C67" s="739" t="str">
        <f>IF(Factors!J6=2,"",GEOTECH!D18)</f>
        <v xml:space="preserve">Loc 8: </v>
      </c>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row>
    <row r="68" spans="1:31" s="69" customFormat="1" ht="48.75" customHeight="1" thickBot="1" x14ac:dyDescent="0.25">
      <c r="A68" s="373" t="str">
        <f>IF(Factors!J6=2,"Mat Rig: Please ignore","Further Explanation of any consequence of sideways or sway movement:")</f>
        <v>Further Explanation of any consequence of sideways or sway movement:</v>
      </c>
      <c r="B68" s="419"/>
      <c r="C68" s="754" t="str">
        <f>IF(Factors!J6=1,'LEASEHOLDER Provided Data'!$E$36,"")</f>
        <v xml:space="preserve">Leaseholder 3 :  </v>
      </c>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row>
    <row r="69" spans="1:31" s="69" customFormat="1" ht="22.5" customHeight="1" thickTop="1" thickBot="1" x14ac:dyDescent="0.25">
      <c r="A69" s="428"/>
      <c r="B69" s="421"/>
      <c r="C69" s="665"/>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row>
    <row r="70" spans="1:31" s="108" customFormat="1" ht="22.5" customHeight="1" thickTop="1" thickBot="1" x14ac:dyDescent="0.25">
      <c r="A70" s="858" t="s">
        <v>502</v>
      </c>
      <c r="B70" s="100" t="s">
        <v>260</v>
      </c>
      <c r="C70" s="659" t="s">
        <v>659</v>
      </c>
      <c r="E70" s="316"/>
      <c r="F70" s="316"/>
      <c r="G70" s="316"/>
      <c r="H70" s="316"/>
      <c r="I70" s="316"/>
      <c r="J70" s="316"/>
      <c r="K70" s="316"/>
      <c r="L70" s="316"/>
      <c r="M70" s="316"/>
      <c r="N70" s="316"/>
      <c r="O70" s="316"/>
      <c r="P70" s="316"/>
      <c r="Q70" s="316"/>
      <c r="R70" s="316"/>
      <c r="S70" s="316"/>
      <c r="T70" s="316"/>
      <c r="U70" s="316"/>
      <c r="V70" s="316"/>
      <c r="W70" s="316"/>
      <c r="X70" s="316"/>
      <c r="Y70" s="316"/>
      <c r="Z70" s="316"/>
      <c r="AA70" s="316"/>
      <c r="AB70" s="316"/>
      <c r="AC70" s="316"/>
      <c r="AD70" s="316"/>
      <c r="AE70" s="316"/>
    </row>
    <row r="71" spans="1:31" s="69" customFormat="1" ht="48.75" customHeight="1" thickTop="1" x14ac:dyDescent="0.2">
      <c r="A71" s="763" t="str">
        <f>IF(Factors!J6=1,"Independent Leg Rig: Please ignore",IF(GEOTECH!$B$28&gt;1000,"Geotech information is&gt;1000 ft distance away from the location","Geotech information is &lt;1000 ft from location"))</f>
        <v>Independent Leg Rig: Please ignore</v>
      </c>
      <c r="B71" s="722" t="str">
        <f>IF(Factors!J6=1,"",IF('LEASEHOLDER Provided Data'!E53&lt;1000,"","Explanation: "))</f>
        <v/>
      </c>
      <c r="C71" s="755" t="str">
        <f>IF(Factors!J6=1,"",GEOTECH!$D$28)</f>
        <v/>
      </c>
      <c r="D71" s="668"/>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row>
    <row r="72" spans="1:31" s="69" customFormat="1" ht="48.75" customHeight="1" x14ac:dyDescent="0.2">
      <c r="A72" s="760" t="str">
        <f>IF(Factors!J6=1,"Independent Leg Rig: Please ignore",IF(Factors!J62=1,"Soil information is of sufficient depth","Soil information may be insufficient depth for analysis"))</f>
        <v>Independent Leg Rig: Please ignore</v>
      </c>
      <c r="B72" s="743" t="s">
        <v>222</v>
      </c>
      <c r="C72" s="739" t="str">
        <f>IF(Factors!J6=1,"",GEOTECH!$D$37)</f>
        <v/>
      </c>
      <c r="D72" s="668"/>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row>
    <row r="73" spans="1:31" s="69" customFormat="1" ht="48.75" customHeight="1" x14ac:dyDescent="0.2">
      <c r="A73" s="764" t="str">
        <f>IF(Factors!J6=1,"Independent Leg Rig: Please ignore",IF(GEOTECH!C29="Detailed Soil safety factor submission required or Explain","Comment on Potential Sliding since shear strength &lt;100 psf and this is a High or Medium Consequence Location","Sliding less Likely as Shear Strength &gt;100 psf OR this is a Low Consequence Location"))</f>
        <v>Independent Leg Rig: Please ignore</v>
      </c>
      <c r="B73" s="402" t="str">
        <f>IF(Factors!J6=1,"",IF(A73="Sliding less Likely as Shear Strength &gt;100 psf OR this is a Low Consequence Location","","Detailed Soil Safety Factor Submission Required"))</f>
        <v/>
      </c>
      <c r="C73" s="740" t="str">
        <f>IF(Factors!J6=1,"",GEOTECH!D29)</f>
        <v/>
      </c>
      <c r="D73" s="668"/>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row>
    <row r="74" spans="1:31" s="69" customFormat="1" ht="48.75" customHeight="1" x14ac:dyDescent="0.2">
      <c r="A74" s="240" t="str">
        <f>IF(Factors!J6=1,"Independent Leg Rig: Please ignore","Sliding condition if checked")</f>
        <v>Independent Leg Rig: Please ignore</v>
      </c>
      <c r="B74" s="345" t="str">
        <f>IF(Factors!J6=1,"",IF(AND(Factors!$J$6=2,$B$22="low Consequence from infrastructure"),"Safety Factor Calculation not Compulsory","Safety Factor on Sliding calculated as"))</f>
        <v/>
      </c>
      <c r="C74" s="739" t="str">
        <f>IF(Factors!J6=1,"",GEOTECH!D31)</f>
        <v/>
      </c>
      <c r="D74" s="668"/>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row>
    <row r="75" spans="1:31" s="69" customFormat="1" ht="48.75" customHeight="1" x14ac:dyDescent="0.2">
      <c r="A75" s="240" t="str">
        <f>IF(Factors!J6=1,"Independent Leg Rig: Please ignore","Overturning potential if checked")</f>
        <v>Independent Leg Rig: Please ignore</v>
      </c>
      <c r="B75" s="345" t="str">
        <f>IF(Factors!J6=1,"",IF(AND(Factors!$J$6=2,$B$22="LOW Consequence FROM INFRASTRUCTURE"),"Safety Factor Calculation not Compulsory","Safety Factor on Overturning calculated as"))</f>
        <v/>
      </c>
      <c r="C75" s="739" t="str">
        <f>IF(Factors!J6=1,"",GEOTECH!D32)</f>
        <v/>
      </c>
      <c r="D75" s="668"/>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row>
    <row r="76" spans="1:31" s="69" customFormat="1" ht="48.75" customHeight="1" x14ac:dyDescent="0.2">
      <c r="A76" s="178" t="str">
        <f>IF(Factors!J6=1,"Independent Leg Rig: Please ignore","If Consequence is High or Medium and sliding may impact infrastructure, and you wish to supply explanation as to why this return period is an acceptable Consequence, please do so here:"   )</f>
        <v>Independent Leg Rig: Please ignore</v>
      </c>
      <c r="B76" s="1197"/>
      <c r="C76" s="1198"/>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row>
    <row r="77" spans="1:31" s="69" customFormat="1" ht="48.75" customHeight="1" x14ac:dyDescent="0.2">
      <c r="A77" s="178" t="str">
        <f>IF(Factors!J6=1,"Independent Leg Rig: Please ignore","Comment on Potential Scour on sand bottom in high current or breaking wave area")</f>
        <v>Independent Leg Rig: Please ignore</v>
      </c>
      <c r="B77" s="742" t="str">
        <f>IF(Factors!J6=1,"",IF(LOCATION!F49="Explain potential to scour","Potential to Scour explained to the right","Not Likely"))</f>
        <v/>
      </c>
      <c r="C77" s="739" t="str">
        <f>IF(Factors!J6=1,"",GEOTECH!$D$33)</f>
        <v/>
      </c>
      <c r="E77" s="157"/>
      <c r="F77" s="157"/>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row>
    <row r="78" spans="1:31" s="69" customFormat="1" ht="48.75" customHeight="1" thickBot="1" x14ac:dyDescent="0.25">
      <c r="A78" s="243" t="str">
        <f>IF(Factors!J6=1,"Independent Leg Rig: Please ignore","Comment on Consequences of the rig sliding")</f>
        <v>Independent Leg Rig: Please ignore</v>
      </c>
      <c r="B78" s="427"/>
      <c r="C78" s="753" t="str">
        <f>IF(Factors!J6=2,'LEASEHOLDER Provided Data'!$E$36,"")</f>
        <v/>
      </c>
    </row>
    <row r="79" spans="1:31" s="69" customFormat="1" ht="22.5" customHeight="1" thickTop="1" thickBot="1" x14ac:dyDescent="0.25">
      <c r="A79" s="98"/>
      <c r="B79" s="253"/>
      <c r="C79" s="666"/>
    </row>
    <row r="80" spans="1:31" s="69" customFormat="1" ht="22.5" customHeight="1" thickTop="1" thickBot="1" x14ac:dyDescent="0.25">
      <c r="A80" s="252" t="s">
        <v>645</v>
      </c>
      <c r="B80" s="236" t="s">
        <v>647</v>
      </c>
      <c r="C80" s="667" t="s">
        <v>659</v>
      </c>
    </row>
    <row r="81" spans="1:3" s="69" customFormat="1" ht="48.75" customHeight="1" thickTop="1" x14ac:dyDescent="0.2">
      <c r="A81" s="757" t="s">
        <v>424</v>
      </c>
      <c r="B81" s="431" t="str">
        <f>IF(Factors!$J$31=2,"Explanation (to the right)","")</f>
        <v/>
      </c>
      <c r="C81" s="755" t="str">
        <f>'OPTIONAL NTL INFO'!$G$9</f>
        <v>Optional 1:</v>
      </c>
    </row>
    <row r="82" spans="1:3" s="69" customFormat="1" ht="48.75" customHeight="1" x14ac:dyDescent="0.2">
      <c r="A82" s="176" t="s">
        <v>380</v>
      </c>
      <c r="B82" s="384" t="s">
        <v>485</v>
      </c>
      <c r="C82" s="739" t="str">
        <f>'OPTIONAL NTL INFO'!$G$10</f>
        <v xml:space="preserve">Optional 2: </v>
      </c>
    </row>
    <row r="83" spans="1:3" s="69" customFormat="1" ht="45" customHeight="1" thickBot="1" x14ac:dyDescent="0.25">
      <c r="A83" s="879" t="s">
        <v>423</v>
      </c>
      <c r="B83" s="756" t="s">
        <v>485</v>
      </c>
      <c r="C83" s="753" t="str">
        <f>'OPTIONAL NTL INFO'!$G$11</f>
        <v xml:space="preserve">Optional 3: </v>
      </c>
    </row>
    <row r="84" spans="1:3" ht="13.5" thickTop="1" x14ac:dyDescent="0.2">
      <c r="A84" s="160"/>
      <c r="B84" s="87"/>
    </row>
    <row r="85" spans="1:3" x14ac:dyDescent="0.2">
      <c r="A85" s="160"/>
      <c r="B85" s="87"/>
    </row>
    <row r="86" spans="1:3" x14ac:dyDescent="0.2">
      <c r="A86" s="160"/>
      <c r="B86" s="87"/>
    </row>
    <row r="87" spans="1:3" x14ac:dyDescent="0.2">
      <c r="A87" s="160"/>
      <c r="B87" s="87"/>
    </row>
    <row r="88" spans="1:3" x14ac:dyDescent="0.2">
      <c r="A88" s="160"/>
      <c r="B88" s="87"/>
    </row>
    <row r="89" spans="1:3" x14ac:dyDescent="0.2">
      <c r="A89" s="160"/>
      <c r="B89" s="87"/>
    </row>
    <row r="90" spans="1:3" x14ac:dyDescent="0.2">
      <c r="A90" s="160"/>
      <c r="B90" s="87"/>
    </row>
    <row r="91" spans="1:3" x14ac:dyDescent="0.2">
      <c r="A91" s="160"/>
      <c r="B91" s="87"/>
    </row>
    <row r="92" spans="1:3" x14ac:dyDescent="0.2">
      <c r="A92" s="160"/>
      <c r="B92" s="87"/>
    </row>
    <row r="93" spans="1:3" x14ac:dyDescent="0.2">
      <c r="A93" s="160"/>
      <c r="B93" s="87"/>
    </row>
    <row r="94" spans="1:3" x14ac:dyDescent="0.2">
      <c r="A94" s="160"/>
      <c r="B94" s="87"/>
    </row>
    <row r="95" spans="1:3" x14ac:dyDescent="0.2">
      <c r="A95" s="160"/>
      <c r="B95" s="87"/>
    </row>
    <row r="96" spans="1:3" x14ac:dyDescent="0.2">
      <c r="A96" s="160"/>
      <c r="B96" s="87"/>
    </row>
    <row r="97" spans="1:2" x14ac:dyDescent="0.2">
      <c r="A97" s="160"/>
      <c r="B97" s="87"/>
    </row>
    <row r="98" spans="1:2" x14ac:dyDescent="0.2">
      <c r="A98" s="160"/>
      <c r="B98" s="87"/>
    </row>
    <row r="99" spans="1:2" x14ac:dyDescent="0.2">
      <c r="A99" s="160"/>
      <c r="B99" s="87"/>
    </row>
    <row r="100" spans="1:2" x14ac:dyDescent="0.2">
      <c r="A100" s="160"/>
      <c r="B100" s="87"/>
    </row>
    <row r="101" spans="1:2" x14ac:dyDescent="0.2">
      <c r="A101" s="160"/>
    </row>
  </sheetData>
  <sheetProtection formatRows="0"/>
  <mergeCells count="5">
    <mergeCell ref="F32:H32"/>
    <mergeCell ref="B76:C76"/>
    <mergeCell ref="B30:C30"/>
    <mergeCell ref="A27:A28"/>
    <mergeCell ref="C27:C28"/>
  </mergeCells>
  <phoneticPr fontId="4" type="noConversion"/>
  <conditionalFormatting sqref="C81:C83 C71:C75 C77 C67:C69 B79:C79 C60:C65 B57:C57 C43:C44 C35:C41 E57:F57 C27 B29:C29 D26 B13:B17 B4:B11">
    <cfRule type="cellIs" dxfId="86" priority="1" stopIfTrue="1" operator="equal">
      <formula>0</formula>
    </cfRule>
  </conditionalFormatting>
  <conditionalFormatting sqref="A70">
    <cfRule type="cellIs" dxfId="85" priority="2" stopIfTrue="1" operator="equal">
      <formula>"Settlement in Survival storm is &lt; 4ft"</formula>
    </cfRule>
    <cfRule type="cellIs" priority="3" stopIfTrue="1" operator="equal">
      <formula>"Settlement in Survival storm is &gt; 4ft"</formula>
    </cfRule>
  </conditionalFormatting>
  <conditionalFormatting sqref="B68:B69 B78 B64 B61 B40:B41">
    <cfRule type="cellIs" dxfId="84" priority="4" stopIfTrue="1" operator="equal">
      <formula>"Explanation (to the right)"</formula>
    </cfRule>
  </conditionalFormatting>
  <conditionalFormatting sqref="B76">
    <cfRule type="cellIs" dxfId="83" priority="5" stopIfTrue="1" operator="equal">
      <formula>"winter"</formula>
    </cfRule>
    <cfRule type="cellIs" dxfId="82" priority="6" stopIfTrue="1" operator="equal">
      <formula>"Operating Manual Condition"</formula>
    </cfRule>
    <cfRule type="cellIs" dxfId="81" priority="7" stopIfTrue="1" operator="equal">
      <formula>"Other Specified"</formula>
    </cfRule>
  </conditionalFormatting>
  <conditionalFormatting sqref="B71">
    <cfRule type="cellIs" dxfId="80" priority="8" stopIfTrue="1" operator="equal">
      <formula>"Explanation: "</formula>
    </cfRule>
    <cfRule type="cellIs" dxfId="79" priority="9" stopIfTrue="1" operator="equal">
      <formula>""</formula>
    </cfRule>
  </conditionalFormatting>
  <conditionalFormatting sqref="B67">
    <cfRule type="cellIs" dxfId="78" priority="10" stopIfTrue="1" operator="equal">
      <formula>"Potential to Scour explained to the right"</formula>
    </cfRule>
    <cfRule type="cellIs" dxfId="77" priority="11" stopIfTrue="1" operator="equal">
      <formula>"None"</formula>
    </cfRule>
  </conditionalFormatting>
  <conditionalFormatting sqref="B81">
    <cfRule type="cellIs" dxfId="76" priority="12" stopIfTrue="1" operator="equal">
      <formula>""</formula>
    </cfRule>
  </conditionalFormatting>
  <conditionalFormatting sqref="B73">
    <cfRule type="cellIs" dxfId="75" priority="13" stopIfTrue="1" operator="equal">
      <formula>"Detailed Soil Safety Factor Submission Required"</formula>
    </cfRule>
    <cfRule type="cellIs" dxfId="74" priority="14" stopIfTrue="1" operator="notEqual">
      <formula>"Detailed Soil Safety Factor Submission Required"</formula>
    </cfRule>
  </conditionalFormatting>
  <conditionalFormatting sqref="B72">
    <cfRule type="cellIs" dxfId="73" priority="15" stopIfTrue="1" operator="equal">
      <formula>"Soil information may be insufficient depth for analysis"</formula>
    </cfRule>
    <cfRule type="cellIs" dxfId="72" priority="16" stopIfTrue="1" operator="equal">
      <formula>"Soil information is of sufficient depth"</formula>
    </cfRule>
    <cfRule type="cellIs" dxfId="71" priority="17" stopIfTrue="1" operator="equal">
      <formula>"Independent Leg Rig: Please ignore"</formula>
    </cfRule>
  </conditionalFormatting>
  <conditionalFormatting sqref="B77">
    <cfRule type="cellIs" dxfId="70" priority="18" stopIfTrue="1" operator="equal">
      <formula>"Potential to Scour explained to the right"</formula>
    </cfRule>
    <cfRule type="cellIs" dxfId="69" priority="19" stopIfTrue="1" operator="equal">
      <formula>"Not Likely"</formula>
    </cfRule>
  </conditionalFormatting>
  <conditionalFormatting sqref="A65">
    <cfRule type="cellIs" dxfId="68" priority="20" stopIfTrue="1" operator="equal">
      <formula>"Load Penetration curve was not provided"</formula>
    </cfRule>
    <cfRule type="cellIs" dxfId="67" priority="21" stopIfTrue="1" operator="equal">
      <formula>"Load Penetration curve was provided"</formula>
    </cfRule>
  </conditionalFormatting>
  <conditionalFormatting sqref="A59">
    <cfRule type="cellIs" dxfId="66" priority="22" stopIfTrue="1" operator="equal">
      <formula>"winter"</formula>
    </cfRule>
    <cfRule type="cellIs" dxfId="65" priority="23" stopIfTrue="1" operator="equal">
      <formula>"Operating Manual Condition"</formula>
    </cfRule>
    <cfRule type="cellIs" dxfId="64" priority="24" stopIfTrue="1" operator="equal">
      <formula>"Other Specified"</formula>
    </cfRule>
  </conditionalFormatting>
  <conditionalFormatting sqref="B60">
    <cfRule type="cellIs" dxfId="63" priority="25" stopIfTrue="1" operator="equal">
      <formula>""</formula>
    </cfRule>
    <cfRule type="cellIs" dxfId="62" priority="26" stopIfTrue="1" operator="equal">
      <formula>"Explanation: "</formula>
    </cfRule>
  </conditionalFormatting>
  <conditionalFormatting sqref="B39 B44">
    <cfRule type="cellIs" dxfId="61" priority="27" stopIfTrue="1" operator="equal">
      <formula>"Explanation (to the right)"</formula>
    </cfRule>
    <cfRule type="cellIs" dxfId="60" priority="28" stopIfTrue="1" operator="equal">
      <formula>""</formula>
    </cfRule>
  </conditionalFormatting>
  <conditionalFormatting sqref="B62">
    <cfRule type="cellIs" dxfId="59" priority="29" stopIfTrue="1" operator="equal">
      <formula>"Controls Explained (to the right)"</formula>
    </cfRule>
    <cfRule type="cellIs" dxfId="58" priority="30" stopIfTrue="1" operator="equal">
      <formula>""</formula>
    </cfRule>
  </conditionalFormatting>
  <conditionalFormatting sqref="B58">
    <cfRule type="cellIs" dxfId="57" priority="31" stopIfTrue="1" operator="equal">
      <formula>"Warning: Calculated Values Required as High or Medium CONSEQUENCE location"</formula>
    </cfRule>
  </conditionalFormatting>
  <conditionalFormatting sqref="B66">
    <cfRule type="cellIs" dxfId="56" priority="32" stopIfTrue="1" operator="equal">
      <formula>"Settlement in Survival storm may be &gt; 6ft"</formula>
    </cfRule>
    <cfRule type="cellIs" dxfId="55" priority="33" stopIfTrue="1" operator="equal">
      <formula>"Settlement in Survival storm is = or &lt; 6ft"</formula>
    </cfRule>
  </conditionalFormatting>
  <conditionalFormatting sqref="B38">
    <cfRule type="cellIs" dxfId="54" priority="34" stopIfTrue="1" operator="equal">
      <formula>"Explanation (to the right)"</formula>
    </cfRule>
    <cfRule type="cellIs" dxfId="53" priority="35" stopIfTrue="1" operator="equal">
      <formula>""</formula>
    </cfRule>
  </conditionalFormatting>
  <conditionalFormatting sqref="C31 C58">
    <cfRule type="cellIs" dxfId="52" priority="36" stopIfTrue="1" operator="equal">
      <formula>0</formula>
    </cfRule>
  </conditionalFormatting>
  <conditionalFormatting sqref="C32 E32:E33 K32:M32 L33:M33">
    <cfRule type="cellIs" dxfId="51" priority="37" stopIfTrue="1" operator="equal">
      <formula>""</formula>
    </cfRule>
    <cfRule type="cellIs" dxfId="50" priority="38" stopIfTrue="1" operator="equal">
      <formula>"please Explain"</formula>
    </cfRule>
  </conditionalFormatting>
  <conditionalFormatting sqref="B31:B33 C33">
    <cfRule type="cellIs" dxfId="49" priority="39" stopIfTrue="1" operator="equal">
      <formula>"YES"</formula>
    </cfRule>
    <cfRule type="cellIs" dxfId="48" priority="40" stopIfTrue="1" operator="equal">
      <formula>"not IN MUDSLIDE ZONE"</formula>
    </cfRule>
  </conditionalFormatting>
  <conditionalFormatting sqref="B35">
    <cfRule type="cellIs" dxfId="47" priority="41" stopIfTrue="1" operator="equal">
      <formula>"Explanation (to the right)"</formula>
    </cfRule>
    <cfRule type="cellIs" dxfId="46" priority="42" stopIfTrue="1" operator="equal">
      <formula>""</formula>
    </cfRule>
  </conditionalFormatting>
  <conditionalFormatting sqref="B54:C54">
    <cfRule type="cellIs" dxfId="45" priority="43" stopIfTrue="1" operator="equal">
      <formula>"Leg Length OK"</formula>
    </cfRule>
    <cfRule type="cellIs" dxfId="44" priority="44" stopIfTrue="1" operator="equal">
      <formula>"Leg Length is &gt; Limits: Explain"</formula>
    </cfRule>
  </conditionalFormatting>
  <conditionalFormatting sqref="C47">
    <cfRule type="cellIs" dxfId="43" priority="45" stopIfTrue="1" operator="equal">
      <formula>"Does Not Comply with API 95J"</formula>
    </cfRule>
    <cfRule type="cellIs" dxfId="42" priority="46" stopIfTrue="1" operator="equal">
      <formula>"Cinokues with API 95J"</formula>
    </cfRule>
  </conditionalFormatting>
  <conditionalFormatting sqref="B27:B28">
    <cfRule type="cellIs" dxfId="41" priority="47" stopIfTrue="1" operator="equal">
      <formula>"none"</formula>
    </cfRule>
  </conditionalFormatting>
  <conditionalFormatting sqref="B47">
    <cfRule type="cellIs" dxfId="40" priority="48" stopIfTrue="1" operator="equal">
      <formula>"YES"</formula>
    </cfRule>
    <cfRule type="cellIs" dxfId="39" priority="49" stopIfTrue="1" operator="equal">
      <formula>"Does Not Comply with API 95j"</formula>
    </cfRule>
  </conditionalFormatting>
  <conditionalFormatting sqref="B50:B51">
    <cfRule type="cellIs" dxfId="38" priority="50" stopIfTrue="1" operator="equal">
      <formula>"YES"</formula>
    </cfRule>
    <cfRule type="cellIs" dxfId="37" priority="51" stopIfTrue="1" operator="equal">
      <formula>"NO"</formula>
    </cfRule>
  </conditionalFormatting>
  <conditionalFormatting sqref="B52">
    <cfRule type="cellIs" dxfId="36" priority="52" stopIfTrue="1" operator="equal">
      <formula>"YES"</formula>
    </cfRule>
    <cfRule type="cellIs" dxfId="35" priority="53" stopIfTrue="1" operator="equal">
      <formula>"NO"</formula>
    </cfRule>
    <cfRule type="cellIs" dxfId="34" priority="54" stopIfTrue="1" operator="equal">
      <formula>"please ignore"</formula>
    </cfRule>
  </conditionalFormatting>
  <conditionalFormatting sqref="B49">
    <cfRule type="cellIs" dxfId="33" priority="55" stopIfTrue="1" operator="equal">
      <formula>"YES"</formula>
    </cfRule>
    <cfRule type="cellIs" dxfId="32" priority="56" stopIfTrue="1" operator="equal">
      <formula>"NO"</formula>
    </cfRule>
    <cfRule type="cellIs" dxfId="31" priority="57" stopIfTrue="1" operator="equal">
      <formula>"Please ignore"</formula>
    </cfRule>
  </conditionalFormatting>
  <conditionalFormatting sqref="B53">
    <cfRule type="cellIs" dxfId="30" priority="58" stopIfTrue="1" operator="equal">
      <formula>"Leg Length OK"</formula>
    </cfRule>
    <cfRule type="cellIs" dxfId="29" priority="59" stopIfTrue="1" operator="equal">
      <formula>"Leg Length is &gt; Limits: Explain"</formula>
    </cfRule>
  </conditionalFormatting>
  <conditionalFormatting sqref="B37">
    <cfRule type="cellIs" dxfId="28" priority="60" stopIfTrue="1" operator="equal">
      <formula>"Explanation (to the right)"</formula>
    </cfRule>
    <cfRule type="cellIs" dxfId="27" priority="61" stopIfTrue="1" operator="equal">
      <formula>""</formula>
    </cfRule>
  </conditionalFormatting>
  <conditionalFormatting sqref="B36 B56">
    <cfRule type="cellIs" dxfId="26" priority="62" stopIfTrue="1" operator="equal">
      <formula>"Explanation (to the right)"</formula>
    </cfRule>
    <cfRule type="cellIs" dxfId="25" priority="63" stopIfTrue="1" operator="equal">
      <formula>""</formula>
    </cfRule>
    <cfRule type="cellIs" dxfId="24" priority="64" stopIfTrue="1" operator="equal">
      <formula>"Please attach Load-Penetration Curve for soils to at least half the spudcan diameter below expected penetration. Show stillwater and preload reactions on the curve"</formula>
    </cfRule>
  </conditionalFormatting>
  <conditionalFormatting sqref="B48">
    <cfRule type="cellIs" dxfId="23" priority="65" stopIfTrue="1" operator="equal">
      <formula>"YES"</formula>
    </cfRule>
    <cfRule type="cellIs" dxfId="22" priority="66" stopIfTrue="1" operator="equal">
      <formula>"NO"</formula>
    </cfRule>
    <cfRule type="cellIs" dxfId="21" priority="67" stopIfTrue="1" operator="equal">
      <formula>"Please ignore"</formula>
    </cfRule>
  </conditionalFormatting>
  <conditionalFormatting sqref="B63">
    <cfRule type="cellIs" dxfId="20" priority="68" stopIfTrue="1" operator="equal">
      <formula>"Settlement in Contingency case may be &gt; 4 ft"</formula>
    </cfRule>
    <cfRule type="cellIs" dxfId="19" priority="69" stopIfTrue="1" operator="equal">
      <formula>"Settlement in Contingency Case is = or &lt; 4ft"</formula>
    </cfRule>
  </conditionalFormatting>
  <conditionalFormatting sqref="B65">
    <cfRule type="cellIs" dxfId="18" priority="70" stopIfTrue="1" operator="equal">
      <formula>"Load-Penetration curve was not provided"</formula>
    </cfRule>
    <cfRule type="cellIs" dxfId="17" priority="71" stopIfTrue="1" operator="equal">
      <formula>"Submit Load-Penetration Curve annotated as described"</formula>
    </cfRule>
  </conditionalFormatting>
  <conditionalFormatting sqref="E22:E23">
    <cfRule type="cellIs" dxfId="16" priority="72" stopIfTrue="1" operator="equal">
      <formula>"LOW RISK FROM INFRASTRUCTURE"</formula>
    </cfRule>
    <cfRule type="cellIs" dxfId="15" priority="73" stopIfTrue="1" operator="equal">
      <formula>"MEDIUM RISK FROM INFRASTRUCTURE"</formula>
    </cfRule>
    <cfRule type="cellIs" dxfId="14" priority="74" stopIfTrue="1" operator="equal">
      <formula>"HIGH RISK FROM INFRASTRUCTURE"</formula>
    </cfRule>
  </conditionalFormatting>
  <conditionalFormatting sqref="C22:C24">
    <cfRule type="cellIs" dxfId="13" priority="75" stopIfTrue="1" operator="equal">
      <formula>0</formula>
    </cfRule>
  </conditionalFormatting>
  <conditionalFormatting sqref="B24">
    <cfRule type="cellIs" dxfId="12" priority="76" stopIfTrue="1" operator="equal">
      <formula>""</formula>
    </cfRule>
    <cfRule type="cellIs" dxfId="11" priority="77" stopIfTrue="1" operator="equal">
      <formula>"explanation (to the right)"</formula>
    </cfRule>
  </conditionalFormatting>
  <conditionalFormatting sqref="B21">
    <cfRule type="cellIs" dxfId="10" priority="78" stopIfTrue="1" operator="equal">
      <formula>"Mudslide Report Information"</formula>
    </cfRule>
    <cfRule type="cellIs" dxfId="9" priority="79" stopIfTrue="1" operator="equal">
      <formula>"Not in the Mudslide Area - No Further Info Required"</formula>
    </cfRule>
  </conditionalFormatting>
  <conditionalFormatting sqref="B22:B23">
    <cfRule type="cellIs" dxfId="8" priority="80" stopIfTrue="1" operator="equal">
      <formula>"LOW CONSEQUENCE FROM INFRASTRUCTURE"</formula>
    </cfRule>
    <cfRule type="cellIs" dxfId="7" priority="81" stopIfTrue="1" operator="equal">
      <formula>"MEDIUM CONSEQUENCE FROM INFRASTRUCTURE"</formula>
    </cfRule>
    <cfRule type="cellIs" dxfId="6" priority="82" stopIfTrue="1" operator="equal">
      <formula>"HIGH CONSEQUENCE FROM INFRASTRUCTURE"</formula>
    </cfRule>
  </conditionalFormatting>
  <conditionalFormatting sqref="B25">
    <cfRule type="cellIs" dxfId="5" priority="83" stopIfTrue="1" operator="equal">
      <formula>"OK"</formula>
    </cfRule>
    <cfRule type="cellIs" dxfId="4" priority="84" stopIfTrue="1" operator="equal">
      <formula>"Explanation (to the right)"</formula>
    </cfRule>
  </conditionalFormatting>
  <conditionalFormatting sqref="B26">
    <cfRule type="cellIs" dxfId="3" priority="85" stopIfTrue="1" operator="equal">
      <formula>"OK"</formula>
    </cfRule>
    <cfRule type="cellIs" dxfId="2" priority="86" stopIfTrue="1" operator="equal">
      <formula>"EXPLanation (to the right)"</formula>
    </cfRule>
  </conditionalFormatting>
  <pageMargins left="0.82" right="0.25" top="0.71" bottom="0.33" header="0.44" footer="0.26"/>
  <pageSetup scale="46" fitToHeight="2" orientation="portrait" horizontalDpi="1200" verticalDpi="1200" r:id="rId1"/>
  <headerFooter alignWithMargins="0">
    <oddHeader>&amp;L&amp;F&amp;C&amp;A</oddHeader>
    <oddFooter>&amp;R&amp;P</oddFooter>
  </headerFooter>
  <rowBreaks count="1" manualBreakCount="1">
    <brk id="58" max="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0"/>
  </sheetPr>
  <dimension ref="A1:BC988"/>
  <sheetViews>
    <sheetView view="pageBreakPreview" topLeftCell="L1" zoomScale="60" zoomScaleNormal="75" workbookViewId="0">
      <selection activeCell="AE11" sqref="AE11"/>
    </sheetView>
  </sheetViews>
  <sheetFormatPr defaultRowHeight="12.75" x14ac:dyDescent="0.2"/>
  <cols>
    <col min="1" max="1" width="9.28515625" bestFit="1" customWidth="1"/>
    <col min="2" max="2" width="20.85546875" customWidth="1"/>
    <col min="3" max="4" width="11.28515625" customWidth="1"/>
    <col min="5" max="5" width="11.5703125" customWidth="1"/>
    <col min="8" max="9" width="13.28515625" customWidth="1"/>
    <col min="10" max="10" width="19.28515625" customWidth="1"/>
    <col min="11" max="11" width="14.42578125" customWidth="1"/>
    <col min="12" max="13" width="9.28515625" bestFit="1" customWidth="1"/>
    <col min="14" max="14" width="2.7109375" bestFit="1" customWidth="1"/>
    <col min="16" max="16" width="9.28515625" bestFit="1" customWidth="1"/>
    <col min="19" max="22" width="9.28515625" bestFit="1" customWidth="1"/>
    <col min="25" max="25" width="13.42578125" bestFit="1" customWidth="1"/>
    <col min="26" max="26" width="11.5703125" bestFit="1" customWidth="1"/>
    <col min="27" max="27" width="13.85546875" bestFit="1" customWidth="1"/>
    <col min="28" max="28" width="11.85546875" customWidth="1"/>
    <col min="29" max="29" width="14.140625" customWidth="1"/>
    <col min="31" max="31" width="23.5703125" customWidth="1"/>
    <col min="37" max="37" width="37.28515625" customWidth="1"/>
    <col min="40" max="40" width="10.7109375" customWidth="1"/>
  </cols>
  <sheetData>
    <row r="1" spans="1:55" ht="14.25" thickTop="1" thickBot="1" x14ac:dyDescent="0.25">
      <c r="B1" s="19" t="s">
        <v>541</v>
      </c>
      <c r="C1" s="19" t="s">
        <v>542</v>
      </c>
      <c r="D1" s="19" t="s">
        <v>543</v>
      </c>
      <c r="E1" s="19" t="s">
        <v>544</v>
      </c>
      <c r="F1" s="19" t="s">
        <v>545</v>
      </c>
      <c r="G1" s="19" t="s">
        <v>546</v>
      </c>
      <c r="H1" s="19" t="s">
        <v>547</v>
      </c>
      <c r="I1" s="19" t="s">
        <v>548</v>
      </c>
      <c r="J1" s="19" t="s">
        <v>549</v>
      </c>
      <c r="K1" s="19" t="s">
        <v>550</v>
      </c>
      <c r="L1" s="19" t="s">
        <v>551</v>
      </c>
      <c r="M1" s="19" t="s">
        <v>552</v>
      </c>
      <c r="N1" s="19" t="s">
        <v>553</v>
      </c>
      <c r="O1" s="19" t="s">
        <v>554</v>
      </c>
      <c r="P1" s="19" t="s">
        <v>555</v>
      </c>
      <c r="Q1" s="19" t="s">
        <v>556</v>
      </c>
      <c r="R1" s="19" t="s">
        <v>557</v>
      </c>
      <c r="S1" s="19" t="s">
        <v>558</v>
      </c>
      <c r="T1" s="19" t="s">
        <v>559</v>
      </c>
      <c r="U1" s="19" t="s">
        <v>560</v>
      </c>
      <c r="V1" s="19" t="s">
        <v>562</v>
      </c>
      <c r="W1" s="19" t="s">
        <v>561</v>
      </c>
      <c r="X1" s="19" t="s">
        <v>563</v>
      </c>
      <c r="Y1" s="19" t="s">
        <v>466</v>
      </c>
      <c r="Z1" s="19" t="s">
        <v>564</v>
      </c>
      <c r="AA1" s="19" t="s">
        <v>565</v>
      </c>
      <c r="AB1" s="19" t="s">
        <v>566</v>
      </c>
      <c r="AC1" s="19" t="s">
        <v>567</v>
      </c>
      <c r="AD1" s="1210" t="s">
        <v>56</v>
      </c>
      <c r="AE1" s="1211"/>
      <c r="AF1" s="19" t="s">
        <v>568</v>
      </c>
      <c r="AG1" s="19" t="s">
        <v>569</v>
      </c>
      <c r="AH1" s="19"/>
      <c r="AI1" s="19"/>
      <c r="AJ1" s="19"/>
      <c r="AK1" s="19" t="s">
        <v>570</v>
      </c>
      <c r="AL1" s="19" t="s">
        <v>571</v>
      </c>
      <c r="AM1" s="213" t="s">
        <v>572</v>
      </c>
      <c r="AN1" s="214" t="s">
        <v>573</v>
      </c>
      <c r="AO1" s="214" t="s">
        <v>574</v>
      </c>
      <c r="AP1" s="214" t="s">
        <v>575</v>
      </c>
      <c r="AQ1" s="214" t="s">
        <v>576</v>
      </c>
      <c r="AR1" s="214" t="s">
        <v>577</v>
      </c>
      <c r="AS1" s="214" t="s">
        <v>578</v>
      </c>
      <c r="AT1" s="214" t="s">
        <v>579</v>
      </c>
      <c r="AU1" s="214" t="s">
        <v>580</v>
      </c>
      <c r="AV1" s="214" t="s">
        <v>581</v>
      </c>
      <c r="AW1" s="214" t="s">
        <v>582</v>
      </c>
      <c r="AX1" s="215" t="s">
        <v>583</v>
      </c>
      <c r="AY1" s="19" t="s">
        <v>624</v>
      </c>
      <c r="AZ1" s="19" t="s">
        <v>625</v>
      </c>
      <c r="BA1" s="19" t="s">
        <v>626</v>
      </c>
      <c r="BB1" s="19" t="s">
        <v>627</v>
      </c>
      <c r="BC1" s="19"/>
    </row>
    <row r="2" spans="1:55" ht="14.25" thickTop="1" thickBot="1" x14ac:dyDescent="0.25">
      <c r="A2" s="186" t="s">
        <v>173</v>
      </c>
      <c r="B2" s="193" t="s">
        <v>63</v>
      </c>
      <c r="C2" s="218"/>
      <c r="D2" s="261"/>
      <c r="E2" s="261" t="s">
        <v>686</v>
      </c>
      <c r="F2" s="261"/>
      <c r="G2" s="261"/>
      <c r="H2" s="262"/>
      <c r="M2" s="625" t="b">
        <v>0</v>
      </c>
      <c r="X2" s="10" t="s">
        <v>173</v>
      </c>
      <c r="Y2" s="11" t="s">
        <v>640</v>
      </c>
      <c r="Z2" s="11" t="s">
        <v>641</v>
      </c>
      <c r="AD2" s="10" t="s">
        <v>222</v>
      </c>
      <c r="AE2" s="11" t="s">
        <v>628</v>
      </c>
      <c r="AI2" s="32"/>
      <c r="AJ2" s="16"/>
      <c r="AK2" s="16"/>
      <c r="AL2" s="16"/>
      <c r="AM2" s="16"/>
      <c r="AN2" s="16"/>
      <c r="AO2" s="16"/>
      <c r="AP2" s="16"/>
      <c r="AQ2" s="16"/>
      <c r="AR2" s="16"/>
      <c r="AS2" s="16"/>
      <c r="AT2" s="3"/>
    </row>
    <row r="3" spans="1:55" ht="13.5" thickTop="1" x14ac:dyDescent="0.2">
      <c r="A3" s="187">
        <v>1</v>
      </c>
      <c r="B3" s="194" t="s">
        <v>89</v>
      </c>
      <c r="C3" s="263"/>
      <c r="D3" s="264" t="s">
        <v>173</v>
      </c>
      <c r="E3" s="264" t="s">
        <v>172</v>
      </c>
      <c r="F3" s="264" t="s">
        <v>163</v>
      </c>
      <c r="G3" s="264" t="s">
        <v>222</v>
      </c>
      <c r="H3" s="265"/>
      <c r="I3" s="192"/>
      <c r="J3" s="198" t="s">
        <v>209</v>
      </c>
      <c r="K3" s="23" t="s">
        <v>212</v>
      </c>
      <c r="L3" s="199" t="s">
        <v>301</v>
      </c>
      <c r="M3" s="199" t="s">
        <v>67</v>
      </c>
      <c r="N3" s="200"/>
      <c r="P3" s="205" t="s">
        <v>70</v>
      </c>
      <c r="X3" s="7">
        <v>1</v>
      </c>
      <c r="Y3" s="8" t="s">
        <v>273</v>
      </c>
      <c r="Z3" s="8" t="s">
        <v>273</v>
      </c>
      <c r="AD3" s="768" t="s">
        <v>173</v>
      </c>
      <c r="AE3" s="164" t="s">
        <v>339</v>
      </c>
      <c r="AI3" s="1205" t="s">
        <v>453</v>
      </c>
      <c r="AJ3" s="1206"/>
      <c r="AK3" s="1206"/>
      <c r="AL3" s="1206"/>
      <c r="AM3" s="1206"/>
      <c r="AN3" s="1206"/>
      <c r="AO3" s="1206"/>
      <c r="AP3" s="1206"/>
      <c r="AQ3" s="1206"/>
      <c r="AR3" s="1206"/>
      <c r="AS3" s="1206"/>
      <c r="AT3" s="1207"/>
      <c r="AU3" s="301"/>
      <c r="AV3" s="301"/>
      <c r="AW3" s="302"/>
    </row>
    <row r="4" spans="1:55" x14ac:dyDescent="0.2">
      <c r="A4" s="187">
        <v>2</v>
      </c>
      <c r="B4" s="194" t="s">
        <v>91</v>
      </c>
      <c r="C4" s="266"/>
      <c r="D4" s="267">
        <v>1</v>
      </c>
      <c r="E4" s="267" t="s">
        <v>153</v>
      </c>
      <c r="F4" s="267" t="s">
        <v>176</v>
      </c>
      <c r="G4" s="268" t="s">
        <v>222</v>
      </c>
      <c r="H4" s="269"/>
      <c r="I4" s="16">
        <v>1</v>
      </c>
      <c r="J4" s="35" t="s">
        <v>210</v>
      </c>
      <c r="K4" s="7" t="s">
        <v>214</v>
      </c>
      <c r="L4" s="184">
        <v>1</v>
      </c>
      <c r="M4" s="184">
        <v>51</v>
      </c>
      <c r="N4" s="8">
        <f t="shared" ref="N4:N35" si="0">IF(AND(M4=$A$66,L4=$A$67),1,0)</f>
        <v>0</v>
      </c>
      <c r="P4" s="202"/>
      <c r="X4" s="7">
        <v>2</v>
      </c>
      <c r="Y4" s="8" t="s">
        <v>272</v>
      </c>
      <c r="Z4" s="8" t="s">
        <v>272</v>
      </c>
      <c r="AD4" s="7">
        <v>1</v>
      </c>
      <c r="AE4" s="164" t="s">
        <v>342</v>
      </c>
      <c r="AI4" s="303"/>
      <c r="AJ4" s="304"/>
      <c r="AK4" s="237" t="s">
        <v>377</v>
      </c>
      <c r="AL4" s="637">
        <v>1</v>
      </c>
      <c r="AM4" s="237"/>
      <c r="AN4" s="237"/>
      <c r="AO4" s="237"/>
      <c r="AP4" s="237"/>
      <c r="AQ4" s="237"/>
      <c r="AR4" s="237"/>
      <c r="AS4" s="304"/>
      <c r="AT4" s="305"/>
      <c r="AU4" s="304"/>
      <c r="AV4" s="304"/>
      <c r="AW4" s="305"/>
    </row>
    <row r="5" spans="1:55" x14ac:dyDescent="0.2">
      <c r="A5" s="187">
        <v>3</v>
      </c>
      <c r="B5" s="194" t="s">
        <v>93</v>
      </c>
      <c r="C5" s="266"/>
      <c r="D5" s="267">
        <v>2</v>
      </c>
      <c r="E5" s="267" t="s">
        <v>154</v>
      </c>
      <c r="F5" s="267" t="s">
        <v>177</v>
      </c>
      <c r="G5" s="268" t="s">
        <v>222</v>
      </c>
      <c r="H5" s="269"/>
      <c r="I5" s="16">
        <v>2</v>
      </c>
      <c r="J5" s="35" t="s">
        <v>211</v>
      </c>
      <c r="K5" s="7" t="s">
        <v>214</v>
      </c>
      <c r="L5" s="184">
        <v>2</v>
      </c>
      <c r="M5" s="184">
        <v>51</v>
      </c>
      <c r="N5" s="8">
        <f t="shared" si="0"/>
        <v>0</v>
      </c>
      <c r="P5" s="203">
        <f>IF(METOCEAN!$C4&lt;40.00001,46.5,0)</f>
        <v>0</v>
      </c>
      <c r="X5" s="7">
        <v>3</v>
      </c>
      <c r="Y5" s="8" t="s">
        <v>274</v>
      </c>
      <c r="Z5" s="8" t="s">
        <v>274</v>
      </c>
      <c r="AD5" s="7">
        <v>2</v>
      </c>
      <c r="AE5" s="164" t="s">
        <v>343</v>
      </c>
      <c r="AI5" s="303"/>
      <c r="AJ5" s="304"/>
      <c r="AK5" s="306" t="s">
        <v>454</v>
      </c>
      <c r="AL5" s="637">
        <v>1</v>
      </c>
      <c r="AM5" s="237"/>
      <c r="AN5" s="237"/>
      <c r="AO5" s="237"/>
      <c r="AP5" s="237"/>
      <c r="AQ5" s="237"/>
      <c r="AR5" s="237"/>
      <c r="AS5" s="304"/>
      <c r="AT5" s="305"/>
      <c r="AU5" s="304"/>
      <c r="AV5" s="304"/>
      <c r="AW5" s="305"/>
    </row>
    <row r="6" spans="1:55" ht="26.25" thickBot="1" x14ac:dyDescent="0.25">
      <c r="A6" s="187">
        <v>4</v>
      </c>
      <c r="B6" s="194" t="s">
        <v>95</v>
      </c>
      <c r="C6" s="266"/>
      <c r="D6" s="267">
        <v>3</v>
      </c>
      <c r="E6" s="267" t="s">
        <v>155</v>
      </c>
      <c r="F6" s="267" t="s">
        <v>178</v>
      </c>
      <c r="G6" s="268" t="s">
        <v>222</v>
      </c>
      <c r="H6" s="269"/>
      <c r="I6" s="1"/>
      <c r="J6" s="593">
        <v>1</v>
      </c>
      <c r="K6" s="7" t="s">
        <v>214</v>
      </c>
      <c r="L6" s="184">
        <v>3</v>
      </c>
      <c r="M6" s="184">
        <v>51</v>
      </c>
      <c r="N6" s="8">
        <f t="shared" si="0"/>
        <v>0</v>
      </c>
      <c r="P6" s="203">
        <v>62</v>
      </c>
      <c r="X6" s="9"/>
      <c r="Y6" s="629">
        <v>1</v>
      </c>
      <c r="Z6" s="629">
        <v>2</v>
      </c>
      <c r="AD6" s="7">
        <v>3</v>
      </c>
      <c r="AE6" s="164" t="s">
        <v>344</v>
      </c>
      <c r="AI6" s="303"/>
      <c r="AJ6" s="304"/>
      <c r="AK6" s="306" t="s">
        <v>638</v>
      </c>
      <c r="AL6" s="637">
        <v>2</v>
      </c>
      <c r="AM6" s="237"/>
      <c r="AN6" s="237"/>
      <c r="AO6" s="237">
        <v>1</v>
      </c>
      <c r="AP6" s="237"/>
      <c r="AQ6" s="237"/>
      <c r="AR6" s="237"/>
      <c r="AS6" s="304"/>
      <c r="AT6" s="305"/>
      <c r="AU6" s="304"/>
      <c r="AV6" s="304"/>
      <c r="AW6" s="305"/>
    </row>
    <row r="7" spans="1:55" ht="13.5" thickTop="1" x14ac:dyDescent="0.2">
      <c r="A7" s="187">
        <v>5</v>
      </c>
      <c r="B7" s="194" t="s">
        <v>97</v>
      </c>
      <c r="C7" s="266"/>
      <c r="D7" s="267">
        <v>4</v>
      </c>
      <c r="E7" s="267" t="s">
        <v>174</v>
      </c>
      <c r="F7" s="267" t="s">
        <v>179</v>
      </c>
      <c r="G7" s="268"/>
      <c r="H7" s="269"/>
      <c r="I7" s="195" t="s">
        <v>222</v>
      </c>
      <c r="J7" s="198" t="s">
        <v>535</v>
      </c>
      <c r="K7" s="7" t="s">
        <v>214</v>
      </c>
      <c r="L7" s="184">
        <v>4</v>
      </c>
      <c r="M7" s="184">
        <v>51</v>
      </c>
      <c r="N7" s="8">
        <f t="shared" si="0"/>
        <v>0</v>
      </c>
      <c r="P7" s="204">
        <f>IF(AND(39.99999&lt;METOCEAN!C4,METOCEAN!C4&lt;79.999999),(46.5+15.5/40*(METOCEAN!C4-40)),0)</f>
        <v>0</v>
      </c>
      <c r="AD7" s="7">
        <v>4</v>
      </c>
      <c r="AE7" s="164" t="s">
        <v>345</v>
      </c>
      <c r="AI7" s="303"/>
      <c r="AJ7" s="304"/>
      <c r="AK7" s="237"/>
      <c r="AL7" s="637"/>
      <c r="AM7" s="237"/>
      <c r="AN7" s="237"/>
      <c r="AO7" s="237"/>
      <c r="AP7" s="237"/>
      <c r="AQ7" s="237"/>
      <c r="AR7" s="237"/>
      <c r="AS7" s="304"/>
      <c r="AT7" s="305"/>
      <c r="AU7" s="304"/>
      <c r="AV7" s="304"/>
      <c r="AW7" s="305"/>
    </row>
    <row r="8" spans="1:55" ht="13.5" thickBot="1" x14ac:dyDescent="0.25">
      <c r="A8" s="187">
        <v>6</v>
      </c>
      <c r="B8" s="194" t="s">
        <v>99</v>
      </c>
      <c r="C8" s="266"/>
      <c r="D8" s="267">
        <v>5</v>
      </c>
      <c r="E8" s="267" t="s">
        <v>175</v>
      </c>
      <c r="F8" s="267" t="s">
        <v>180</v>
      </c>
      <c r="G8" s="268"/>
      <c r="H8" s="269"/>
      <c r="I8" s="16">
        <v>1</v>
      </c>
      <c r="J8" s="35" t="s">
        <v>221</v>
      </c>
      <c r="K8" s="7" t="s">
        <v>214</v>
      </c>
      <c r="L8" s="184">
        <v>5</v>
      </c>
      <c r="M8" s="184">
        <v>51</v>
      </c>
      <c r="N8" s="8">
        <f t="shared" si="0"/>
        <v>0</v>
      </c>
      <c r="O8" t="s">
        <v>222</v>
      </c>
      <c r="P8" s="34">
        <f>MAX(P5:P7)</f>
        <v>62</v>
      </c>
      <c r="AD8" s="7">
        <v>5</v>
      </c>
      <c r="AE8" s="164" t="s">
        <v>595</v>
      </c>
      <c r="AI8" s="303"/>
      <c r="AJ8" s="304"/>
      <c r="AK8" s="237"/>
      <c r="AL8" s="637"/>
      <c r="AM8" s="237"/>
      <c r="AN8" s="237"/>
      <c r="AO8" s="237"/>
      <c r="AP8" s="237"/>
      <c r="AQ8" s="237"/>
      <c r="AR8" s="237"/>
      <c r="AS8" s="304"/>
      <c r="AT8" s="305"/>
      <c r="AU8" s="304"/>
      <c r="AV8" s="304"/>
      <c r="AW8" s="305"/>
    </row>
    <row r="9" spans="1:55" ht="14.25" thickTop="1" thickBot="1" x14ac:dyDescent="0.25">
      <c r="A9" s="187">
        <v>7</v>
      </c>
      <c r="B9" s="194" t="s">
        <v>101</v>
      </c>
      <c r="C9" s="266"/>
      <c r="D9" s="267">
        <v>6</v>
      </c>
      <c r="E9" s="267" t="s">
        <v>156</v>
      </c>
      <c r="F9" s="267" t="s">
        <v>181</v>
      </c>
      <c r="G9" s="268"/>
      <c r="H9" s="269"/>
      <c r="I9" s="16">
        <v>2</v>
      </c>
      <c r="J9" s="35" t="s">
        <v>318</v>
      </c>
      <c r="K9" s="7" t="s">
        <v>214</v>
      </c>
      <c r="L9" s="184">
        <v>6</v>
      </c>
      <c r="M9" s="184">
        <v>51</v>
      </c>
      <c r="N9" s="8">
        <f t="shared" si="0"/>
        <v>0</v>
      </c>
      <c r="AD9" s="12">
        <v>6</v>
      </c>
      <c r="AE9" s="164" t="s">
        <v>596</v>
      </c>
      <c r="AI9" s="303"/>
      <c r="AJ9" s="304"/>
      <c r="AK9" s="237"/>
      <c r="AL9" s="637"/>
      <c r="AM9" s="237"/>
      <c r="AN9" s="237"/>
      <c r="AO9" s="237"/>
      <c r="AP9" s="237"/>
      <c r="AQ9" s="237"/>
      <c r="AR9" s="237"/>
      <c r="AS9" s="304"/>
      <c r="AT9" s="305"/>
      <c r="AU9" s="304"/>
      <c r="AV9" s="304"/>
      <c r="AW9" s="305"/>
    </row>
    <row r="10" spans="1:55" ht="14.25" thickTop="1" thickBot="1" x14ac:dyDescent="0.25">
      <c r="A10" s="187">
        <v>8</v>
      </c>
      <c r="B10" s="194" t="s">
        <v>103</v>
      </c>
      <c r="C10" s="266"/>
      <c r="D10" s="267">
        <v>7</v>
      </c>
      <c r="E10" s="267" t="s">
        <v>157</v>
      </c>
      <c r="F10" s="267" t="s">
        <v>182</v>
      </c>
      <c r="G10" s="268"/>
      <c r="H10" s="269"/>
      <c r="I10" s="1"/>
      <c r="J10" s="593">
        <v>1</v>
      </c>
      <c r="K10" s="7" t="s">
        <v>214</v>
      </c>
      <c r="L10" s="184">
        <v>7</v>
      </c>
      <c r="M10" s="184">
        <v>51</v>
      </c>
      <c r="N10" s="8">
        <f t="shared" si="0"/>
        <v>0</v>
      </c>
      <c r="O10" t="s">
        <v>222</v>
      </c>
      <c r="P10" s="278" t="s">
        <v>71</v>
      </c>
      <c r="Q10" s="279" t="s">
        <v>687</v>
      </c>
      <c r="S10" s="10" t="s">
        <v>225</v>
      </c>
      <c r="T10" s="11"/>
      <c r="U10" s="5" t="s">
        <v>236</v>
      </c>
      <c r="V10" s="6"/>
      <c r="X10" s="293" t="s">
        <v>243</v>
      </c>
      <c r="Y10" s="294"/>
      <c r="Z10" s="294"/>
      <c r="AA10" s="294"/>
      <c r="AB10" s="294"/>
      <c r="AC10" s="295"/>
      <c r="AD10" s="769">
        <v>7</v>
      </c>
      <c r="AE10" s="770" t="s">
        <v>592</v>
      </c>
      <c r="AI10" s="303"/>
      <c r="AJ10" s="304"/>
      <c r="AK10" s="237"/>
      <c r="AL10" s="637"/>
      <c r="AM10" s="237"/>
      <c r="AN10" s="237"/>
      <c r="AO10" s="237"/>
      <c r="AP10" s="237"/>
      <c r="AQ10" s="237"/>
      <c r="AR10" s="237"/>
      <c r="AS10" s="304"/>
      <c r="AT10" s="305"/>
      <c r="AU10" s="304"/>
      <c r="AV10" s="304"/>
      <c r="AW10" s="305"/>
    </row>
    <row r="11" spans="1:55" ht="27" thickTop="1" thickBot="1" x14ac:dyDescent="0.25">
      <c r="A11" s="187">
        <v>9</v>
      </c>
      <c r="B11" s="194" t="s">
        <v>105</v>
      </c>
      <c r="C11" s="266"/>
      <c r="D11" s="267">
        <v>8</v>
      </c>
      <c r="E11" s="267" t="s">
        <v>158</v>
      </c>
      <c r="F11" s="267" t="s">
        <v>183</v>
      </c>
      <c r="G11" s="268"/>
      <c r="H11" s="269"/>
      <c r="I11" s="192"/>
      <c r="J11" s="198" t="s">
        <v>536</v>
      </c>
      <c r="K11" s="7" t="s">
        <v>214</v>
      </c>
      <c r="L11" s="184">
        <v>8</v>
      </c>
      <c r="M11" s="184">
        <v>51</v>
      </c>
      <c r="N11" s="8">
        <f t="shared" si="0"/>
        <v>0</v>
      </c>
      <c r="O11" t="s">
        <v>222</v>
      </c>
      <c r="P11" s="270" t="s">
        <v>232</v>
      </c>
      <c r="Q11" s="269" t="s">
        <v>73</v>
      </c>
      <c r="S11" s="7">
        <v>1</v>
      </c>
      <c r="T11" s="8" t="s">
        <v>218</v>
      </c>
      <c r="U11" s="7">
        <v>1</v>
      </c>
      <c r="V11" s="8" t="s">
        <v>226</v>
      </c>
      <c r="X11" s="296" t="s">
        <v>222</v>
      </c>
      <c r="Y11" s="287" t="s">
        <v>242</v>
      </c>
      <c r="Z11" s="287" t="s">
        <v>246</v>
      </c>
      <c r="AA11" s="287" t="s">
        <v>247</v>
      </c>
      <c r="AB11" s="287" t="s">
        <v>248</v>
      </c>
      <c r="AC11" s="297" t="s">
        <v>249</v>
      </c>
      <c r="AD11" s="769">
        <v>8</v>
      </c>
      <c r="AE11" s="771" t="s">
        <v>593</v>
      </c>
      <c r="AI11" s="303"/>
      <c r="AJ11" s="304"/>
      <c r="AK11" s="307" t="s">
        <v>463</v>
      </c>
      <c r="AL11" s="637">
        <v>1</v>
      </c>
      <c r="AM11" s="237"/>
      <c r="AN11" s="237"/>
      <c r="AO11" s="237"/>
      <c r="AP11" s="237"/>
      <c r="AQ11" s="237"/>
      <c r="AR11" s="237"/>
      <c r="AS11" s="304"/>
      <c r="AT11" s="305"/>
      <c r="AU11" s="304"/>
      <c r="AV11" s="304"/>
      <c r="AW11" s="305"/>
    </row>
    <row r="12" spans="1:55" ht="39" thickBot="1" x14ac:dyDescent="0.25">
      <c r="A12" s="187">
        <v>10</v>
      </c>
      <c r="B12" s="194" t="s">
        <v>107</v>
      </c>
      <c r="C12" s="266"/>
      <c r="D12" s="267">
        <v>9</v>
      </c>
      <c r="E12" s="267" t="s">
        <v>159</v>
      </c>
      <c r="F12" s="267" t="s">
        <v>184</v>
      </c>
      <c r="G12" s="268"/>
      <c r="H12" s="269"/>
      <c r="I12" s="16">
        <v>1</v>
      </c>
      <c r="J12" s="35" t="s">
        <v>221</v>
      </c>
      <c r="K12" s="7" t="s">
        <v>214</v>
      </c>
      <c r="L12" s="184">
        <v>9</v>
      </c>
      <c r="M12" s="184">
        <v>51</v>
      </c>
      <c r="N12" s="8">
        <f t="shared" si="0"/>
        <v>0</v>
      </c>
      <c r="O12" t="s">
        <v>222</v>
      </c>
      <c r="P12" s="270" t="s">
        <v>80</v>
      </c>
      <c r="Q12" s="269" t="s">
        <v>83</v>
      </c>
      <c r="S12" s="7">
        <v>2</v>
      </c>
      <c r="T12" s="8" t="s">
        <v>219</v>
      </c>
      <c r="U12" s="7">
        <v>2</v>
      </c>
      <c r="V12" s="8" t="s">
        <v>227</v>
      </c>
      <c r="X12" s="32">
        <v>1</v>
      </c>
      <c r="Y12" s="22">
        <v>25</v>
      </c>
      <c r="Z12" s="22">
        <v>2.37</v>
      </c>
      <c r="AA12" s="22">
        <v>2.37</v>
      </c>
      <c r="AB12" s="210">
        <v>2.37</v>
      </c>
      <c r="AC12" s="211">
        <v>0</v>
      </c>
      <c r="AD12" s="769">
        <v>9</v>
      </c>
      <c r="AE12" s="771" t="s">
        <v>594</v>
      </c>
      <c r="AI12" s="308"/>
      <c r="AJ12" s="309"/>
      <c r="AK12" s="310" t="s">
        <v>735</v>
      </c>
      <c r="AL12" s="638">
        <v>1</v>
      </c>
      <c r="AM12" s="311"/>
      <c r="AN12" s="311"/>
      <c r="AO12" s="311"/>
      <c r="AP12" s="311"/>
      <c r="AQ12" s="311"/>
      <c r="AR12" s="311"/>
      <c r="AS12" s="309"/>
      <c r="AT12" s="312"/>
      <c r="AU12" s="309"/>
      <c r="AV12" s="309"/>
      <c r="AW12" s="312"/>
    </row>
    <row r="13" spans="1:55" ht="14.25" thickTop="1" thickBot="1" x14ac:dyDescent="0.25">
      <c r="A13" s="187">
        <v>11</v>
      </c>
      <c r="B13" s="194" t="s">
        <v>109</v>
      </c>
      <c r="C13" s="266"/>
      <c r="D13" s="267">
        <v>10</v>
      </c>
      <c r="E13" s="267" t="s">
        <v>160</v>
      </c>
      <c r="F13" s="267" t="s">
        <v>185</v>
      </c>
      <c r="G13" s="268"/>
      <c r="H13" s="269"/>
      <c r="I13" s="16">
        <v>2</v>
      </c>
      <c r="J13" s="35" t="s">
        <v>318</v>
      </c>
      <c r="K13" s="7" t="s">
        <v>214</v>
      </c>
      <c r="L13" s="184">
        <v>10</v>
      </c>
      <c r="M13" s="184">
        <v>51</v>
      </c>
      <c r="N13" s="8">
        <f t="shared" si="0"/>
        <v>0</v>
      </c>
      <c r="O13" t="s">
        <v>222</v>
      </c>
      <c r="P13" s="270" t="s">
        <v>233</v>
      </c>
      <c r="Q13" s="269" t="s">
        <v>74</v>
      </c>
      <c r="S13" s="9" t="s">
        <v>228</v>
      </c>
      <c r="T13" s="629">
        <v>2</v>
      </c>
      <c r="U13" s="7">
        <v>3</v>
      </c>
      <c r="V13" s="8" t="s">
        <v>220</v>
      </c>
      <c r="X13" s="32">
        <v>2</v>
      </c>
      <c r="Y13" s="15">
        <v>50</v>
      </c>
      <c r="Z13" s="15">
        <v>2.37</v>
      </c>
      <c r="AA13" s="15">
        <v>2.19</v>
      </c>
      <c r="AB13" s="15">
        <v>2.02</v>
      </c>
      <c r="AC13" s="118">
        <v>-9.84</v>
      </c>
      <c r="AD13" s="772">
        <v>10</v>
      </c>
      <c r="AE13" s="166" t="s">
        <v>520</v>
      </c>
    </row>
    <row r="14" spans="1:55" ht="14.25" thickTop="1" thickBot="1" x14ac:dyDescent="0.25">
      <c r="A14" s="187">
        <v>12</v>
      </c>
      <c r="B14" s="194" t="s">
        <v>111</v>
      </c>
      <c r="C14" s="266"/>
      <c r="D14" s="267">
        <v>11</v>
      </c>
      <c r="E14" s="267" t="s">
        <v>161</v>
      </c>
      <c r="F14" s="267" t="s">
        <v>186</v>
      </c>
      <c r="G14" s="268"/>
      <c r="H14" s="269"/>
      <c r="I14" s="1"/>
      <c r="J14" s="593">
        <v>1</v>
      </c>
      <c r="K14" s="7" t="s">
        <v>214</v>
      </c>
      <c r="L14" s="184">
        <v>11</v>
      </c>
      <c r="M14" s="184">
        <v>51</v>
      </c>
      <c r="N14" s="8">
        <f t="shared" si="0"/>
        <v>0</v>
      </c>
      <c r="O14" t="s">
        <v>222</v>
      </c>
      <c r="P14" s="270" t="s">
        <v>81</v>
      </c>
      <c r="Q14" s="269" t="s">
        <v>79</v>
      </c>
      <c r="T14" s="625">
        <v>1</v>
      </c>
      <c r="U14" s="284" t="s">
        <v>228</v>
      </c>
      <c r="V14" s="630">
        <v>2</v>
      </c>
      <c r="X14" s="32">
        <v>3</v>
      </c>
      <c r="Y14" s="15">
        <v>100</v>
      </c>
      <c r="Z14" s="15">
        <v>2</v>
      </c>
      <c r="AA14" s="15">
        <v>1.8</v>
      </c>
      <c r="AB14" s="15">
        <v>1.67</v>
      </c>
      <c r="AC14" s="118">
        <v>-13.12</v>
      </c>
      <c r="AE14" s="636">
        <v>4</v>
      </c>
      <c r="AK14" s="153"/>
      <c r="AL14" s="154"/>
      <c r="AM14" s="154"/>
      <c r="AN14" s="154"/>
      <c r="AO14" s="154"/>
      <c r="AP14" s="154"/>
      <c r="AQ14" s="154"/>
      <c r="AR14" s="154"/>
      <c r="AS14" s="154"/>
      <c r="AT14" s="154"/>
      <c r="AU14" s="154"/>
      <c r="AV14" s="154"/>
      <c r="AW14" s="155"/>
    </row>
    <row r="15" spans="1:55" ht="52.5" thickTop="1" thickBot="1" x14ac:dyDescent="0.25">
      <c r="A15" s="187">
        <v>13</v>
      </c>
      <c r="B15" s="194" t="s">
        <v>113</v>
      </c>
      <c r="C15" s="266"/>
      <c r="D15" s="267">
        <v>12</v>
      </c>
      <c r="E15" s="267" t="s">
        <v>162</v>
      </c>
      <c r="F15" s="267" t="s">
        <v>187</v>
      </c>
      <c r="G15" s="268"/>
      <c r="H15" s="269"/>
      <c r="I15" s="4"/>
      <c r="J15" s="468"/>
      <c r="K15" s="7" t="s">
        <v>214</v>
      </c>
      <c r="L15" s="184">
        <v>12</v>
      </c>
      <c r="M15" s="184">
        <v>51</v>
      </c>
      <c r="N15" s="8">
        <f t="shared" si="0"/>
        <v>0</v>
      </c>
      <c r="O15" t="s">
        <v>222</v>
      </c>
      <c r="P15" s="270" t="s">
        <v>234</v>
      </c>
      <c r="Q15" s="269" t="s">
        <v>75</v>
      </c>
      <c r="S15" s="162"/>
      <c r="T15" s="192"/>
      <c r="U15" s="285" t="s">
        <v>239</v>
      </c>
      <c r="V15" s="631">
        <f>T18*V19</f>
        <v>0.59209999999999996</v>
      </c>
      <c r="X15" s="32">
        <v>4</v>
      </c>
      <c r="Y15" s="15">
        <v>200</v>
      </c>
      <c r="Z15" s="15">
        <v>1.51</v>
      </c>
      <c r="AA15" s="15">
        <v>1.42</v>
      </c>
      <c r="AB15" s="15">
        <v>1.32</v>
      </c>
      <c r="AC15" s="118">
        <v>-16.399999999999999</v>
      </c>
      <c r="AD15" s="206"/>
      <c r="AE15" s="167" t="s">
        <v>537</v>
      </c>
      <c r="AI15" s="184"/>
      <c r="AJ15" s="184"/>
      <c r="AK15" s="184"/>
      <c r="AL15" s="639"/>
      <c r="AM15" s="639"/>
      <c r="AN15" s="639"/>
      <c r="AO15" s="639"/>
      <c r="AP15" s="640"/>
      <c r="AQ15" s="640"/>
      <c r="AR15" s="639"/>
      <c r="AS15" s="639"/>
      <c r="AT15" s="639"/>
      <c r="AU15" s="639"/>
      <c r="AV15" s="639"/>
      <c r="AW15" s="184"/>
      <c r="AX15" s="184"/>
      <c r="AY15" s="184"/>
    </row>
    <row r="16" spans="1:55" ht="13.5" thickTop="1" x14ac:dyDescent="0.2">
      <c r="A16" s="187">
        <v>14</v>
      </c>
      <c r="B16" s="194" t="s">
        <v>115</v>
      </c>
      <c r="C16" s="270"/>
      <c r="D16" s="268"/>
      <c r="E16" s="268"/>
      <c r="F16" s="267" t="s">
        <v>188</v>
      </c>
      <c r="G16" s="268"/>
      <c r="H16" s="269"/>
      <c r="I16" s="196"/>
      <c r="J16" s="469"/>
      <c r="K16" s="7" t="s">
        <v>214</v>
      </c>
      <c r="L16" s="184">
        <v>13</v>
      </c>
      <c r="M16" s="184">
        <v>51</v>
      </c>
      <c r="N16" s="8">
        <f t="shared" si="0"/>
        <v>0</v>
      </c>
      <c r="O16" t="s">
        <v>222</v>
      </c>
      <c r="P16" s="270" t="s">
        <v>77</v>
      </c>
      <c r="Q16" s="269" t="s">
        <v>78</v>
      </c>
      <c r="S16" s="32">
        <v>1</v>
      </c>
      <c r="T16" s="16">
        <v>1.25</v>
      </c>
      <c r="U16" s="4">
        <v>1</v>
      </c>
      <c r="V16" s="632">
        <v>1</v>
      </c>
      <c r="X16" s="32">
        <v>5</v>
      </c>
      <c r="Y16" s="15">
        <v>300</v>
      </c>
      <c r="Z16" s="15">
        <v>1.4</v>
      </c>
      <c r="AA16" s="15">
        <v>1.3</v>
      </c>
      <c r="AB16" s="15">
        <v>1.22</v>
      </c>
      <c r="AC16" s="118">
        <v>-82.02</v>
      </c>
      <c r="AD16" s="207">
        <v>1</v>
      </c>
      <c r="AE16" s="164" t="s">
        <v>427</v>
      </c>
      <c r="AI16" s="184"/>
      <c r="AJ16" s="184"/>
      <c r="AK16" s="641"/>
      <c r="AL16" s="642"/>
      <c r="AM16" s="642"/>
      <c r="AN16" s="642"/>
      <c r="AO16" s="642"/>
      <c r="AP16" s="642"/>
      <c r="AQ16" s="642"/>
      <c r="AR16" s="642"/>
      <c r="AS16" s="642"/>
      <c r="AT16" s="642"/>
      <c r="AU16" s="642"/>
      <c r="AV16" s="642"/>
      <c r="AW16" s="184"/>
      <c r="AX16" s="184"/>
      <c r="AY16" s="184"/>
    </row>
    <row r="17" spans="1:51" ht="13.5" thickBot="1" x14ac:dyDescent="0.25">
      <c r="A17" s="187">
        <v>15</v>
      </c>
      <c r="B17" s="194" t="s">
        <v>98</v>
      </c>
      <c r="C17" s="271"/>
      <c r="D17" s="272"/>
      <c r="E17" s="268"/>
      <c r="F17" s="267" t="s">
        <v>189</v>
      </c>
      <c r="G17" s="268"/>
      <c r="H17" s="269"/>
      <c r="I17" s="470"/>
      <c r="J17" s="471"/>
      <c r="K17" s="7" t="s">
        <v>214</v>
      </c>
      <c r="L17" s="184">
        <v>14</v>
      </c>
      <c r="M17" s="184">
        <v>51</v>
      </c>
      <c r="N17" s="8">
        <f t="shared" si="0"/>
        <v>0</v>
      </c>
      <c r="O17" t="s">
        <v>222</v>
      </c>
      <c r="P17" s="270" t="s">
        <v>235</v>
      </c>
      <c r="Q17" s="269" t="s">
        <v>76</v>
      </c>
      <c r="S17" s="32">
        <v>2</v>
      </c>
      <c r="T17" s="16">
        <v>1</v>
      </c>
      <c r="U17" s="4">
        <v>2</v>
      </c>
      <c r="V17" s="632">
        <v>0.59209999999999996</v>
      </c>
      <c r="X17" s="32">
        <v>6</v>
      </c>
      <c r="Y17" s="15">
        <v>400</v>
      </c>
      <c r="Z17" s="15">
        <v>1.24</v>
      </c>
      <c r="AA17" s="15">
        <v>1.1599999999999999</v>
      </c>
      <c r="AB17" s="15">
        <v>1.0900000000000001</v>
      </c>
      <c r="AC17" s="118">
        <v>-180.44</v>
      </c>
      <c r="AD17" s="207">
        <v>2</v>
      </c>
      <c r="AE17" s="164" t="s">
        <v>428</v>
      </c>
      <c r="AI17" s="184"/>
      <c r="AJ17" s="184"/>
      <c r="AK17" s="643"/>
      <c r="AL17" s="642"/>
      <c r="AM17" s="642"/>
      <c r="AN17" s="642"/>
      <c r="AO17" s="642"/>
      <c r="AP17" s="642"/>
      <c r="AQ17" s="642"/>
      <c r="AR17" s="184"/>
      <c r="AS17" s="642"/>
      <c r="AT17" s="642"/>
      <c r="AU17" s="642"/>
      <c r="AV17" s="642"/>
      <c r="AW17" s="644"/>
      <c r="AX17" s="184"/>
      <c r="AY17" s="184"/>
    </row>
    <row r="18" spans="1:51" ht="14.25" thickTop="1" thickBot="1" x14ac:dyDescent="0.25">
      <c r="A18" s="187">
        <v>16</v>
      </c>
      <c r="B18" s="194" t="s">
        <v>116</v>
      </c>
      <c r="C18" s="273"/>
      <c r="D18" s="274"/>
      <c r="E18" s="268"/>
      <c r="F18" s="267" t="s">
        <v>190</v>
      </c>
      <c r="G18" s="268"/>
      <c r="H18" s="269"/>
      <c r="I18" s="197"/>
      <c r="J18" s="472"/>
      <c r="K18" s="7" t="s">
        <v>214</v>
      </c>
      <c r="L18" s="184">
        <v>15</v>
      </c>
      <c r="M18" s="184">
        <v>51</v>
      </c>
      <c r="N18" s="8">
        <f t="shared" si="0"/>
        <v>0</v>
      </c>
      <c r="P18" s="280" t="s">
        <v>82</v>
      </c>
      <c r="Q18" s="281"/>
      <c r="S18" s="32" t="s">
        <v>228</v>
      </c>
      <c r="T18" s="16">
        <f>VLOOKUP(T13,S16:T17,2)</f>
        <v>1</v>
      </c>
      <c r="U18" s="4">
        <v>3</v>
      </c>
      <c r="V18" s="632">
        <v>1.9419999999999999</v>
      </c>
      <c r="X18" s="298"/>
      <c r="Y18" s="288" t="s">
        <v>245</v>
      </c>
      <c r="Z18" s="288"/>
      <c r="AA18" s="288"/>
      <c r="AB18" s="288"/>
      <c r="AC18" s="299"/>
      <c r="AD18" s="207">
        <v>3</v>
      </c>
      <c r="AE18" s="164" t="s">
        <v>347</v>
      </c>
      <c r="AI18" s="184"/>
      <c r="AJ18" s="184"/>
      <c r="AK18" s="641"/>
      <c r="AL18" s="642"/>
      <c r="AM18" s="642"/>
      <c r="AN18" s="642"/>
      <c r="AO18" s="642"/>
      <c r="AP18" s="642"/>
      <c r="AQ18" s="642"/>
      <c r="AR18" s="184"/>
      <c r="AS18" s="642"/>
      <c r="AT18" s="642"/>
      <c r="AU18" s="642"/>
      <c r="AV18" s="642"/>
      <c r="AW18" s="644"/>
      <c r="AX18" s="184"/>
      <c r="AY18" s="184"/>
    </row>
    <row r="19" spans="1:51" ht="14.25" thickTop="1" thickBot="1" x14ac:dyDescent="0.25">
      <c r="A19" s="187">
        <v>17</v>
      </c>
      <c r="B19" s="194" t="s">
        <v>92</v>
      </c>
      <c r="C19" s="273"/>
      <c r="D19" s="274"/>
      <c r="E19" s="268"/>
      <c r="F19" s="267" t="s">
        <v>191</v>
      </c>
      <c r="G19" s="268"/>
      <c r="H19" s="269"/>
      <c r="I19" s="192"/>
      <c r="J19" s="20" t="s">
        <v>648</v>
      </c>
      <c r="K19" s="7" t="s">
        <v>214</v>
      </c>
      <c r="L19" s="184">
        <v>16</v>
      </c>
      <c r="M19" s="184">
        <v>51</v>
      </c>
      <c r="N19" s="8">
        <f t="shared" si="0"/>
        <v>0</v>
      </c>
      <c r="P19" s="270" t="str">
        <f>IF(AND(LOCATION!D19&lt;96.9999,LOCATION!D19&gt;94.999),"West","")</f>
        <v/>
      </c>
      <c r="Q19" s="269"/>
      <c r="S19" s="32"/>
      <c r="T19" s="16" t="s">
        <v>241</v>
      </c>
      <c r="U19" s="16"/>
      <c r="V19" s="587">
        <f>VLOOKUP(V14,U16:V18,2)</f>
        <v>0.59209999999999996</v>
      </c>
      <c r="X19" s="32">
        <v>1</v>
      </c>
      <c r="Y19" s="22">
        <v>25</v>
      </c>
      <c r="Z19" s="22">
        <v>2.77</v>
      </c>
      <c r="AA19" s="22">
        <v>2.77</v>
      </c>
      <c r="AB19" s="22">
        <v>2.77</v>
      </c>
      <c r="AC19" s="212">
        <v>0</v>
      </c>
      <c r="AD19" s="208">
        <v>4</v>
      </c>
      <c r="AE19" s="164" t="s">
        <v>348</v>
      </c>
      <c r="AI19" s="184"/>
      <c r="AJ19" s="184"/>
      <c r="AK19" s="641"/>
      <c r="AL19" s="642"/>
      <c r="AM19" s="642"/>
      <c r="AN19" s="642"/>
      <c r="AO19" s="642"/>
      <c r="AP19" s="642"/>
      <c r="AQ19" s="642"/>
      <c r="AR19" s="642"/>
      <c r="AS19" s="642"/>
      <c r="AT19" s="642"/>
      <c r="AU19" s="642"/>
      <c r="AV19" s="642"/>
      <c r="AW19" s="644"/>
      <c r="AX19" s="184"/>
      <c r="AY19" s="184"/>
    </row>
    <row r="20" spans="1:51" ht="14.25" thickTop="1" thickBot="1" x14ac:dyDescent="0.25">
      <c r="A20" s="187">
        <v>18</v>
      </c>
      <c r="B20" s="194" t="s">
        <v>120</v>
      </c>
      <c r="C20" s="273"/>
      <c r="D20" s="274"/>
      <c r="E20" s="268"/>
      <c r="F20" s="267" t="s">
        <v>192</v>
      </c>
      <c r="G20" s="268"/>
      <c r="H20" s="269"/>
      <c r="I20" s="232">
        <v>1</v>
      </c>
      <c r="J20" s="4" t="s">
        <v>477</v>
      </c>
      <c r="K20" s="7" t="s">
        <v>214</v>
      </c>
      <c r="L20" s="184">
        <v>17</v>
      </c>
      <c r="M20" s="184">
        <v>51</v>
      </c>
      <c r="N20" s="8">
        <f t="shared" si="0"/>
        <v>0</v>
      </c>
      <c r="P20" s="270" t="str">
        <f>IF(AND(LOCATION!D19&gt;93.99999,LOCATION!D19&lt;94.999),"Transition West-WestCentral","")</f>
        <v/>
      </c>
      <c r="Q20" s="269"/>
      <c r="S20" s="32"/>
      <c r="T20" s="16" t="s">
        <v>237</v>
      </c>
      <c r="U20" s="16" t="s">
        <v>228</v>
      </c>
      <c r="V20" s="587">
        <v>2</v>
      </c>
      <c r="X20" s="32">
        <v>2</v>
      </c>
      <c r="Y20" s="15">
        <v>50</v>
      </c>
      <c r="Z20" s="15">
        <v>2.77</v>
      </c>
      <c r="AA20" s="15">
        <v>2.56</v>
      </c>
      <c r="AB20" s="15">
        <v>2.37</v>
      </c>
      <c r="AC20" s="118">
        <v>-9.84</v>
      </c>
      <c r="AD20" s="208">
        <v>5</v>
      </c>
      <c r="AE20" s="164" t="s">
        <v>350</v>
      </c>
      <c r="AI20" s="184"/>
      <c r="AJ20" s="184"/>
      <c r="AK20" s="643"/>
      <c r="AL20" s="642"/>
      <c r="AM20" s="642"/>
      <c r="AN20" s="642"/>
      <c r="AO20" s="642"/>
      <c r="AP20" s="642"/>
      <c r="AQ20" s="184"/>
      <c r="AR20" s="642"/>
      <c r="AS20" s="642"/>
      <c r="AT20" s="642"/>
      <c r="AU20" s="642"/>
      <c r="AV20" s="642"/>
      <c r="AW20" s="644"/>
      <c r="AX20" s="184"/>
      <c r="AY20" s="184"/>
    </row>
    <row r="21" spans="1:51" ht="14.25" thickTop="1" thickBot="1" x14ac:dyDescent="0.25">
      <c r="A21" s="187">
        <v>19</v>
      </c>
      <c r="B21" s="194" t="s">
        <v>121</v>
      </c>
      <c r="C21" s="273"/>
      <c r="D21" s="274">
        <v>2</v>
      </c>
      <c r="E21" s="268"/>
      <c r="F21" s="267" t="s">
        <v>193</v>
      </c>
      <c r="G21" s="268"/>
      <c r="H21" s="269"/>
      <c r="I21" s="232">
        <v>2</v>
      </c>
      <c r="J21" s="4" t="s">
        <v>318</v>
      </c>
      <c r="K21" s="7" t="s">
        <v>214</v>
      </c>
      <c r="L21" s="184">
        <v>18</v>
      </c>
      <c r="M21" s="184">
        <v>51</v>
      </c>
      <c r="N21" s="8">
        <f t="shared" si="0"/>
        <v>0</v>
      </c>
      <c r="P21" s="270" t="str">
        <f>IF(AND(LOCATION!D19&lt;90.4999,LOCATION!D19&gt;93.999),"WestCentral","")</f>
        <v/>
      </c>
      <c r="Q21" s="269"/>
      <c r="S21" s="33"/>
      <c r="T21" s="1"/>
      <c r="U21" s="1" t="s">
        <v>238</v>
      </c>
      <c r="V21" s="588">
        <f>VLOOKUP(V20,U16:V18,2)</f>
        <v>0.59209999999999996</v>
      </c>
      <c r="X21" s="32">
        <v>3</v>
      </c>
      <c r="Y21" s="15">
        <v>100</v>
      </c>
      <c r="Z21" s="15">
        <v>2.39</v>
      </c>
      <c r="AA21" s="15">
        <v>2.13</v>
      </c>
      <c r="AB21" s="15">
        <v>1.9</v>
      </c>
      <c r="AC21" s="118">
        <v>-13.12</v>
      </c>
      <c r="AD21" s="207">
        <v>6</v>
      </c>
      <c r="AE21" s="164" t="s">
        <v>351</v>
      </c>
      <c r="AI21" s="184"/>
      <c r="AJ21" s="184"/>
      <c r="AK21" s="643"/>
      <c r="AL21" s="642"/>
      <c r="AM21" s="642"/>
      <c r="AN21" s="642"/>
      <c r="AO21" s="642"/>
      <c r="AP21" s="642"/>
      <c r="AQ21" s="642"/>
      <c r="AR21" s="642"/>
      <c r="AS21" s="642"/>
      <c r="AT21" s="642"/>
      <c r="AU21" s="642"/>
      <c r="AV21" s="642"/>
      <c r="AW21" s="644"/>
      <c r="AX21" s="184"/>
      <c r="AY21" s="184"/>
    </row>
    <row r="22" spans="1:51" ht="14.25" thickTop="1" thickBot="1" x14ac:dyDescent="0.25">
      <c r="A22" s="187">
        <v>20</v>
      </c>
      <c r="B22" s="194" t="s">
        <v>122</v>
      </c>
      <c r="C22" s="273"/>
      <c r="D22" s="274"/>
      <c r="E22" s="268"/>
      <c r="F22" s="267" t="s">
        <v>194</v>
      </c>
      <c r="G22" s="268"/>
      <c r="H22" s="269"/>
      <c r="I22" s="232"/>
      <c r="J22" s="4"/>
      <c r="K22" s="7" t="s">
        <v>214</v>
      </c>
      <c r="L22" s="184">
        <v>19</v>
      </c>
      <c r="M22" s="184">
        <v>51</v>
      </c>
      <c r="N22" s="8">
        <f t="shared" si="0"/>
        <v>0</v>
      </c>
      <c r="P22" s="270" t="str">
        <f>IF(AND(LOCATION!D19&lt;90.4999,LOCATION!D19&gt;89.499),"Transition Central-WestCentral","")</f>
        <v/>
      </c>
      <c r="Q22" s="269"/>
      <c r="X22" s="32">
        <v>4</v>
      </c>
      <c r="Y22" s="15">
        <v>200</v>
      </c>
      <c r="Z22" s="15">
        <v>1.67</v>
      </c>
      <c r="AA22" s="15">
        <v>1.55</v>
      </c>
      <c r="AB22" s="15">
        <v>1.46</v>
      </c>
      <c r="AC22" s="118">
        <v>-16.399999999999999</v>
      </c>
      <c r="AD22" s="99">
        <v>7</v>
      </c>
      <c r="AE22" s="165" t="s">
        <v>349</v>
      </c>
      <c r="AI22" s="184"/>
      <c r="AJ22" s="184"/>
      <c r="AK22" s="641"/>
      <c r="AL22" s="642"/>
      <c r="AM22" s="642"/>
      <c r="AN22" s="642"/>
      <c r="AO22" s="642"/>
      <c r="AP22" s="642"/>
      <c r="AQ22" s="642"/>
      <c r="AR22" s="642"/>
      <c r="AS22" s="642"/>
      <c r="AT22" s="642"/>
      <c r="AU22" s="642"/>
      <c r="AV22" s="642"/>
      <c r="AW22" s="644"/>
      <c r="AX22" s="184"/>
      <c r="AY22" s="184"/>
    </row>
    <row r="23" spans="1:51" ht="14.25" thickTop="1" thickBot="1" x14ac:dyDescent="0.25">
      <c r="A23" s="187">
        <v>21</v>
      </c>
      <c r="B23" s="194" t="s">
        <v>124</v>
      </c>
      <c r="C23" s="273"/>
      <c r="D23" s="274"/>
      <c r="E23" s="268"/>
      <c r="F23" s="267" t="s">
        <v>195</v>
      </c>
      <c r="G23" s="268"/>
      <c r="H23" s="269"/>
      <c r="I23" s="232"/>
      <c r="J23" s="590">
        <v>1</v>
      </c>
      <c r="K23" s="7" t="s">
        <v>214</v>
      </c>
      <c r="L23" s="184">
        <v>20</v>
      </c>
      <c r="M23" s="184">
        <v>51</v>
      </c>
      <c r="N23" s="8">
        <f t="shared" si="0"/>
        <v>0</v>
      </c>
      <c r="P23" s="270" t="str">
        <f>IF(AND(LOCATION!D19&lt;89.4999,LOCATION!D19&gt;86.499),"Central","")</f>
        <v/>
      </c>
      <c r="Q23" s="269"/>
      <c r="X23" s="32">
        <v>5</v>
      </c>
      <c r="Y23" s="15">
        <v>300</v>
      </c>
      <c r="Z23" s="15">
        <v>1.49</v>
      </c>
      <c r="AA23" s="15">
        <v>1.4</v>
      </c>
      <c r="AB23" s="15">
        <v>1.32</v>
      </c>
      <c r="AC23" s="118">
        <v>-82.02</v>
      </c>
      <c r="AD23" s="209"/>
      <c r="AE23" s="635">
        <v>6</v>
      </c>
      <c r="AI23" s="184"/>
      <c r="AJ23" s="184"/>
      <c r="AK23" s="641"/>
      <c r="AL23" s="642"/>
      <c r="AM23" s="642"/>
      <c r="AN23" s="642"/>
      <c r="AO23" s="642"/>
      <c r="AP23" s="642"/>
      <c r="AQ23" s="642"/>
      <c r="AR23" s="642"/>
      <c r="AS23" s="642"/>
      <c r="AT23" s="642"/>
      <c r="AU23" s="642"/>
      <c r="AV23" s="642"/>
      <c r="AW23" s="644"/>
      <c r="AX23" s="184"/>
      <c r="AY23" s="184"/>
    </row>
    <row r="24" spans="1:51" ht="14.25" thickTop="1" thickBot="1" x14ac:dyDescent="0.25">
      <c r="A24" s="187">
        <v>22</v>
      </c>
      <c r="B24" s="194" t="s">
        <v>123</v>
      </c>
      <c r="C24" s="273"/>
      <c r="D24" s="274"/>
      <c r="E24" s="268"/>
      <c r="F24" s="267" t="s">
        <v>196</v>
      </c>
      <c r="G24" s="268"/>
      <c r="H24" s="269"/>
      <c r="I24" s="192"/>
      <c r="J24" s="192" t="s">
        <v>629</v>
      </c>
      <c r="K24" s="7" t="s">
        <v>214</v>
      </c>
      <c r="L24" s="184">
        <v>21</v>
      </c>
      <c r="M24" s="184">
        <v>51</v>
      </c>
      <c r="N24" s="8">
        <f t="shared" si="0"/>
        <v>0</v>
      </c>
      <c r="P24" s="270" t="str">
        <f>IF(AND(LOCATION!D19&lt;86.4999,LOCATION!D19&gt;85.499),"Transition East-Central","")</f>
        <v/>
      </c>
      <c r="Q24" s="269"/>
      <c r="X24" s="32">
        <v>6</v>
      </c>
      <c r="Y24" s="15">
        <v>400</v>
      </c>
      <c r="Z24" s="15">
        <v>1.32</v>
      </c>
      <c r="AA24" s="15">
        <v>1.24</v>
      </c>
      <c r="AB24" s="15">
        <v>1.1599999999999999</v>
      </c>
      <c r="AC24" s="118">
        <v>-180.44</v>
      </c>
      <c r="AD24" s="195"/>
      <c r="AE24" s="217" t="s">
        <v>460</v>
      </c>
      <c r="AI24" s="184"/>
      <c r="AJ24" s="184"/>
      <c r="AK24" s="641"/>
      <c r="AL24" s="642"/>
      <c r="AM24" s="642"/>
      <c r="AN24" s="642"/>
      <c r="AO24" s="642"/>
      <c r="AP24" s="642"/>
      <c r="AQ24" s="642"/>
      <c r="AR24" s="642"/>
      <c r="AS24" s="642"/>
      <c r="AT24" s="642"/>
      <c r="AU24" s="642"/>
      <c r="AV24" s="642"/>
      <c r="AW24" s="644"/>
      <c r="AX24" s="184"/>
      <c r="AY24" s="184"/>
    </row>
    <row r="25" spans="1:51" ht="13.5" thickBot="1" x14ac:dyDescent="0.25">
      <c r="A25" s="187">
        <v>23</v>
      </c>
      <c r="B25" s="194" t="s">
        <v>96</v>
      </c>
      <c r="C25" s="273"/>
      <c r="D25" s="274"/>
      <c r="E25" s="268"/>
      <c r="F25" s="267" t="s">
        <v>197</v>
      </c>
      <c r="G25" s="268"/>
      <c r="H25" s="269"/>
      <c r="I25" s="16"/>
      <c r="J25" s="16" t="s">
        <v>221</v>
      </c>
      <c r="K25" s="7" t="s">
        <v>214</v>
      </c>
      <c r="L25" s="184">
        <v>22</v>
      </c>
      <c r="M25" s="184">
        <v>51</v>
      </c>
      <c r="N25" s="8">
        <f t="shared" si="0"/>
        <v>0</v>
      </c>
      <c r="P25" s="270" t="str">
        <f>IF(AND(LOCATION!D19&lt;85.4999,LOCATION!D19&gt;82.399),"East","")</f>
        <v/>
      </c>
      <c r="Q25" s="269"/>
      <c r="X25" s="298"/>
      <c r="Y25" s="288" t="s">
        <v>244</v>
      </c>
      <c r="Z25" s="288"/>
      <c r="AA25" s="288"/>
      <c r="AB25" s="288"/>
      <c r="AC25" s="299"/>
      <c r="AD25" s="289" t="s">
        <v>222</v>
      </c>
      <c r="AE25" s="3" t="s">
        <v>222</v>
      </c>
      <c r="AF25" s="16"/>
      <c r="AI25" s="184"/>
      <c r="AJ25" s="184"/>
      <c r="AK25" s="643"/>
      <c r="AL25" s="642"/>
      <c r="AM25" s="642"/>
      <c r="AN25" s="642"/>
      <c r="AO25" s="642"/>
      <c r="AP25" s="642"/>
      <c r="AQ25" s="642"/>
      <c r="AR25" s="184"/>
      <c r="AS25" s="642"/>
      <c r="AT25" s="642"/>
      <c r="AU25" s="642"/>
      <c r="AV25" s="642"/>
      <c r="AW25" s="644"/>
      <c r="AX25" s="184"/>
      <c r="AY25" s="184"/>
    </row>
    <row r="26" spans="1:51" x14ac:dyDescent="0.2">
      <c r="A26" s="187">
        <v>24</v>
      </c>
      <c r="B26" s="194" t="s">
        <v>119</v>
      </c>
      <c r="C26" s="273"/>
      <c r="D26" s="274"/>
      <c r="E26" s="268"/>
      <c r="F26" s="267" t="s">
        <v>198</v>
      </c>
      <c r="G26" s="268"/>
      <c r="H26" s="269"/>
      <c r="I26" s="16"/>
      <c r="J26" s="16" t="s">
        <v>318</v>
      </c>
      <c r="K26" s="7" t="s">
        <v>214</v>
      </c>
      <c r="L26" s="184">
        <v>23</v>
      </c>
      <c r="M26" s="184">
        <v>51</v>
      </c>
      <c r="N26" s="8">
        <f t="shared" si="0"/>
        <v>0</v>
      </c>
      <c r="P26" s="282"/>
      <c r="Q26" s="269"/>
      <c r="X26" s="32">
        <v>1</v>
      </c>
      <c r="Y26" s="22">
        <v>25</v>
      </c>
      <c r="Z26" s="22">
        <v>1.57</v>
      </c>
      <c r="AA26" s="22">
        <v>1.57</v>
      </c>
      <c r="AB26" s="22">
        <v>1.57</v>
      </c>
      <c r="AC26" s="212">
        <v>0</v>
      </c>
      <c r="AD26" s="289" t="s">
        <v>222</v>
      </c>
      <c r="AE26" s="3" t="s">
        <v>462</v>
      </c>
      <c r="AF26" s="16"/>
      <c r="AI26" s="184"/>
      <c r="AJ26" s="184"/>
      <c r="AK26" s="641"/>
      <c r="AL26" s="642"/>
      <c r="AM26" s="642"/>
      <c r="AN26" s="642"/>
      <c r="AO26" s="642"/>
      <c r="AP26" s="642"/>
      <c r="AQ26" s="642"/>
      <c r="AR26" s="184"/>
      <c r="AS26" s="642"/>
      <c r="AT26" s="642"/>
      <c r="AU26" s="642"/>
      <c r="AV26" s="642"/>
      <c r="AW26" s="644"/>
      <c r="AX26" s="184"/>
      <c r="AY26" s="184"/>
    </row>
    <row r="27" spans="1:51" ht="13.5" thickBot="1" x14ac:dyDescent="0.25">
      <c r="A27" s="187">
        <v>25</v>
      </c>
      <c r="B27" s="194" t="s">
        <v>94</v>
      </c>
      <c r="C27" s="273"/>
      <c r="D27" s="274"/>
      <c r="E27" s="268"/>
      <c r="F27" s="267" t="s">
        <v>199</v>
      </c>
      <c r="G27" s="268"/>
      <c r="H27" s="269"/>
      <c r="I27" s="1"/>
      <c r="J27" s="622">
        <v>1</v>
      </c>
      <c r="K27" s="7" t="s">
        <v>214</v>
      </c>
      <c r="L27" s="184">
        <v>24</v>
      </c>
      <c r="M27" s="184">
        <v>51</v>
      </c>
      <c r="N27" s="8">
        <f t="shared" si="0"/>
        <v>0</v>
      </c>
      <c r="P27" s="270"/>
      <c r="Q27" s="269"/>
      <c r="X27" s="32">
        <v>2</v>
      </c>
      <c r="Y27" s="15">
        <v>50</v>
      </c>
      <c r="Z27" s="15">
        <v>1.57</v>
      </c>
      <c r="AA27" s="15">
        <v>1.2470000000000001</v>
      </c>
      <c r="AB27" s="15">
        <v>1.36</v>
      </c>
      <c r="AC27" s="118">
        <v>-9.84</v>
      </c>
      <c r="AD27" s="4"/>
      <c r="AE27" s="3" t="s">
        <v>461</v>
      </c>
      <c r="AF27" s="16"/>
      <c r="AI27" s="184"/>
      <c r="AJ27" s="184"/>
      <c r="AK27" s="641"/>
      <c r="AL27" s="642"/>
      <c r="AM27" s="642"/>
      <c r="AN27" s="642"/>
      <c r="AO27" s="642"/>
      <c r="AP27" s="642"/>
      <c r="AQ27" s="642"/>
      <c r="AR27" s="184"/>
      <c r="AS27" s="642"/>
      <c r="AT27" s="642"/>
      <c r="AU27" s="642"/>
      <c r="AV27" s="642"/>
      <c r="AW27" s="644"/>
      <c r="AX27" s="184"/>
      <c r="AY27" s="184"/>
    </row>
    <row r="28" spans="1:51" ht="14.25" thickTop="1" thickBot="1" x14ac:dyDescent="0.25">
      <c r="A28" s="187">
        <v>26</v>
      </c>
      <c r="B28" s="194" t="s">
        <v>129</v>
      </c>
      <c r="C28" s="273"/>
      <c r="D28" s="274"/>
      <c r="E28" s="268"/>
      <c r="F28" s="267" t="s">
        <v>200</v>
      </c>
      <c r="G28" s="268"/>
      <c r="H28" s="269"/>
      <c r="I28" s="192"/>
      <c r="J28" s="192"/>
      <c r="K28" s="7" t="s">
        <v>214</v>
      </c>
      <c r="L28" s="184">
        <v>25</v>
      </c>
      <c r="M28" s="184">
        <v>51</v>
      </c>
      <c r="N28" s="8">
        <f t="shared" si="0"/>
        <v>0</v>
      </c>
      <c r="P28" s="283"/>
      <c r="Q28" s="276"/>
      <c r="X28" s="32">
        <v>3</v>
      </c>
      <c r="Y28" s="15">
        <v>100</v>
      </c>
      <c r="Z28" s="15">
        <v>1.51</v>
      </c>
      <c r="AA28" s="15">
        <v>1.4</v>
      </c>
      <c r="AB28" s="15">
        <v>1.22</v>
      </c>
      <c r="AC28" s="118">
        <v>-13.12</v>
      </c>
      <c r="AD28" s="290"/>
      <c r="AE28" s="634">
        <v>2</v>
      </c>
      <c r="AF28" s="16"/>
      <c r="AI28" s="184"/>
      <c r="AJ28" s="184"/>
      <c r="AK28" s="643"/>
      <c r="AL28" s="642"/>
      <c r="AM28" s="642"/>
      <c r="AN28" s="642"/>
      <c r="AO28" s="642"/>
      <c r="AP28" s="642"/>
      <c r="AQ28" s="642"/>
      <c r="AR28" s="184"/>
      <c r="AS28" s="642"/>
      <c r="AT28" s="642"/>
      <c r="AU28" s="642"/>
      <c r="AV28" s="642"/>
      <c r="AW28" s="645"/>
      <c r="AX28" s="184"/>
      <c r="AY28" s="184"/>
    </row>
    <row r="29" spans="1:51" ht="13.5" thickTop="1" x14ac:dyDescent="0.2">
      <c r="A29" s="187">
        <v>27</v>
      </c>
      <c r="B29" s="194" t="s">
        <v>104</v>
      </c>
      <c r="C29" s="273"/>
      <c r="D29" s="274"/>
      <c r="E29" s="268"/>
      <c r="F29" s="267" t="s">
        <v>201</v>
      </c>
      <c r="G29" s="268"/>
      <c r="H29" s="269"/>
      <c r="I29" s="16"/>
      <c r="J29" s="16"/>
      <c r="K29" s="7" t="s">
        <v>214</v>
      </c>
      <c r="L29" s="184">
        <v>26</v>
      </c>
      <c r="M29" s="184">
        <v>51</v>
      </c>
      <c r="N29" s="8">
        <f t="shared" si="0"/>
        <v>0</v>
      </c>
      <c r="X29" s="32">
        <v>4</v>
      </c>
      <c r="Y29" s="15">
        <v>200</v>
      </c>
      <c r="Z29" s="15">
        <v>1.1299999999999999</v>
      </c>
      <c r="AA29" s="15">
        <v>1.0900000000000001</v>
      </c>
      <c r="AB29" s="15">
        <v>0.99</v>
      </c>
      <c r="AC29" s="118">
        <v>-16.399999999999999</v>
      </c>
      <c r="AD29" s="16"/>
      <c r="AE29" s="16"/>
      <c r="AF29" s="16"/>
      <c r="AI29" s="184"/>
      <c r="AJ29" s="184"/>
      <c r="AK29" s="643"/>
      <c r="AL29" s="642"/>
      <c r="AM29" s="642"/>
      <c r="AN29" s="642"/>
      <c r="AO29" s="642"/>
      <c r="AP29" s="642"/>
      <c r="AQ29" s="642"/>
      <c r="AR29" s="184"/>
      <c r="AS29" s="642"/>
      <c r="AT29" s="642"/>
      <c r="AU29" s="642"/>
      <c r="AV29" s="642"/>
      <c r="AW29" s="646"/>
      <c r="AX29" s="184"/>
      <c r="AY29" s="184"/>
    </row>
    <row r="30" spans="1:51" ht="13.5" thickBot="1" x14ac:dyDescent="0.25">
      <c r="A30" s="187">
        <v>28</v>
      </c>
      <c r="B30" s="194" t="s">
        <v>131</v>
      </c>
      <c r="C30" s="273"/>
      <c r="D30" s="274"/>
      <c r="E30" s="268">
        <v>2</v>
      </c>
      <c r="F30" s="267" t="s">
        <v>202</v>
      </c>
      <c r="G30" s="268"/>
      <c r="H30" s="269"/>
      <c r="I30" s="16"/>
      <c r="J30" s="16"/>
      <c r="K30" s="7" t="s">
        <v>214</v>
      </c>
      <c r="L30" s="184">
        <v>27</v>
      </c>
      <c r="M30" s="184">
        <v>51</v>
      </c>
      <c r="N30" s="8">
        <f t="shared" si="0"/>
        <v>0</v>
      </c>
      <c r="X30" s="32">
        <v>5</v>
      </c>
      <c r="Y30" s="15">
        <v>300</v>
      </c>
      <c r="Z30" s="15">
        <v>1.1399999999999999</v>
      </c>
      <c r="AA30" s="15">
        <v>1.0900000000000001</v>
      </c>
      <c r="AB30" s="15">
        <v>1.01</v>
      </c>
      <c r="AC30" s="118">
        <v>-82.02</v>
      </c>
      <c r="AI30" s="184"/>
      <c r="AJ30" s="184"/>
      <c r="AK30" s="641"/>
      <c r="AL30" s="642"/>
      <c r="AM30" s="642"/>
      <c r="AN30" s="642"/>
      <c r="AO30" s="642"/>
      <c r="AP30" s="642"/>
      <c r="AQ30" s="642"/>
      <c r="AR30" s="184"/>
      <c r="AS30" s="642"/>
      <c r="AT30" s="642"/>
      <c r="AU30" s="642"/>
      <c r="AV30" s="642"/>
      <c r="AW30" s="646"/>
      <c r="AX30" s="184"/>
      <c r="AY30" s="184"/>
    </row>
    <row r="31" spans="1:51" ht="27.75" customHeight="1" thickTop="1" thickBot="1" x14ac:dyDescent="0.25">
      <c r="A31" s="187">
        <v>29</v>
      </c>
      <c r="B31" s="183" t="s">
        <v>133</v>
      </c>
      <c r="C31" s="273"/>
      <c r="D31" s="274"/>
      <c r="E31" s="268"/>
      <c r="F31" s="267" t="s">
        <v>203</v>
      </c>
      <c r="G31" s="268"/>
      <c r="H31" s="269"/>
      <c r="I31" s="1"/>
      <c r="J31" s="622"/>
      <c r="K31" s="7" t="s">
        <v>214</v>
      </c>
      <c r="L31" s="184">
        <v>28</v>
      </c>
      <c r="M31" s="184">
        <v>51</v>
      </c>
      <c r="N31" s="8">
        <f t="shared" si="0"/>
        <v>0</v>
      </c>
      <c r="X31" s="32">
        <v>6</v>
      </c>
      <c r="Y31" s="15">
        <v>400</v>
      </c>
      <c r="Z31" s="15">
        <v>1.07</v>
      </c>
      <c r="AA31" s="15">
        <v>1.03</v>
      </c>
      <c r="AB31" s="15">
        <v>0.95</v>
      </c>
      <c r="AC31" s="118">
        <v>-114.83</v>
      </c>
      <c r="AD31" s="291"/>
      <c r="AE31" s="300"/>
      <c r="AI31" s="1208"/>
      <c r="AJ31" s="1209"/>
      <c r="AK31" s="1209"/>
      <c r="AL31" s="184"/>
      <c r="AM31" s="642"/>
      <c r="AN31" s="642"/>
      <c r="AO31" s="642"/>
      <c r="AP31" s="642"/>
      <c r="AQ31" s="642"/>
      <c r="AR31" s="184"/>
      <c r="AS31" s="642"/>
      <c r="AT31" s="642"/>
      <c r="AU31" s="642"/>
      <c r="AV31" s="642"/>
      <c r="AW31" s="645"/>
      <c r="AX31" s="184"/>
      <c r="AY31" s="184"/>
    </row>
    <row r="32" spans="1:51" ht="14.25" thickTop="1" thickBot="1" x14ac:dyDescent="0.25">
      <c r="A32" s="187">
        <v>30</v>
      </c>
      <c r="B32" s="183" t="s">
        <v>134</v>
      </c>
      <c r="C32" s="273"/>
      <c r="D32" s="274"/>
      <c r="E32" s="268"/>
      <c r="F32" s="267" t="s">
        <v>204</v>
      </c>
      <c r="G32" s="268"/>
      <c r="H32" s="269"/>
      <c r="I32" s="192" t="s">
        <v>415</v>
      </c>
      <c r="J32" s="281"/>
      <c r="K32" s="7" t="s">
        <v>214</v>
      </c>
      <c r="L32" s="184">
        <v>29</v>
      </c>
      <c r="M32" s="184">
        <v>51</v>
      </c>
      <c r="N32" s="8">
        <f t="shared" si="0"/>
        <v>0</v>
      </c>
      <c r="X32" s="32"/>
      <c r="Y32" s="16"/>
      <c r="Z32" s="16"/>
      <c r="AA32" s="16"/>
      <c r="AB32" s="16"/>
      <c r="AC32" s="3"/>
      <c r="AD32" s="292"/>
      <c r="AE32" s="168"/>
      <c r="AI32" s="184"/>
      <c r="AJ32" s="184"/>
      <c r="AK32" s="643"/>
      <c r="AL32" s="642"/>
      <c r="AM32" s="642"/>
      <c r="AN32" s="642"/>
      <c r="AO32" s="642"/>
      <c r="AP32" s="642"/>
      <c r="AQ32" s="642"/>
      <c r="AR32" s="184"/>
      <c r="AS32" s="642"/>
      <c r="AT32" s="642"/>
      <c r="AU32" s="642"/>
      <c r="AV32" s="642"/>
      <c r="AW32" s="645"/>
      <c r="AX32" s="184"/>
      <c r="AY32" s="184"/>
    </row>
    <row r="33" spans="1:51" ht="14.25" thickTop="1" thickBot="1" x14ac:dyDescent="0.25">
      <c r="A33" s="187">
        <v>31</v>
      </c>
      <c r="B33" s="183" t="s">
        <v>136</v>
      </c>
      <c r="C33" s="273"/>
      <c r="D33" s="274"/>
      <c r="E33" s="268"/>
      <c r="F33" s="267" t="s">
        <v>205</v>
      </c>
      <c r="G33" s="268"/>
      <c r="H33" s="269"/>
      <c r="I33" s="16"/>
      <c r="J33" s="16" t="s">
        <v>221</v>
      </c>
      <c r="K33" s="7" t="s">
        <v>214</v>
      </c>
      <c r="L33" s="184">
        <v>30</v>
      </c>
      <c r="M33" s="184">
        <v>51</v>
      </c>
      <c r="N33" s="8">
        <f t="shared" si="0"/>
        <v>0</v>
      </c>
      <c r="X33" s="33"/>
      <c r="Y33" s="1" t="s">
        <v>250</v>
      </c>
      <c r="Z33" s="1"/>
      <c r="AA33" s="1"/>
      <c r="AB33" s="1"/>
      <c r="AC33" s="2"/>
      <c r="AD33" s="1"/>
      <c r="AE33" s="356" t="s">
        <v>705</v>
      </c>
      <c r="AI33" s="184"/>
      <c r="AJ33" s="184"/>
      <c r="AK33" s="641"/>
      <c r="AL33" s="642"/>
      <c r="AM33" s="642"/>
      <c r="AN33" s="642"/>
      <c r="AO33" s="642"/>
      <c r="AP33" s="642"/>
      <c r="AQ33" s="642"/>
      <c r="AR33" s="184"/>
      <c r="AS33" s="642"/>
      <c r="AT33" s="642"/>
      <c r="AU33" s="642"/>
      <c r="AV33" s="642"/>
      <c r="AW33" s="645"/>
      <c r="AX33" s="184"/>
      <c r="AY33" s="184"/>
    </row>
    <row r="34" spans="1:51" ht="14.25" thickTop="1" thickBot="1" x14ac:dyDescent="0.25">
      <c r="A34" s="187">
        <v>32</v>
      </c>
      <c r="B34" s="183" t="s">
        <v>137</v>
      </c>
      <c r="C34" s="273"/>
      <c r="D34" s="274"/>
      <c r="E34" s="268"/>
      <c r="F34" s="267" t="s">
        <v>206</v>
      </c>
      <c r="G34" s="268"/>
      <c r="H34" s="269"/>
      <c r="I34" s="16"/>
      <c r="J34" s="16" t="s">
        <v>318</v>
      </c>
      <c r="K34" s="7" t="s">
        <v>214</v>
      </c>
      <c r="L34" s="184">
        <v>31</v>
      </c>
      <c r="M34" s="184">
        <v>51</v>
      </c>
      <c r="N34" s="8">
        <f t="shared" si="0"/>
        <v>0</v>
      </c>
      <c r="AE34" s="633">
        <v>1</v>
      </c>
      <c r="AI34" s="184"/>
      <c r="AJ34" s="184"/>
      <c r="AK34" s="643"/>
      <c r="AL34" s="642"/>
      <c r="AM34" s="642"/>
      <c r="AN34" s="642"/>
      <c r="AO34" s="642"/>
      <c r="AP34" s="642"/>
      <c r="AQ34" s="642"/>
      <c r="AR34" s="184"/>
      <c r="AS34" s="642"/>
      <c r="AT34" s="642"/>
      <c r="AU34" s="642"/>
      <c r="AV34" s="642"/>
      <c r="AW34" s="645"/>
      <c r="AX34" s="184"/>
      <c r="AY34" s="184"/>
    </row>
    <row r="35" spans="1:51" ht="14.25" thickTop="1" thickBot="1" x14ac:dyDescent="0.25">
      <c r="A35" s="187">
        <v>33</v>
      </c>
      <c r="B35" s="183" t="s">
        <v>138</v>
      </c>
      <c r="C35" s="594"/>
      <c r="D35" s="595"/>
      <c r="E35" s="596" t="s">
        <v>172</v>
      </c>
      <c r="F35" s="597" t="s">
        <v>430</v>
      </c>
      <c r="G35" s="595" t="s">
        <v>431</v>
      </c>
      <c r="H35" s="277" t="s">
        <v>432</v>
      </c>
      <c r="I35" s="1"/>
      <c r="J35" s="622">
        <v>1</v>
      </c>
      <c r="K35" s="7" t="s">
        <v>214</v>
      </c>
      <c r="L35" s="184">
        <v>32</v>
      </c>
      <c r="M35" s="184">
        <v>51</v>
      </c>
      <c r="N35" s="8">
        <f t="shared" si="0"/>
        <v>0</v>
      </c>
      <c r="AI35" s="184"/>
      <c r="AJ35" s="184"/>
      <c r="AK35" s="641"/>
      <c r="AL35" s="184"/>
      <c r="AM35" s="184"/>
      <c r="AN35" s="184"/>
      <c r="AO35" s="184"/>
      <c r="AP35" s="184"/>
      <c r="AQ35" s="184"/>
      <c r="AR35" s="184"/>
      <c r="AS35" s="184"/>
      <c r="AT35" s="184"/>
      <c r="AU35" s="184"/>
      <c r="AV35" s="184"/>
      <c r="AW35" s="645"/>
      <c r="AX35" s="184"/>
      <c r="AY35" s="184"/>
    </row>
    <row r="36" spans="1:51" ht="13.5" thickTop="1" x14ac:dyDescent="0.2">
      <c r="A36" s="187">
        <v>34</v>
      </c>
      <c r="B36" s="183" t="s">
        <v>114</v>
      </c>
      <c r="C36" s="594"/>
      <c r="D36" s="598" t="s">
        <v>433</v>
      </c>
      <c r="E36" s="599">
        <v>5</v>
      </c>
      <c r="F36" s="599">
        <v>5</v>
      </c>
      <c r="G36" s="600" t="str">
        <f>CONCATENATE(E36,$E$38,F36,$E$38,$F$38)</f>
        <v>5/5/1900</v>
      </c>
      <c r="H36" s="621">
        <f>G36+$G$38</f>
        <v>126</v>
      </c>
      <c r="I36" s="192"/>
      <c r="J36" s="192"/>
      <c r="K36" s="7" t="s">
        <v>214</v>
      </c>
      <c r="L36" s="184">
        <v>33</v>
      </c>
      <c r="M36" s="184">
        <v>51</v>
      </c>
      <c r="N36" s="8">
        <f t="shared" ref="N36:N67" si="1">IF(AND(M36=$A$66,L36=$A$67),1,0)</f>
        <v>0</v>
      </c>
      <c r="X36" s="385" t="s">
        <v>173</v>
      </c>
      <c r="Y36" s="386" t="s">
        <v>720</v>
      </c>
      <c r="Z36" s="385" t="s">
        <v>173</v>
      </c>
      <c r="AA36" s="386" t="s">
        <v>720</v>
      </c>
      <c r="AI36" s="184"/>
      <c r="AJ36" s="184"/>
      <c r="AK36" s="641"/>
      <c r="AL36" s="645"/>
      <c r="AM36" s="645"/>
      <c r="AN36" s="645"/>
      <c r="AO36" s="645"/>
      <c r="AP36" s="645"/>
      <c r="AQ36" s="645"/>
      <c r="AR36" s="645"/>
      <c r="AS36" s="645"/>
      <c r="AT36" s="645"/>
      <c r="AU36" s="645"/>
      <c r="AV36" s="645"/>
      <c r="AW36" s="642"/>
      <c r="AX36" s="184"/>
      <c r="AY36" s="184"/>
    </row>
    <row r="37" spans="1:51" x14ac:dyDescent="0.2">
      <c r="A37" s="187">
        <v>35</v>
      </c>
      <c r="B37" s="183" t="s">
        <v>125</v>
      </c>
      <c r="C37" s="594"/>
      <c r="D37" s="598" t="s">
        <v>434</v>
      </c>
      <c r="E37" s="599">
        <v>11</v>
      </c>
      <c r="F37" s="599">
        <v>29</v>
      </c>
      <c r="G37" s="600" t="str">
        <f>CONCATENATE(E37,$E$38,F37,$E$38,$F$38)</f>
        <v>11/29/1900</v>
      </c>
      <c r="H37" s="621">
        <f>G37+$G$38</f>
        <v>334</v>
      </c>
      <c r="I37" s="16"/>
      <c r="J37" s="16"/>
      <c r="K37" s="7" t="s">
        <v>214</v>
      </c>
      <c r="L37" s="184">
        <v>34</v>
      </c>
      <c r="M37" s="184">
        <v>51</v>
      </c>
      <c r="N37" s="8">
        <f t="shared" si="1"/>
        <v>0</v>
      </c>
      <c r="X37" s="184">
        <v>1</v>
      </c>
      <c r="Y37" s="8" t="s">
        <v>724</v>
      </c>
      <c r="Z37" s="184">
        <v>1</v>
      </c>
      <c r="AA37" s="8" t="s">
        <v>724</v>
      </c>
      <c r="AI37" s="184"/>
      <c r="AJ37" s="184"/>
      <c r="AK37" s="184"/>
      <c r="AL37" s="184"/>
      <c r="AM37" s="184"/>
      <c r="AN37" s="184"/>
      <c r="AO37" s="184"/>
      <c r="AP37" s="184"/>
      <c r="AQ37" s="184"/>
      <c r="AR37" s="184"/>
      <c r="AS37" s="184"/>
      <c r="AT37" s="184"/>
      <c r="AU37" s="184"/>
      <c r="AV37" s="184"/>
      <c r="AW37" s="184"/>
      <c r="AX37" s="184"/>
      <c r="AY37" s="184"/>
    </row>
    <row r="38" spans="1:51" x14ac:dyDescent="0.2">
      <c r="A38" s="187">
        <v>36</v>
      </c>
      <c r="B38" s="183" t="s">
        <v>139</v>
      </c>
      <c r="C38" s="594"/>
      <c r="D38" s="598"/>
      <c r="E38" s="601" t="s">
        <v>435</v>
      </c>
      <c r="F38" s="602">
        <v>1900</v>
      </c>
      <c r="G38" s="602">
        <v>0</v>
      </c>
      <c r="H38" s="269"/>
      <c r="I38" s="16"/>
      <c r="J38" s="16"/>
      <c r="K38" s="7" t="s">
        <v>214</v>
      </c>
      <c r="L38" s="184">
        <v>35</v>
      </c>
      <c r="M38" s="184">
        <v>51</v>
      </c>
      <c r="N38" s="8">
        <f t="shared" si="1"/>
        <v>0</v>
      </c>
      <c r="X38" s="184">
        <v>2</v>
      </c>
      <c r="Y38" s="8" t="s">
        <v>725</v>
      </c>
      <c r="Z38" s="184">
        <v>2</v>
      </c>
      <c r="AA38" s="8" t="s">
        <v>725</v>
      </c>
      <c r="AI38" s="184"/>
      <c r="AJ38" s="184"/>
      <c r="AK38" s="641"/>
      <c r="AL38" s="647"/>
      <c r="AM38" s="639"/>
      <c r="AN38" s="639"/>
      <c r="AO38" s="639"/>
      <c r="AP38" s="639"/>
      <c r="AQ38" s="184"/>
      <c r="AR38" s="184"/>
      <c r="AS38" s="184"/>
      <c r="AT38" s="184"/>
      <c r="AU38" s="184"/>
      <c r="AV38" s="184"/>
      <c r="AW38" s="184"/>
      <c r="AX38" s="184"/>
      <c r="AY38" s="184"/>
    </row>
    <row r="39" spans="1:51" ht="13.5" thickBot="1" x14ac:dyDescent="0.25">
      <c r="A39" s="187">
        <v>37</v>
      </c>
      <c r="B39" s="183" t="s">
        <v>90</v>
      </c>
      <c r="C39" s="594"/>
      <c r="D39" s="598"/>
      <c r="E39" s="599"/>
      <c r="F39" s="599"/>
      <c r="G39" s="599"/>
      <c r="H39" s="275"/>
      <c r="I39" s="1"/>
      <c r="J39" s="622"/>
      <c r="K39" s="7" t="s">
        <v>214</v>
      </c>
      <c r="L39" s="184">
        <v>36</v>
      </c>
      <c r="M39" s="184">
        <v>51</v>
      </c>
      <c r="N39" s="8">
        <f t="shared" si="1"/>
        <v>0</v>
      </c>
      <c r="S39" t="s">
        <v>718</v>
      </c>
      <c r="X39" s="184">
        <v>3</v>
      </c>
      <c r="Y39" s="8" t="s">
        <v>726</v>
      </c>
      <c r="Z39" s="184">
        <v>3</v>
      </c>
      <c r="AA39" s="8" t="s">
        <v>726</v>
      </c>
      <c r="AI39" s="184"/>
      <c r="AJ39" s="184"/>
      <c r="AK39" s="641"/>
      <c r="AL39" s="184"/>
      <c r="AM39" s="184"/>
      <c r="AN39" s="184"/>
      <c r="AO39" s="184"/>
      <c r="AP39" s="184"/>
      <c r="AQ39" s="184"/>
      <c r="AR39" s="184"/>
      <c r="AS39" s="184"/>
      <c r="AT39" s="184"/>
      <c r="AU39" s="184"/>
      <c r="AV39" s="184"/>
      <c r="AW39" s="184"/>
      <c r="AX39" s="184"/>
      <c r="AY39" s="184"/>
    </row>
    <row r="40" spans="1:51" ht="14.25" thickTop="1" thickBot="1" x14ac:dyDescent="0.25">
      <c r="A40" s="187">
        <v>38</v>
      </c>
      <c r="B40" s="183" t="s">
        <v>132</v>
      </c>
      <c r="C40" s="594"/>
      <c r="D40" s="603" t="s">
        <v>451</v>
      </c>
      <c r="E40" s="604">
        <v>153</v>
      </c>
      <c r="F40" s="605">
        <f t="shared" ref="F40:F45" si="2">E40</f>
        <v>153</v>
      </c>
      <c r="G40" s="599"/>
      <c r="H40" s="269"/>
      <c r="I40" s="192"/>
      <c r="J40" s="192"/>
      <c r="K40" s="7" t="s">
        <v>214</v>
      </c>
      <c r="L40" s="184">
        <v>37</v>
      </c>
      <c r="M40" s="184">
        <v>51</v>
      </c>
      <c r="N40" s="8">
        <f t="shared" si="1"/>
        <v>0</v>
      </c>
      <c r="X40" s="185"/>
      <c r="Y40" s="629">
        <v>1</v>
      </c>
      <c r="Z40" s="584"/>
      <c r="AA40" s="629">
        <v>1</v>
      </c>
      <c r="AI40" s="184"/>
      <c r="AJ40" s="184"/>
      <c r="AK40" s="641"/>
      <c r="AL40" s="184"/>
      <c r="AM40" s="184"/>
      <c r="AN40" s="184"/>
      <c r="AO40" s="184"/>
      <c r="AP40" s="184"/>
      <c r="AQ40" s="184"/>
      <c r="AR40" s="184"/>
      <c r="AS40" s="184"/>
      <c r="AT40" s="184"/>
      <c r="AU40" s="184"/>
      <c r="AV40" s="184"/>
      <c r="AW40" s="184"/>
      <c r="AX40" s="184"/>
      <c r="AY40" s="184"/>
    </row>
    <row r="41" spans="1:51" ht="13.5" thickTop="1" x14ac:dyDescent="0.2">
      <c r="A41" s="187">
        <v>39</v>
      </c>
      <c r="B41" s="183" t="s">
        <v>127</v>
      </c>
      <c r="C41" s="594"/>
      <c r="D41" s="606" t="s">
        <v>436</v>
      </c>
      <c r="E41" s="604">
        <v>214</v>
      </c>
      <c r="F41" s="605">
        <f t="shared" si="2"/>
        <v>214</v>
      </c>
      <c r="G41" s="599"/>
      <c r="H41" s="269"/>
      <c r="I41" s="16"/>
      <c r="J41" s="16"/>
      <c r="K41" s="7" t="s">
        <v>214</v>
      </c>
      <c r="L41" s="184">
        <v>38</v>
      </c>
      <c r="M41" s="184">
        <v>51</v>
      </c>
      <c r="N41" s="8">
        <f t="shared" si="1"/>
        <v>0</v>
      </c>
      <c r="AI41" s="184"/>
      <c r="AJ41" s="184"/>
      <c r="AK41" s="641"/>
      <c r="AL41" s="184"/>
      <c r="AM41" s="184"/>
      <c r="AN41" s="184"/>
      <c r="AO41" s="184"/>
      <c r="AP41" s="184"/>
      <c r="AQ41" s="184"/>
      <c r="AR41" s="184"/>
      <c r="AS41" s="184"/>
      <c r="AT41" s="184"/>
      <c r="AU41" s="184"/>
      <c r="AV41" s="184"/>
      <c r="AW41" s="184"/>
      <c r="AX41" s="184"/>
      <c r="AY41" s="184"/>
    </row>
    <row r="42" spans="1:51" x14ac:dyDescent="0.2">
      <c r="A42" s="187">
        <v>40</v>
      </c>
      <c r="B42" s="183" t="s">
        <v>128</v>
      </c>
      <c r="C42" s="594"/>
      <c r="D42" s="603" t="s">
        <v>447</v>
      </c>
      <c r="E42" s="604">
        <v>226</v>
      </c>
      <c r="F42" s="605">
        <f t="shared" si="2"/>
        <v>226</v>
      </c>
      <c r="G42" s="599"/>
      <c r="H42" s="269"/>
      <c r="I42" s="16"/>
      <c r="J42" s="16"/>
      <c r="K42" s="7" t="s">
        <v>214</v>
      </c>
      <c r="L42" s="184">
        <v>39</v>
      </c>
      <c r="M42" s="184">
        <v>51</v>
      </c>
      <c r="N42" s="8">
        <f t="shared" si="1"/>
        <v>0</v>
      </c>
      <c r="AK42" s="31"/>
    </row>
    <row r="43" spans="1:51" ht="13.5" thickBot="1" x14ac:dyDescent="0.25">
      <c r="A43" s="187">
        <v>41</v>
      </c>
      <c r="B43" s="183" t="s">
        <v>140</v>
      </c>
      <c r="C43" s="594"/>
      <c r="D43" s="603" t="s">
        <v>448</v>
      </c>
      <c r="E43" s="604">
        <v>281</v>
      </c>
      <c r="F43" s="605">
        <f t="shared" si="2"/>
        <v>281</v>
      </c>
      <c r="G43" s="599"/>
      <c r="H43" s="269"/>
      <c r="I43" s="191"/>
      <c r="J43" s="622"/>
      <c r="K43" s="7" t="s">
        <v>214</v>
      </c>
      <c r="L43" s="184">
        <v>40</v>
      </c>
      <c r="M43" s="184">
        <v>51</v>
      </c>
      <c r="N43" s="8">
        <f t="shared" si="1"/>
        <v>0</v>
      </c>
    </row>
    <row r="44" spans="1:51" ht="13.5" thickTop="1" x14ac:dyDescent="0.2">
      <c r="A44" s="187">
        <v>42</v>
      </c>
      <c r="B44" s="183" t="s">
        <v>141</v>
      </c>
      <c r="C44" s="594"/>
      <c r="D44" s="603" t="s">
        <v>449</v>
      </c>
      <c r="E44" s="604">
        <v>294</v>
      </c>
      <c r="F44" s="605">
        <f t="shared" si="2"/>
        <v>294</v>
      </c>
      <c r="G44" s="599"/>
      <c r="H44" s="269"/>
      <c r="I44" s="192" t="s">
        <v>222</v>
      </c>
      <c r="J44" s="192" t="s">
        <v>630</v>
      </c>
      <c r="K44" s="7" t="s">
        <v>214</v>
      </c>
      <c r="L44" s="184">
        <v>41</v>
      </c>
      <c r="M44" s="184">
        <v>51</v>
      </c>
      <c r="N44" s="8">
        <f t="shared" si="1"/>
        <v>0</v>
      </c>
    </row>
    <row r="45" spans="1:51" x14ac:dyDescent="0.2">
      <c r="A45" s="187">
        <v>43</v>
      </c>
      <c r="B45" s="183" t="s">
        <v>142</v>
      </c>
      <c r="C45" s="594"/>
      <c r="D45" s="603" t="s">
        <v>450</v>
      </c>
      <c r="E45" s="604">
        <v>335</v>
      </c>
      <c r="F45" s="605">
        <f t="shared" si="2"/>
        <v>335</v>
      </c>
      <c r="G45" s="599"/>
      <c r="H45" s="269"/>
      <c r="I45" s="16">
        <v>1</v>
      </c>
      <c r="J45" s="16" t="s">
        <v>221</v>
      </c>
      <c r="K45" s="7" t="s">
        <v>214</v>
      </c>
      <c r="L45" s="184">
        <v>42</v>
      </c>
      <c r="M45" s="184">
        <v>51</v>
      </c>
      <c r="N45" s="8">
        <f t="shared" si="1"/>
        <v>0</v>
      </c>
    </row>
    <row r="46" spans="1:51" ht="13.5" thickBot="1" x14ac:dyDescent="0.25">
      <c r="A46" s="187">
        <v>44</v>
      </c>
      <c r="B46" s="183" t="s">
        <v>143</v>
      </c>
      <c r="C46" s="607"/>
      <c r="D46" s="608"/>
      <c r="E46" s="609"/>
      <c r="F46" s="609"/>
      <c r="G46" s="609"/>
      <c r="H46" s="276"/>
      <c r="I46" s="16">
        <v>2</v>
      </c>
      <c r="J46" s="16" t="s">
        <v>318</v>
      </c>
      <c r="K46" s="7" t="s">
        <v>214</v>
      </c>
      <c r="L46" s="184">
        <v>43</v>
      </c>
      <c r="M46" s="184">
        <v>51</v>
      </c>
      <c r="N46" s="8">
        <f t="shared" si="1"/>
        <v>0</v>
      </c>
    </row>
    <row r="47" spans="1:51" ht="14.25" thickTop="1" thickBot="1" x14ac:dyDescent="0.25">
      <c r="A47" s="187">
        <v>45</v>
      </c>
      <c r="B47" s="183" t="s">
        <v>130</v>
      </c>
      <c r="C47" s="610"/>
      <c r="D47" s="611"/>
      <c r="E47" s="612"/>
      <c r="F47" s="612" t="str">
        <f>IF(OR(H36&lt;$F$40,H36&gt;$F$45),"Start outside Hurricane Season","Start in Hurricane Season")</f>
        <v>Start outside Hurricane Season</v>
      </c>
      <c r="G47" s="613"/>
      <c r="I47" s="33"/>
      <c r="J47" s="622">
        <v>1</v>
      </c>
      <c r="K47" s="7" t="s">
        <v>214</v>
      </c>
      <c r="L47" s="184">
        <v>44</v>
      </c>
      <c r="M47" s="184">
        <v>51</v>
      </c>
      <c r="N47" s="8">
        <f t="shared" si="1"/>
        <v>0</v>
      </c>
    </row>
    <row r="48" spans="1:51" ht="13.5" thickTop="1" x14ac:dyDescent="0.2">
      <c r="A48" s="187">
        <v>46</v>
      </c>
      <c r="B48" s="183" t="s">
        <v>135</v>
      </c>
      <c r="C48" s="610"/>
      <c r="D48" s="611"/>
      <c r="E48" s="612"/>
      <c r="F48" s="612" t="str">
        <f>IF(OR(H37&lt;$F$40,H37&gt;$F$45),"End outside Hurricane Season","End in Hurricane Season")</f>
        <v>End in Hurricane Season</v>
      </c>
      <c r="G48" s="613"/>
      <c r="I48" s="162"/>
      <c r="J48" s="192" t="s">
        <v>631</v>
      </c>
      <c r="K48" s="7" t="s">
        <v>214</v>
      </c>
      <c r="L48" s="184">
        <v>45</v>
      </c>
      <c r="M48" s="184">
        <v>51</v>
      </c>
      <c r="N48" s="8">
        <f t="shared" si="1"/>
        <v>0</v>
      </c>
    </row>
    <row r="49" spans="1:14" x14ac:dyDescent="0.2">
      <c r="A49" s="187">
        <v>47</v>
      </c>
      <c r="B49" s="183" t="s">
        <v>106</v>
      </c>
      <c r="C49" s="614"/>
      <c r="D49" s="615"/>
      <c r="E49" s="616" t="s">
        <v>438</v>
      </c>
      <c r="F49" s="589" t="str">
        <f>IF(H36&lt;$F$40,"Yes","No")</f>
        <v>Yes</v>
      </c>
      <c r="G49" s="586">
        <f>IF(F49="Yes",1,0)</f>
        <v>1</v>
      </c>
      <c r="I49" s="16">
        <v>1</v>
      </c>
      <c r="J49" s="16" t="s">
        <v>221</v>
      </c>
      <c r="K49" s="7" t="s">
        <v>214</v>
      </c>
      <c r="L49" s="184">
        <v>46</v>
      </c>
      <c r="M49" s="184">
        <v>51</v>
      </c>
      <c r="N49" s="8">
        <f t="shared" si="1"/>
        <v>0</v>
      </c>
    </row>
    <row r="50" spans="1:14" x14ac:dyDescent="0.2">
      <c r="A50" s="187">
        <v>48</v>
      </c>
      <c r="B50" s="183" t="s">
        <v>144</v>
      </c>
      <c r="C50" s="614"/>
      <c r="D50" s="615"/>
      <c r="E50" s="617" t="s">
        <v>441</v>
      </c>
      <c r="F50" s="589" t="str">
        <f>IF(H36&gt;$F$45,"Yes","No")</f>
        <v>No</v>
      </c>
      <c r="G50" s="586">
        <f t="shared" ref="G50:G56" si="3">IF(F50="Yes",1,0)</f>
        <v>0</v>
      </c>
      <c r="I50" s="16">
        <v>2</v>
      </c>
      <c r="J50" s="16" t="s">
        <v>318</v>
      </c>
      <c r="K50" s="7" t="s">
        <v>214</v>
      </c>
      <c r="L50" s="184">
        <v>47</v>
      </c>
      <c r="M50" s="184">
        <v>51</v>
      </c>
      <c r="N50" s="8">
        <f t="shared" si="1"/>
        <v>0</v>
      </c>
    </row>
    <row r="51" spans="1:14" ht="13.5" thickBot="1" x14ac:dyDescent="0.25">
      <c r="A51" s="187">
        <v>49</v>
      </c>
      <c r="B51" s="183" t="s">
        <v>110</v>
      </c>
      <c r="C51" s="614"/>
      <c r="D51" s="615"/>
      <c r="E51" s="616" t="s">
        <v>437</v>
      </c>
      <c r="F51" s="589" t="str">
        <f>IF(H36&lt;$F$41,"Yes","No")</f>
        <v>Yes</v>
      </c>
      <c r="G51" s="586">
        <f t="shared" si="3"/>
        <v>1</v>
      </c>
      <c r="I51" s="33"/>
      <c r="J51" s="622">
        <v>1</v>
      </c>
      <c r="K51" s="7" t="s">
        <v>214</v>
      </c>
      <c r="L51" s="184">
        <v>48</v>
      </c>
      <c r="M51" s="184">
        <v>51</v>
      </c>
      <c r="N51" s="8">
        <f t="shared" si="1"/>
        <v>0</v>
      </c>
    </row>
    <row r="52" spans="1:14" ht="13.5" thickTop="1" x14ac:dyDescent="0.2">
      <c r="A52" s="187">
        <v>50</v>
      </c>
      <c r="B52" s="183" t="s">
        <v>145</v>
      </c>
      <c r="C52" s="614"/>
      <c r="D52" s="615"/>
      <c r="E52" s="617" t="s">
        <v>442</v>
      </c>
      <c r="F52" s="589" t="str">
        <f>IF(H36&gt;$F$44,"Yes","No")</f>
        <v>No</v>
      </c>
      <c r="G52" s="586">
        <f t="shared" si="3"/>
        <v>0</v>
      </c>
      <c r="I52" s="162"/>
      <c r="J52" s="192" t="s">
        <v>632</v>
      </c>
      <c r="K52" s="7" t="s">
        <v>214</v>
      </c>
      <c r="L52" s="184">
        <v>49</v>
      </c>
      <c r="M52" s="184">
        <v>51</v>
      </c>
      <c r="N52" s="8">
        <f t="shared" si="1"/>
        <v>0</v>
      </c>
    </row>
    <row r="53" spans="1:14" x14ac:dyDescent="0.2">
      <c r="A53" s="187">
        <v>51</v>
      </c>
      <c r="B53" s="183" t="s">
        <v>118</v>
      </c>
      <c r="C53" s="614"/>
      <c r="D53" s="615"/>
      <c r="E53" s="617" t="s">
        <v>439</v>
      </c>
      <c r="F53" s="589" t="str">
        <f>IF(H37&lt;$F$40,"Yes","No")</f>
        <v>No</v>
      </c>
      <c r="G53" s="586">
        <f t="shared" si="3"/>
        <v>0</v>
      </c>
      <c r="I53" s="32">
        <v>1</v>
      </c>
      <c r="J53" s="16" t="s">
        <v>481</v>
      </c>
      <c r="K53" s="7" t="s">
        <v>214</v>
      </c>
      <c r="L53" s="184">
        <v>50</v>
      </c>
      <c r="M53" s="184">
        <v>51</v>
      </c>
      <c r="N53" s="8">
        <f t="shared" si="1"/>
        <v>0</v>
      </c>
    </row>
    <row r="54" spans="1:14" x14ac:dyDescent="0.2">
      <c r="A54" s="187">
        <v>52</v>
      </c>
      <c r="B54" s="183" t="s">
        <v>126</v>
      </c>
      <c r="C54" s="614"/>
      <c r="D54" s="615"/>
      <c r="E54" s="617" t="s">
        <v>443</v>
      </c>
      <c r="F54" s="589" t="str">
        <f>IF(H37&gt;$F$45,"Yes","No")</f>
        <v>No</v>
      </c>
      <c r="G54" s="586">
        <f t="shared" si="3"/>
        <v>0</v>
      </c>
      <c r="I54" s="32">
        <v>2</v>
      </c>
      <c r="J54" s="16" t="s">
        <v>759</v>
      </c>
      <c r="K54" s="7" t="s">
        <v>214</v>
      </c>
      <c r="L54" s="184">
        <v>51</v>
      </c>
      <c r="M54" s="184">
        <v>51</v>
      </c>
      <c r="N54" s="8">
        <f t="shared" si="1"/>
        <v>0</v>
      </c>
    </row>
    <row r="55" spans="1:14" x14ac:dyDescent="0.2">
      <c r="A55" s="187">
        <v>53</v>
      </c>
      <c r="B55" s="183" t="s">
        <v>102</v>
      </c>
      <c r="C55" s="614"/>
      <c r="D55" s="615"/>
      <c r="E55" s="617" t="s">
        <v>440</v>
      </c>
      <c r="F55" s="589" t="str">
        <f>IF(H37&lt;$F$41,"Yes","No")</f>
        <v>No</v>
      </c>
      <c r="G55" s="586">
        <f t="shared" si="3"/>
        <v>0</v>
      </c>
      <c r="I55" s="32">
        <v>3</v>
      </c>
      <c r="J55" s="4" t="s">
        <v>760</v>
      </c>
      <c r="K55" s="7" t="s">
        <v>214</v>
      </c>
      <c r="L55" s="184">
        <v>52</v>
      </c>
      <c r="M55" s="184">
        <v>51</v>
      </c>
      <c r="N55" s="8">
        <f t="shared" si="1"/>
        <v>0</v>
      </c>
    </row>
    <row r="56" spans="1:14" x14ac:dyDescent="0.2">
      <c r="A56" s="187">
        <v>54</v>
      </c>
      <c r="B56" s="183" t="s">
        <v>146</v>
      </c>
      <c r="C56" s="614"/>
      <c r="D56" s="615"/>
      <c r="E56" s="617" t="s">
        <v>446</v>
      </c>
      <c r="F56" s="589" t="str">
        <f>IF(H37&gt;$F$44,"Yes","No")</f>
        <v>Yes</v>
      </c>
      <c r="G56" s="586">
        <f t="shared" si="3"/>
        <v>1</v>
      </c>
      <c r="I56" s="32">
        <v>4</v>
      </c>
      <c r="J56" s="16" t="s">
        <v>482</v>
      </c>
      <c r="K56" s="7" t="s">
        <v>214</v>
      </c>
      <c r="L56" s="184">
        <v>53</v>
      </c>
      <c r="M56" s="184">
        <v>51</v>
      </c>
      <c r="N56" s="8">
        <f t="shared" si="1"/>
        <v>0</v>
      </c>
    </row>
    <row r="57" spans="1:14" ht="13.5" thickBot="1" x14ac:dyDescent="0.25">
      <c r="A57" s="187">
        <v>55</v>
      </c>
      <c r="B57" s="183" t="s">
        <v>147</v>
      </c>
      <c r="C57" s="614"/>
      <c r="D57" s="615"/>
      <c r="E57" s="590"/>
      <c r="F57" s="590"/>
      <c r="G57" s="587"/>
      <c r="I57" s="33"/>
      <c r="J57" s="622">
        <v>1</v>
      </c>
      <c r="K57" s="7" t="s">
        <v>214</v>
      </c>
      <c r="L57" s="184">
        <v>54</v>
      </c>
      <c r="M57" s="184">
        <v>51</v>
      </c>
      <c r="N57" s="8">
        <f t="shared" si="1"/>
        <v>0</v>
      </c>
    </row>
    <row r="58" spans="1:14" ht="14.25" thickTop="1" thickBot="1" x14ac:dyDescent="0.25">
      <c r="A58" s="187">
        <v>56</v>
      </c>
      <c r="B58" s="183" t="s">
        <v>148</v>
      </c>
      <c r="C58" s="614"/>
      <c r="D58" s="615"/>
      <c r="E58" s="616" t="s">
        <v>444</v>
      </c>
      <c r="F58" s="591" t="str">
        <f>IF(AND(G49=1,G53=1,H37&gt;H36),"No",IF(AND(G50=1,G54=1,H37&gt;H36),"No",IF(AND(G50=1,G53=1),"No","Yes")))</f>
        <v>Yes</v>
      </c>
      <c r="G58" s="587"/>
      <c r="I58" s="216" t="s">
        <v>636</v>
      </c>
      <c r="J58" s="622">
        <v>2</v>
      </c>
      <c r="K58" s="7" t="s">
        <v>214</v>
      </c>
      <c r="L58" s="184">
        <v>55</v>
      </c>
      <c r="M58" s="184">
        <v>51</v>
      </c>
      <c r="N58" s="8">
        <f t="shared" si="1"/>
        <v>0</v>
      </c>
    </row>
    <row r="59" spans="1:14" ht="14.25" thickTop="1" thickBot="1" x14ac:dyDescent="0.25">
      <c r="A59" s="187">
        <v>57</v>
      </c>
      <c r="B59" s="183" t="s">
        <v>149</v>
      </c>
      <c r="C59" s="618"/>
      <c r="D59" s="619"/>
      <c r="E59" s="620" t="s">
        <v>445</v>
      </c>
      <c r="F59" s="592" t="str">
        <f>IF(AND(G51=1,G55=1,H37&gt;H36),"No",IF(AND(G52=1,G56=1,H37&gt;H36),"No",IF(AND(G52=1,G55=1),"No","Yes")))</f>
        <v>Yes</v>
      </c>
      <c r="G59" s="588"/>
      <c r="I59" s="162"/>
      <c r="J59" s="192" t="s">
        <v>639</v>
      </c>
      <c r="K59" s="7" t="s">
        <v>214</v>
      </c>
      <c r="L59" s="184">
        <v>56</v>
      </c>
      <c r="M59" s="184">
        <v>51</v>
      </c>
      <c r="N59" s="8">
        <f t="shared" si="1"/>
        <v>0</v>
      </c>
    </row>
    <row r="60" spans="1:14" ht="13.5" thickTop="1" x14ac:dyDescent="0.2">
      <c r="A60" s="187">
        <v>58</v>
      </c>
      <c r="B60" s="183" t="s">
        <v>112</v>
      </c>
      <c r="C60" s="13"/>
      <c r="D60" s="13"/>
      <c r="I60" s="32"/>
      <c r="J60" s="16" t="s">
        <v>221</v>
      </c>
      <c r="K60" s="7" t="s">
        <v>214</v>
      </c>
      <c r="L60" s="184">
        <v>57</v>
      </c>
      <c r="M60" s="184">
        <v>51</v>
      </c>
      <c r="N60" s="8">
        <f t="shared" si="1"/>
        <v>0</v>
      </c>
    </row>
    <row r="61" spans="1:14" x14ac:dyDescent="0.2">
      <c r="A61" s="187">
        <v>59</v>
      </c>
      <c r="B61" s="183" t="s">
        <v>150</v>
      </c>
      <c r="C61" s="13"/>
      <c r="D61" s="13"/>
      <c r="I61" s="32"/>
      <c r="J61" s="16" t="s">
        <v>318</v>
      </c>
      <c r="K61" s="7" t="s">
        <v>214</v>
      </c>
      <c r="L61" s="184">
        <v>58</v>
      </c>
      <c r="M61" s="184">
        <v>51</v>
      </c>
      <c r="N61" s="8">
        <f t="shared" si="1"/>
        <v>0</v>
      </c>
    </row>
    <row r="62" spans="1:14" ht="13.5" thickBot="1" x14ac:dyDescent="0.25">
      <c r="A62" s="187">
        <v>60</v>
      </c>
      <c r="B62" s="183" t="s">
        <v>108</v>
      </c>
      <c r="C62" s="13"/>
      <c r="D62" s="13"/>
      <c r="I62" s="33"/>
      <c r="J62" s="622">
        <v>1</v>
      </c>
      <c r="K62" s="7" t="s">
        <v>214</v>
      </c>
      <c r="L62" s="184">
        <v>59</v>
      </c>
      <c r="M62" s="184">
        <v>51</v>
      </c>
      <c r="N62" s="8">
        <f t="shared" si="1"/>
        <v>0</v>
      </c>
    </row>
    <row r="63" spans="1:14" ht="13.5" thickTop="1" x14ac:dyDescent="0.2">
      <c r="A63" s="187">
        <v>61</v>
      </c>
      <c r="B63" s="183" t="s">
        <v>151</v>
      </c>
      <c r="C63" s="13"/>
      <c r="D63" s="188" t="s">
        <v>468</v>
      </c>
      <c r="E63" s="189"/>
      <c r="F63" s="189"/>
      <c r="G63" s="190"/>
      <c r="I63" s="162" t="s">
        <v>762</v>
      </c>
      <c r="J63" s="192"/>
      <c r="K63" s="7" t="s">
        <v>214</v>
      </c>
      <c r="L63" s="184">
        <v>60</v>
      </c>
      <c r="M63" s="184">
        <v>51</v>
      </c>
      <c r="N63" s="8">
        <f t="shared" si="1"/>
        <v>0</v>
      </c>
    </row>
    <row r="64" spans="1:14" x14ac:dyDescent="0.2">
      <c r="A64" s="187">
        <v>62</v>
      </c>
      <c r="B64" s="183" t="s">
        <v>100</v>
      </c>
      <c r="C64" s="13"/>
      <c r="D64" s="7" t="s">
        <v>215</v>
      </c>
      <c r="E64" s="184">
        <v>1</v>
      </c>
      <c r="F64" s="184">
        <v>63</v>
      </c>
      <c r="G64" s="8">
        <f t="shared" ref="G64:G127" si="4">IF(AND(F64=$A$66,E64=$A$67),1,0)</f>
        <v>0</v>
      </c>
      <c r="I64" s="473">
        <v>1</v>
      </c>
      <c r="J64" s="654">
        <v>0.03</v>
      </c>
      <c r="K64" s="7" t="s">
        <v>214</v>
      </c>
      <c r="L64" s="184">
        <v>61</v>
      </c>
      <c r="M64" s="184">
        <v>51</v>
      </c>
      <c r="N64" s="8">
        <f t="shared" si="1"/>
        <v>0</v>
      </c>
    </row>
    <row r="65" spans="1:14" x14ac:dyDescent="0.2">
      <c r="A65" s="187">
        <v>63</v>
      </c>
      <c r="B65" s="183" t="s">
        <v>117</v>
      </c>
      <c r="C65" s="13"/>
      <c r="D65" s="7" t="s">
        <v>215</v>
      </c>
      <c r="E65" s="184">
        <v>2</v>
      </c>
      <c r="F65" s="184">
        <v>63</v>
      </c>
      <c r="G65" s="8">
        <f t="shared" si="4"/>
        <v>0</v>
      </c>
      <c r="I65" s="473">
        <v>2</v>
      </c>
      <c r="J65" s="654">
        <v>0.04</v>
      </c>
      <c r="K65" s="7" t="s">
        <v>214</v>
      </c>
      <c r="L65" s="184">
        <v>62</v>
      </c>
      <c r="M65" s="184">
        <v>51</v>
      </c>
      <c r="N65" s="8">
        <f t="shared" si="1"/>
        <v>0</v>
      </c>
    </row>
    <row r="66" spans="1:14" x14ac:dyDescent="0.2">
      <c r="A66" s="580">
        <v>22</v>
      </c>
      <c r="B66" s="581" t="s">
        <v>66</v>
      </c>
      <c r="C66" s="13"/>
      <c r="D66" s="7" t="s">
        <v>215</v>
      </c>
      <c r="E66" s="184">
        <v>3</v>
      </c>
      <c r="F66" s="184">
        <v>63</v>
      </c>
      <c r="G66" s="8">
        <f t="shared" si="4"/>
        <v>0</v>
      </c>
      <c r="I66" s="473">
        <v>3</v>
      </c>
      <c r="J66" s="654">
        <v>0.05</v>
      </c>
      <c r="K66" s="7" t="s">
        <v>214</v>
      </c>
      <c r="L66" s="184">
        <v>63</v>
      </c>
      <c r="M66" s="184">
        <v>51</v>
      </c>
      <c r="N66" s="8">
        <f t="shared" si="1"/>
        <v>0</v>
      </c>
    </row>
    <row r="67" spans="1:14" ht="13.5" thickBot="1" x14ac:dyDescent="0.25">
      <c r="A67" s="582">
        <v>53</v>
      </c>
      <c r="B67" s="583" t="s">
        <v>64</v>
      </c>
      <c r="C67" s="13"/>
      <c r="D67" s="7" t="s">
        <v>215</v>
      </c>
      <c r="E67" s="184">
        <v>4</v>
      </c>
      <c r="F67" s="184">
        <v>63</v>
      </c>
      <c r="G67" s="8">
        <f t="shared" si="4"/>
        <v>0</v>
      </c>
      <c r="I67" s="473"/>
      <c r="J67" s="671">
        <v>1</v>
      </c>
      <c r="K67" s="7" t="s">
        <v>214</v>
      </c>
      <c r="L67" s="184">
        <v>64</v>
      </c>
      <c r="M67" s="184">
        <v>51</v>
      </c>
      <c r="N67" s="8">
        <f t="shared" si="1"/>
        <v>0</v>
      </c>
    </row>
    <row r="68" spans="1:14" ht="14.25" thickTop="1" thickBot="1" x14ac:dyDescent="0.25">
      <c r="A68" s="162"/>
      <c r="B68" s="260" t="s">
        <v>64</v>
      </c>
      <c r="C68" s="13"/>
      <c r="D68" s="7" t="s">
        <v>215</v>
      </c>
      <c r="E68" s="184">
        <v>5</v>
      </c>
      <c r="F68" s="184">
        <v>63</v>
      </c>
      <c r="G68" s="8">
        <f t="shared" si="4"/>
        <v>0</v>
      </c>
      <c r="I68" s="474"/>
      <c r="J68" s="290"/>
      <c r="K68" s="7" t="s">
        <v>214</v>
      </c>
      <c r="L68" s="184">
        <v>65</v>
      </c>
      <c r="M68" s="184">
        <v>51</v>
      </c>
      <c r="N68" s="8">
        <f t="shared" ref="N68:N73" si="5">IF(AND(M68=$A$66,L68=$A$67),1,0)</f>
        <v>0</v>
      </c>
    </row>
    <row r="69" spans="1:14" ht="13.5" thickTop="1" x14ac:dyDescent="0.2">
      <c r="A69" s="32" t="s">
        <v>222</v>
      </c>
      <c r="B69" s="3">
        <v>1</v>
      </c>
      <c r="C69" s="13"/>
      <c r="D69" s="7" t="s">
        <v>215</v>
      </c>
      <c r="E69" s="184">
        <v>6</v>
      </c>
      <c r="F69" s="184">
        <v>63</v>
      </c>
      <c r="G69" s="8">
        <f t="shared" si="4"/>
        <v>0</v>
      </c>
      <c r="I69" s="162"/>
      <c r="J69" s="192" t="s">
        <v>710</v>
      </c>
      <c r="K69" s="7" t="s">
        <v>214</v>
      </c>
      <c r="L69" s="184">
        <v>66</v>
      </c>
      <c r="M69" s="184">
        <v>51</v>
      </c>
      <c r="N69" s="8">
        <f t="shared" si="5"/>
        <v>0</v>
      </c>
    </row>
    <row r="70" spans="1:14" x14ac:dyDescent="0.2">
      <c r="A70" s="32"/>
      <c r="B70" s="3">
        <v>2</v>
      </c>
      <c r="C70" s="13"/>
      <c r="D70" s="7" t="s">
        <v>215</v>
      </c>
      <c r="E70" s="184">
        <v>7</v>
      </c>
      <c r="F70" s="184">
        <v>63</v>
      </c>
      <c r="G70" s="8">
        <f t="shared" si="4"/>
        <v>0</v>
      </c>
      <c r="I70" s="32"/>
      <c r="J70" s="16" t="s">
        <v>221</v>
      </c>
      <c r="K70" s="7" t="s">
        <v>214</v>
      </c>
      <c r="L70" s="184">
        <v>67</v>
      </c>
      <c r="M70" s="184">
        <v>51</v>
      </c>
      <c r="N70" s="8">
        <f t="shared" si="5"/>
        <v>0</v>
      </c>
    </row>
    <row r="71" spans="1:14" x14ac:dyDescent="0.2">
      <c r="A71" s="32"/>
      <c r="B71" s="3">
        <v>3</v>
      </c>
      <c r="C71" s="13"/>
      <c r="D71" s="7" t="s">
        <v>215</v>
      </c>
      <c r="E71" s="184">
        <v>8</v>
      </c>
      <c r="F71" s="184">
        <v>63</v>
      </c>
      <c r="G71" s="8">
        <f t="shared" si="4"/>
        <v>0</v>
      </c>
      <c r="I71" s="32"/>
      <c r="J71" s="16" t="s">
        <v>318</v>
      </c>
      <c r="K71" s="7" t="s">
        <v>214</v>
      </c>
      <c r="L71" s="184">
        <v>68</v>
      </c>
      <c r="M71" s="184">
        <v>51</v>
      </c>
      <c r="N71" s="8">
        <f t="shared" si="5"/>
        <v>0</v>
      </c>
    </row>
    <row r="72" spans="1:14" ht="13.5" thickBot="1" x14ac:dyDescent="0.25">
      <c r="A72" s="32"/>
      <c r="B72" s="3">
        <v>4</v>
      </c>
      <c r="C72" s="13"/>
      <c r="D72" s="7" t="s">
        <v>215</v>
      </c>
      <c r="E72" s="184">
        <v>9</v>
      </c>
      <c r="F72" s="184">
        <v>63</v>
      </c>
      <c r="G72" s="8">
        <f t="shared" si="4"/>
        <v>0</v>
      </c>
      <c r="I72" s="33"/>
      <c r="J72" s="622">
        <v>2</v>
      </c>
      <c r="K72" s="7" t="s">
        <v>214</v>
      </c>
      <c r="L72" s="184">
        <v>69</v>
      </c>
      <c r="M72" s="184">
        <v>51</v>
      </c>
      <c r="N72" s="8">
        <f t="shared" si="5"/>
        <v>0</v>
      </c>
    </row>
    <row r="73" spans="1:14" ht="13.5" thickTop="1" x14ac:dyDescent="0.2">
      <c r="A73" s="32"/>
      <c r="B73" s="3">
        <v>5</v>
      </c>
      <c r="C73" s="13"/>
      <c r="D73" s="7" t="s">
        <v>215</v>
      </c>
      <c r="E73" s="184">
        <v>10</v>
      </c>
      <c r="F73" s="184">
        <v>63</v>
      </c>
      <c r="G73" s="8">
        <f t="shared" si="4"/>
        <v>0</v>
      </c>
      <c r="I73" s="162" t="s">
        <v>753</v>
      </c>
      <c r="J73" s="192"/>
      <c r="K73" s="7" t="s">
        <v>214</v>
      </c>
      <c r="L73" s="184">
        <v>70</v>
      </c>
      <c r="M73" s="184">
        <v>51</v>
      </c>
      <c r="N73" s="8">
        <f t="shared" si="5"/>
        <v>0</v>
      </c>
    </row>
    <row r="74" spans="1:14" x14ac:dyDescent="0.2">
      <c r="A74" s="32"/>
      <c r="B74" s="3">
        <v>6</v>
      </c>
      <c r="C74" s="13"/>
      <c r="D74" s="7" t="s">
        <v>215</v>
      </c>
      <c r="E74" s="184">
        <v>11</v>
      </c>
      <c r="F74" s="184">
        <v>63</v>
      </c>
      <c r="G74" s="8">
        <f t="shared" si="4"/>
        <v>0</v>
      </c>
      <c r="I74" s="473">
        <v>1</v>
      </c>
      <c r="J74" s="4" t="s">
        <v>221</v>
      </c>
      <c r="K74" s="7" t="s">
        <v>214</v>
      </c>
      <c r="L74" s="184">
        <v>71</v>
      </c>
      <c r="M74" s="184">
        <v>51</v>
      </c>
      <c r="N74" s="8">
        <f t="shared" ref="N74:N80" si="6">IF(AND(M74=$A$66,L74=$A$67),1,0)</f>
        <v>0</v>
      </c>
    </row>
    <row r="75" spans="1:14" x14ac:dyDescent="0.2">
      <c r="A75" s="32"/>
      <c r="B75" s="3">
        <v>7</v>
      </c>
      <c r="C75" s="13"/>
      <c r="D75" s="7" t="s">
        <v>215</v>
      </c>
      <c r="E75" s="184">
        <v>12</v>
      </c>
      <c r="F75" s="184">
        <v>63</v>
      </c>
      <c r="G75" s="8">
        <f t="shared" si="4"/>
        <v>0</v>
      </c>
      <c r="I75" s="473">
        <v>2</v>
      </c>
      <c r="J75" s="4" t="s">
        <v>318</v>
      </c>
      <c r="K75" s="7" t="s">
        <v>214</v>
      </c>
      <c r="L75" s="184">
        <v>72</v>
      </c>
      <c r="M75" s="184">
        <v>51</v>
      </c>
      <c r="N75" s="8">
        <f t="shared" si="6"/>
        <v>0</v>
      </c>
    </row>
    <row r="76" spans="1:14" ht="13.5" thickBot="1" x14ac:dyDescent="0.25">
      <c r="A76" s="32"/>
      <c r="B76" s="3">
        <v>8</v>
      </c>
      <c r="C76" s="13"/>
      <c r="D76" s="7" t="s">
        <v>215</v>
      </c>
      <c r="E76" s="184">
        <v>13</v>
      </c>
      <c r="F76" s="184">
        <v>63</v>
      </c>
      <c r="G76" s="8">
        <f t="shared" si="4"/>
        <v>0</v>
      </c>
      <c r="I76" s="474"/>
      <c r="J76" s="623">
        <v>1</v>
      </c>
      <c r="K76" s="7" t="s">
        <v>214</v>
      </c>
      <c r="L76" s="184">
        <v>73</v>
      </c>
      <c r="M76" s="184">
        <v>51</v>
      </c>
      <c r="N76" s="8">
        <f t="shared" si="6"/>
        <v>0</v>
      </c>
    </row>
    <row r="77" spans="1:14" ht="13.5" thickTop="1" x14ac:dyDescent="0.2">
      <c r="A77" s="32"/>
      <c r="B77" s="3">
        <v>9</v>
      </c>
      <c r="C77" s="13"/>
      <c r="D77" s="7" t="s">
        <v>215</v>
      </c>
      <c r="E77" s="184">
        <v>14</v>
      </c>
      <c r="F77" s="184">
        <v>63</v>
      </c>
      <c r="G77" s="8">
        <f t="shared" si="4"/>
        <v>0</v>
      </c>
      <c r="I77" s="162"/>
      <c r="J77" s="192" t="s">
        <v>637</v>
      </c>
      <c r="K77" s="7" t="s">
        <v>214</v>
      </c>
      <c r="L77" s="184">
        <v>74</v>
      </c>
      <c r="M77" s="184">
        <v>51</v>
      </c>
      <c r="N77" s="8">
        <f t="shared" si="6"/>
        <v>0</v>
      </c>
    </row>
    <row r="78" spans="1:14" x14ac:dyDescent="0.2">
      <c r="A78" s="32"/>
      <c r="B78" s="3">
        <v>10</v>
      </c>
      <c r="C78" s="13"/>
      <c r="D78" s="7" t="s">
        <v>215</v>
      </c>
      <c r="E78" s="184">
        <v>15</v>
      </c>
      <c r="F78" s="184">
        <v>63</v>
      </c>
      <c r="G78" s="8">
        <f t="shared" si="4"/>
        <v>0</v>
      </c>
      <c r="I78" s="32"/>
      <c r="J78" s="16" t="s">
        <v>221</v>
      </c>
      <c r="K78" s="7" t="s">
        <v>214</v>
      </c>
      <c r="L78" s="184">
        <v>75</v>
      </c>
      <c r="M78" s="184">
        <v>51</v>
      </c>
      <c r="N78" s="8">
        <f t="shared" si="6"/>
        <v>0</v>
      </c>
    </row>
    <row r="79" spans="1:14" x14ac:dyDescent="0.2">
      <c r="A79" s="32"/>
      <c r="B79" s="3">
        <v>11</v>
      </c>
      <c r="C79" s="13"/>
      <c r="D79" s="7" t="s">
        <v>215</v>
      </c>
      <c r="E79" s="184">
        <v>16</v>
      </c>
      <c r="F79" s="184">
        <v>63</v>
      </c>
      <c r="G79" s="8">
        <f t="shared" si="4"/>
        <v>0</v>
      </c>
      <c r="I79" s="32"/>
      <c r="J79" s="16" t="s">
        <v>318</v>
      </c>
      <c r="K79" s="7" t="s">
        <v>214</v>
      </c>
      <c r="L79" s="184">
        <v>76</v>
      </c>
      <c r="M79" s="184">
        <v>51</v>
      </c>
      <c r="N79" s="8">
        <f t="shared" si="6"/>
        <v>0</v>
      </c>
    </row>
    <row r="80" spans="1:14" ht="13.5" thickBot="1" x14ac:dyDescent="0.25">
      <c r="A80" s="32"/>
      <c r="B80" s="3">
        <v>12</v>
      </c>
      <c r="C80" s="13"/>
      <c r="D80" s="7" t="s">
        <v>215</v>
      </c>
      <c r="E80" s="184">
        <v>17</v>
      </c>
      <c r="F80" s="184">
        <v>63</v>
      </c>
      <c r="G80" s="8">
        <f t="shared" si="4"/>
        <v>0</v>
      </c>
      <c r="I80" s="33"/>
      <c r="J80" s="622">
        <v>1</v>
      </c>
      <c r="K80" s="7" t="s">
        <v>214</v>
      </c>
      <c r="L80" s="184">
        <v>77</v>
      </c>
      <c r="M80" s="184">
        <v>51</v>
      </c>
      <c r="N80" s="8">
        <f t="shared" si="6"/>
        <v>0</v>
      </c>
    </row>
    <row r="81" spans="1:14" ht="14.25" thickTop="1" thickBot="1" x14ac:dyDescent="0.25">
      <c r="A81" s="32"/>
      <c r="B81" s="3">
        <v>13</v>
      </c>
      <c r="C81" s="13"/>
      <c r="D81" s="7" t="s">
        <v>215</v>
      </c>
      <c r="E81" s="184">
        <v>18</v>
      </c>
      <c r="F81" s="184">
        <v>63</v>
      </c>
      <c r="G81" s="8">
        <f t="shared" si="4"/>
        <v>0</v>
      </c>
      <c r="J81" t="s">
        <v>222</v>
      </c>
      <c r="K81" s="7" t="s">
        <v>214</v>
      </c>
      <c r="L81" s="184">
        <v>78</v>
      </c>
      <c r="M81" s="184">
        <v>51</v>
      </c>
      <c r="N81" s="8">
        <f>IF(AND(M81=$A$66,L81=$A$67),1,0)</f>
        <v>0</v>
      </c>
    </row>
    <row r="82" spans="1:14" ht="13.5" thickTop="1" x14ac:dyDescent="0.2">
      <c r="A82" s="32"/>
      <c r="B82" s="3">
        <v>14</v>
      </c>
      <c r="C82" s="13"/>
      <c r="D82" s="7" t="s">
        <v>215</v>
      </c>
      <c r="E82" s="184">
        <v>19</v>
      </c>
      <c r="F82" s="184">
        <v>63</v>
      </c>
      <c r="G82" s="8">
        <f t="shared" si="4"/>
        <v>0</v>
      </c>
      <c r="I82" s="162" t="s">
        <v>634</v>
      </c>
      <c r="J82" s="192" t="s">
        <v>635</v>
      </c>
      <c r="K82" s="7" t="s">
        <v>214</v>
      </c>
      <c r="L82" s="184">
        <v>79</v>
      </c>
      <c r="M82" s="184">
        <v>51</v>
      </c>
      <c r="N82" s="8">
        <f t="shared" ref="N82:N145" si="7">IF(AND(M82=$A$66,L82=$A$67),1,0)</f>
        <v>0</v>
      </c>
    </row>
    <row r="83" spans="1:14" x14ac:dyDescent="0.2">
      <c r="A83" s="32"/>
      <c r="B83" s="3">
        <v>15</v>
      </c>
      <c r="D83" s="7" t="s">
        <v>215</v>
      </c>
      <c r="E83" s="184">
        <v>20</v>
      </c>
      <c r="F83" s="184">
        <v>63</v>
      </c>
      <c r="G83" s="8">
        <f t="shared" si="4"/>
        <v>0</v>
      </c>
      <c r="I83" s="32"/>
      <c r="J83" s="16" t="s">
        <v>221</v>
      </c>
      <c r="K83" s="7" t="s">
        <v>214</v>
      </c>
      <c r="L83" s="184">
        <v>80</v>
      </c>
      <c r="M83" s="184">
        <v>51</v>
      </c>
      <c r="N83" s="8">
        <f t="shared" si="7"/>
        <v>0</v>
      </c>
    </row>
    <row r="84" spans="1:14" x14ac:dyDescent="0.2">
      <c r="A84" s="32"/>
      <c r="B84" s="3">
        <v>16</v>
      </c>
      <c r="D84" s="7" t="s">
        <v>215</v>
      </c>
      <c r="E84" s="184">
        <v>21</v>
      </c>
      <c r="F84" s="184">
        <v>63</v>
      </c>
      <c r="G84" s="8">
        <f t="shared" si="4"/>
        <v>0</v>
      </c>
      <c r="I84" s="32"/>
      <c r="J84" s="16" t="s">
        <v>318</v>
      </c>
      <c r="K84" s="7" t="s">
        <v>214</v>
      </c>
      <c r="L84" s="184">
        <v>81</v>
      </c>
      <c r="M84" s="184">
        <v>51</v>
      </c>
      <c r="N84" s="8">
        <f t="shared" si="7"/>
        <v>0</v>
      </c>
    </row>
    <row r="85" spans="1:14" ht="13.5" thickBot="1" x14ac:dyDescent="0.25">
      <c r="A85" s="32"/>
      <c r="B85" s="3">
        <v>17</v>
      </c>
      <c r="D85" s="7" t="s">
        <v>215</v>
      </c>
      <c r="E85" s="184">
        <v>22</v>
      </c>
      <c r="F85" s="184">
        <v>63</v>
      </c>
      <c r="G85" s="8">
        <f t="shared" si="4"/>
        <v>0</v>
      </c>
      <c r="I85" s="33"/>
      <c r="J85" s="4" t="s">
        <v>658</v>
      </c>
      <c r="K85" s="7" t="s">
        <v>214</v>
      </c>
      <c r="L85" s="184">
        <v>82</v>
      </c>
      <c r="M85" s="184">
        <v>51</v>
      </c>
      <c r="N85" s="8">
        <f t="shared" si="7"/>
        <v>0</v>
      </c>
    </row>
    <row r="86" spans="1:14" ht="14.25" thickTop="1" thickBot="1" x14ac:dyDescent="0.25">
      <c r="A86" s="32"/>
      <c r="B86" s="3">
        <v>18</v>
      </c>
      <c r="D86" s="7" t="s">
        <v>215</v>
      </c>
      <c r="E86" s="184">
        <v>23</v>
      </c>
      <c r="F86" s="184">
        <v>63</v>
      </c>
      <c r="G86" s="8">
        <f t="shared" si="4"/>
        <v>0</v>
      </c>
      <c r="I86" s="162"/>
      <c r="J86" s="622">
        <v>1</v>
      </c>
      <c r="K86" s="7" t="s">
        <v>214</v>
      </c>
      <c r="L86" s="184">
        <v>83</v>
      </c>
      <c r="M86" s="184">
        <v>51</v>
      </c>
      <c r="N86" s="8">
        <f t="shared" si="7"/>
        <v>0</v>
      </c>
    </row>
    <row r="87" spans="1:14" ht="13.5" thickTop="1" x14ac:dyDescent="0.2">
      <c r="A87" s="32"/>
      <c r="B87" s="3">
        <v>19</v>
      </c>
      <c r="D87" s="7" t="s">
        <v>215</v>
      </c>
      <c r="E87" s="184">
        <v>24</v>
      </c>
      <c r="F87" s="184">
        <v>63</v>
      </c>
      <c r="G87" s="8">
        <f t="shared" si="4"/>
        <v>0</v>
      </c>
      <c r="I87" s="32"/>
      <c r="J87" s="192" t="s">
        <v>633</v>
      </c>
      <c r="K87" s="7" t="s">
        <v>214</v>
      </c>
      <c r="L87" s="184">
        <v>84</v>
      </c>
      <c r="M87" s="184">
        <v>51</v>
      </c>
      <c r="N87" s="8">
        <f t="shared" si="7"/>
        <v>0</v>
      </c>
    </row>
    <row r="88" spans="1:14" x14ac:dyDescent="0.2">
      <c r="A88" s="32"/>
      <c r="B88" s="3">
        <v>20</v>
      </c>
      <c r="D88" s="7" t="s">
        <v>215</v>
      </c>
      <c r="E88" s="184">
        <v>25</v>
      </c>
      <c r="F88" s="184">
        <v>63</v>
      </c>
      <c r="G88" s="8">
        <f t="shared" si="4"/>
        <v>0</v>
      </c>
      <c r="I88" s="32"/>
      <c r="J88" s="16" t="s">
        <v>221</v>
      </c>
      <c r="K88" s="7" t="s">
        <v>214</v>
      </c>
      <c r="L88" s="184">
        <v>85</v>
      </c>
      <c r="M88" s="184">
        <v>51</v>
      </c>
      <c r="N88" s="8">
        <f t="shared" si="7"/>
        <v>0</v>
      </c>
    </row>
    <row r="89" spans="1:14" ht="13.5" thickBot="1" x14ac:dyDescent="0.25">
      <c r="A89" s="32"/>
      <c r="B89" s="3">
        <v>21</v>
      </c>
      <c r="D89" s="7" t="s">
        <v>215</v>
      </c>
      <c r="E89" s="184">
        <v>26</v>
      </c>
      <c r="F89" s="184">
        <v>63</v>
      </c>
      <c r="G89" s="8">
        <f t="shared" si="4"/>
        <v>0</v>
      </c>
      <c r="I89" s="33"/>
      <c r="J89" s="16" t="s">
        <v>523</v>
      </c>
      <c r="K89" s="7" t="s">
        <v>214</v>
      </c>
      <c r="L89" s="184">
        <v>86</v>
      </c>
      <c r="M89" s="184">
        <v>51</v>
      </c>
      <c r="N89" s="8">
        <f t="shared" si="7"/>
        <v>0</v>
      </c>
    </row>
    <row r="90" spans="1:14" ht="14.25" thickTop="1" thickBot="1" x14ac:dyDescent="0.25">
      <c r="A90" s="32"/>
      <c r="B90" s="3">
        <v>22</v>
      </c>
      <c r="D90" s="7" t="s">
        <v>215</v>
      </c>
      <c r="E90" s="184">
        <v>27</v>
      </c>
      <c r="F90" s="184">
        <v>63</v>
      </c>
      <c r="G90" s="8">
        <f t="shared" si="4"/>
        <v>0</v>
      </c>
      <c r="J90" s="622">
        <v>2</v>
      </c>
      <c r="K90" s="7" t="s">
        <v>214</v>
      </c>
      <c r="L90" s="184">
        <v>87</v>
      </c>
      <c r="M90" s="184">
        <v>51</v>
      </c>
      <c r="N90" s="8">
        <f t="shared" si="7"/>
        <v>0</v>
      </c>
    </row>
    <row r="91" spans="1:14" ht="14.25" thickTop="1" thickBot="1" x14ac:dyDescent="0.25">
      <c r="A91" s="32"/>
      <c r="B91" s="3">
        <v>23</v>
      </c>
      <c r="D91" s="7" t="s">
        <v>215</v>
      </c>
      <c r="E91" s="184">
        <v>28</v>
      </c>
      <c r="F91" s="184">
        <v>63</v>
      </c>
      <c r="G91" s="8">
        <f t="shared" si="4"/>
        <v>0</v>
      </c>
      <c r="I91" s="218" t="s">
        <v>642</v>
      </c>
      <c r="J91" s="14" t="s">
        <v>708</v>
      </c>
      <c r="K91" s="7" t="s">
        <v>214</v>
      </c>
      <c r="L91" s="184">
        <v>88</v>
      </c>
      <c r="M91" s="184">
        <v>51</v>
      </c>
      <c r="N91" s="8">
        <f t="shared" si="7"/>
        <v>0</v>
      </c>
    </row>
    <row r="92" spans="1:14" ht="14.25" thickTop="1" thickBot="1" x14ac:dyDescent="0.25">
      <c r="A92" s="32"/>
      <c r="B92" s="3">
        <v>24</v>
      </c>
      <c r="D92" s="7" t="s">
        <v>215</v>
      </c>
      <c r="E92" s="184">
        <v>29</v>
      </c>
      <c r="F92" s="184">
        <v>63</v>
      </c>
      <c r="G92" s="8">
        <f t="shared" si="4"/>
        <v>0</v>
      </c>
      <c r="J92" s="624">
        <v>1</v>
      </c>
      <c r="K92" s="7" t="s">
        <v>214</v>
      </c>
      <c r="L92" s="184">
        <v>89</v>
      </c>
      <c r="M92" s="184">
        <v>51</v>
      </c>
      <c r="N92" s="8">
        <f t="shared" si="7"/>
        <v>0</v>
      </c>
    </row>
    <row r="93" spans="1:14" ht="14.25" thickTop="1" thickBot="1" x14ac:dyDescent="0.25">
      <c r="A93" s="32"/>
      <c r="B93" s="3">
        <v>25</v>
      </c>
      <c r="D93" s="7" t="s">
        <v>215</v>
      </c>
      <c r="E93" s="184">
        <v>30</v>
      </c>
      <c r="F93" s="184">
        <v>63</v>
      </c>
      <c r="G93" s="8">
        <f t="shared" si="4"/>
        <v>0</v>
      </c>
      <c r="I93" s="238" t="s">
        <v>688</v>
      </c>
      <c r="J93" s="624">
        <v>1</v>
      </c>
      <c r="K93" s="7" t="s">
        <v>214</v>
      </c>
      <c r="L93" s="184">
        <v>90</v>
      </c>
      <c r="M93" s="184">
        <v>51</v>
      </c>
      <c r="N93" s="8">
        <f t="shared" si="7"/>
        <v>0</v>
      </c>
    </row>
    <row r="94" spans="1:14" ht="13.5" thickTop="1" x14ac:dyDescent="0.2">
      <c r="A94" s="32"/>
      <c r="B94" s="3">
        <v>26</v>
      </c>
      <c r="D94" s="7" t="s">
        <v>215</v>
      </c>
      <c r="E94" s="184">
        <v>31</v>
      </c>
      <c r="F94" s="184">
        <v>63</v>
      </c>
      <c r="G94" s="8">
        <f t="shared" si="4"/>
        <v>0</v>
      </c>
      <c r="I94" s="162" t="s">
        <v>709</v>
      </c>
      <c r="J94" s="163"/>
      <c r="K94" s="7" t="s">
        <v>214</v>
      </c>
      <c r="L94" s="184">
        <v>91</v>
      </c>
      <c r="M94" s="184">
        <v>51</v>
      </c>
      <c r="N94" s="8">
        <f t="shared" si="7"/>
        <v>0</v>
      </c>
    </row>
    <row r="95" spans="1:14" x14ac:dyDescent="0.2">
      <c r="A95" s="32"/>
      <c r="B95" s="3">
        <v>27</v>
      </c>
      <c r="D95" s="7" t="s">
        <v>215</v>
      </c>
      <c r="E95" s="184">
        <v>32</v>
      </c>
      <c r="F95" s="184">
        <v>63</v>
      </c>
      <c r="G95" s="8">
        <f t="shared" si="4"/>
        <v>0</v>
      </c>
      <c r="I95" s="32">
        <v>1</v>
      </c>
      <c r="J95" s="286" t="s">
        <v>318</v>
      </c>
      <c r="K95" s="7" t="s">
        <v>214</v>
      </c>
      <c r="L95" s="184">
        <v>92</v>
      </c>
      <c r="M95" s="184">
        <v>51</v>
      </c>
      <c r="N95" s="8">
        <f t="shared" si="7"/>
        <v>0</v>
      </c>
    </row>
    <row r="96" spans="1:14" x14ac:dyDescent="0.2">
      <c r="A96" s="32"/>
      <c r="B96" s="3">
        <v>28</v>
      </c>
      <c r="D96" s="7" t="s">
        <v>215</v>
      </c>
      <c r="E96" s="184">
        <v>33</v>
      </c>
      <c r="F96" s="184">
        <v>63</v>
      </c>
      <c r="G96" s="8">
        <f t="shared" si="4"/>
        <v>0</v>
      </c>
      <c r="I96" s="32">
        <v>2</v>
      </c>
      <c r="J96" s="286" t="s">
        <v>221</v>
      </c>
      <c r="K96" s="7" t="s">
        <v>214</v>
      </c>
      <c r="L96" s="184">
        <v>93</v>
      </c>
      <c r="M96" s="184">
        <v>51</v>
      </c>
      <c r="N96" s="8">
        <f t="shared" si="7"/>
        <v>0</v>
      </c>
    </row>
    <row r="97" spans="1:14" ht="13.5" thickBot="1" x14ac:dyDescent="0.25">
      <c r="A97" s="32"/>
      <c r="B97" s="3">
        <v>29</v>
      </c>
      <c r="D97" s="7" t="s">
        <v>215</v>
      </c>
      <c r="E97" s="184">
        <v>34</v>
      </c>
      <c r="F97" s="184">
        <v>63</v>
      </c>
      <c r="G97" s="8">
        <f t="shared" si="4"/>
        <v>0</v>
      </c>
      <c r="I97" s="33"/>
      <c r="J97" s="588">
        <v>1</v>
      </c>
      <c r="K97" s="7" t="s">
        <v>214</v>
      </c>
      <c r="L97" s="184">
        <v>94</v>
      </c>
      <c r="M97" s="184">
        <v>51</v>
      </c>
      <c r="N97" s="8">
        <f t="shared" si="7"/>
        <v>0</v>
      </c>
    </row>
    <row r="98" spans="1:14" ht="13.5" thickTop="1" x14ac:dyDescent="0.2">
      <c r="A98" s="32"/>
      <c r="B98" s="3">
        <v>30</v>
      </c>
      <c r="D98" s="7" t="s">
        <v>215</v>
      </c>
      <c r="E98" s="184">
        <v>35</v>
      </c>
      <c r="F98" s="184">
        <v>63</v>
      </c>
      <c r="G98" s="8">
        <f t="shared" si="4"/>
        <v>0</v>
      </c>
      <c r="I98" s="14" t="s">
        <v>728</v>
      </c>
      <c r="J98" s="14"/>
      <c r="K98" s="7" t="s">
        <v>214</v>
      </c>
      <c r="L98" s="184">
        <v>95</v>
      </c>
      <c r="M98" s="184">
        <v>51</v>
      </c>
      <c r="N98" s="8">
        <f t="shared" si="7"/>
        <v>0</v>
      </c>
    </row>
    <row r="99" spans="1:14" x14ac:dyDescent="0.2">
      <c r="A99" s="32"/>
      <c r="B99" s="3">
        <v>31</v>
      </c>
      <c r="D99" s="7" t="s">
        <v>215</v>
      </c>
      <c r="E99" s="184">
        <v>36</v>
      </c>
      <c r="F99" s="184">
        <v>63</v>
      </c>
      <c r="G99" s="8">
        <f t="shared" si="4"/>
        <v>0</v>
      </c>
      <c r="I99" s="32">
        <v>1</v>
      </c>
      <c r="J99" s="286" t="s">
        <v>221</v>
      </c>
      <c r="K99" s="7" t="s">
        <v>213</v>
      </c>
      <c r="L99" s="184">
        <v>74</v>
      </c>
      <c r="M99" s="184">
        <v>34</v>
      </c>
      <c r="N99" s="8">
        <f t="shared" si="7"/>
        <v>0</v>
      </c>
    </row>
    <row r="100" spans="1:14" x14ac:dyDescent="0.2">
      <c r="A100" s="32"/>
      <c r="B100" s="3">
        <v>32</v>
      </c>
      <c r="D100" s="7" t="s">
        <v>215</v>
      </c>
      <c r="E100" s="184">
        <v>37</v>
      </c>
      <c r="F100" s="184">
        <v>63</v>
      </c>
      <c r="G100" s="8">
        <f t="shared" si="4"/>
        <v>0</v>
      </c>
      <c r="I100" s="32">
        <v>2</v>
      </c>
      <c r="J100" s="286" t="s">
        <v>318</v>
      </c>
      <c r="K100" s="7" t="s">
        <v>213</v>
      </c>
      <c r="L100" s="201">
        <v>75</v>
      </c>
      <c r="M100" s="184">
        <v>34</v>
      </c>
      <c r="N100" s="8">
        <f t="shared" si="7"/>
        <v>0</v>
      </c>
    </row>
    <row r="101" spans="1:14" ht="13.5" thickBot="1" x14ac:dyDescent="0.25">
      <c r="A101" s="32"/>
      <c r="B101" s="3">
        <v>33</v>
      </c>
      <c r="D101" s="7" t="s">
        <v>215</v>
      </c>
      <c r="E101" s="184">
        <v>38</v>
      </c>
      <c r="F101" s="184">
        <v>63</v>
      </c>
      <c r="G101" s="8">
        <f t="shared" si="4"/>
        <v>0</v>
      </c>
      <c r="I101" s="33"/>
      <c r="J101" s="588">
        <v>1</v>
      </c>
      <c r="K101" s="7" t="s">
        <v>213</v>
      </c>
      <c r="L101" s="201">
        <v>76</v>
      </c>
      <c r="M101" s="184">
        <v>34</v>
      </c>
      <c r="N101" s="8">
        <f t="shared" si="7"/>
        <v>0</v>
      </c>
    </row>
    <row r="102" spans="1:14" ht="13.5" thickTop="1" x14ac:dyDescent="0.2">
      <c r="A102" s="32"/>
      <c r="B102" s="3">
        <v>34</v>
      </c>
      <c r="D102" s="7" t="s">
        <v>215</v>
      </c>
      <c r="E102" s="184">
        <v>39</v>
      </c>
      <c r="F102" s="184">
        <v>63</v>
      </c>
      <c r="G102" s="8">
        <f t="shared" si="4"/>
        <v>0</v>
      </c>
      <c r="I102" s="14" t="s">
        <v>373</v>
      </c>
      <c r="J102" s="14"/>
      <c r="K102" s="7" t="s">
        <v>213</v>
      </c>
      <c r="L102" s="201">
        <v>77</v>
      </c>
      <c r="M102" s="184">
        <v>34</v>
      </c>
      <c r="N102" s="8">
        <f t="shared" si="7"/>
        <v>0</v>
      </c>
    </row>
    <row r="103" spans="1:14" x14ac:dyDescent="0.2">
      <c r="A103" s="32"/>
      <c r="B103" s="3">
        <v>35</v>
      </c>
      <c r="D103" s="7" t="s">
        <v>215</v>
      </c>
      <c r="E103" s="184">
        <v>40</v>
      </c>
      <c r="F103" s="184">
        <v>63</v>
      </c>
      <c r="G103" s="8">
        <f t="shared" si="4"/>
        <v>0</v>
      </c>
      <c r="I103" s="32">
        <v>1</v>
      </c>
      <c r="J103" s="286" t="s">
        <v>221</v>
      </c>
      <c r="K103" s="7" t="s">
        <v>213</v>
      </c>
      <c r="L103" s="201">
        <v>78</v>
      </c>
      <c r="M103" s="184">
        <v>34</v>
      </c>
      <c r="N103" s="8">
        <f t="shared" si="7"/>
        <v>0</v>
      </c>
    </row>
    <row r="104" spans="1:14" x14ac:dyDescent="0.2">
      <c r="A104" s="32"/>
      <c r="B104" s="3">
        <v>36</v>
      </c>
      <c r="D104" s="7" t="s">
        <v>215</v>
      </c>
      <c r="E104" s="184">
        <v>41</v>
      </c>
      <c r="F104" s="184">
        <v>63</v>
      </c>
      <c r="G104" s="8">
        <f t="shared" si="4"/>
        <v>0</v>
      </c>
      <c r="I104" s="32">
        <v>2</v>
      </c>
      <c r="J104" s="286" t="s">
        <v>318</v>
      </c>
      <c r="K104" s="7" t="s">
        <v>213</v>
      </c>
      <c r="L104" s="201">
        <v>79</v>
      </c>
      <c r="M104" s="184">
        <v>34</v>
      </c>
      <c r="N104" s="8">
        <f t="shared" si="7"/>
        <v>0</v>
      </c>
    </row>
    <row r="105" spans="1:14" ht="13.5" thickBot="1" x14ac:dyDescent="0.25">
      <c r="A105" s="32"/>
      <c r="B105" s="3">
        <v>37</v>
      </c>
      <c r="D105" s="7" t="s">
        <v>215</v>
      </c>
      <c r="E105" s="184">
        <v>42</v>
      </c>
      <c r="F105" s="184">
        <v>63</v>
      </c>
      <c r="G105" s="8">
        <f t="shared" si="4"/>
        <v>0</v>
      </c>
      <c r="I105" s="33"/>
      <c r="J105" s="588">
        <v>2</v>
      </c>
      <c r="K105" s="7" t="s">
        <v>213</v>
      </c>
      <c r="L105" s="184">
        <v>151</v>
      </c>
      <c r="M105" s="184">
        <v>34</v>
      </c>
      <c r="N105" s="8">
        <f t="shared" si="7"/>
        <v>0</v>
      </c>
    </row>
    <row r="106" spans="1:14" ht="13.5" thickTop="1" x14ac:dyDescent="0.2">
      <c r="A106" s="32"/>
      <c r="B106" s="3">
        <v>38</v>
      </c>
      <c r="D106" s="7" t="s">
        <v>215</v>
      </c>
      <c r="E106" s="184">
        <v>43</v>
      </c>
      <c r="F106" s="184">
        <v>63</v>
      </c>
      <c r="G106" s="8">
        <f t="shared" si="4"/>
        <v>0</v>
      </c>
      <c r="I106" s="14" t="s">
        <v>416</v>
      </c>
      <c r="J106" s="14"/>
      <c r="K106" s="7" t="s">
        <v>213</v>
      </c>
      <c r="L106" s="184">
        <v>152</v>
      </c>
      <c r="M106" s="184">
        <v>34</v>
      </c>
      <c r="N106" s="8">
        <f t="shared" si="7"/>
        <v>0</v>
      </c>
    </row>
    <row r="107" spans="1:14" x14ac:dyDescent="0.2">
      <c r="A107" s="32"/>
      <c r="B107" s="3">
        <v>39</v>
      </c>
      <c r="D107" s="7" t="s">
        <v>215</v>
      </c>
      <c r="E107" s="184">
        <v>44</v>
      </c>
      <c r="F107" s="184">
        <v>63</v>
      </c>
      <c r="G107" s="8">
        <f t="shared" si="4"/>
        <v>0</v>
      </c>
      <c r="I107" s="32">
        <v>1</v>
      </c>
      <c r="J107" s="286" t="s">
        <v>221</v>
      </c>
      <c r="K107" s="7" t="s">
        <v>215</v>
      </c>
      <c r="L107" s="184">
        <v>54</v>
      </c>
      <c r="M107" s="184">
        <v>63</v>
      </c>
      <c r="N107" s="8">
        <f t="shared" si="7"/>
        <v>0</v>
      </c>
    </row>
    <row r="108" spans="1:14" x14ac:dyDescent="0.2">
      <c r="A108" s="32"/>
      <c r="B108" s="3">
        <v>40</v>
      </c>
      <c r="D108" s="7" t="s">
        <v>215</v>
      </c>
      <c r="E108" s="184">
        <v>45</v>
      </c>
      <c r="F108" s="184">
        <v>63</v>
      </c>
      <c r="G108" s="8">
        <f t="shared" si="4"/>
        <v>0</v>
      </c>
      <c r="I108" s="32">
        <v>2</v>
      </c>
      <c r="J108" s="286" t="s">
        <v>318</v>
      </c>
      <c r="K108" s="7" t="s">
        <v>215</v>
      </c>
      <c r="L108" s="184">
        <v>55</v>
      </c>
      <c r="M108" s="184">
        <v>63</v>
      </c>
      <c r="N108" s="8">
        <f t="shared" si="7"/>
        <v>0</v>
      </c>
    </row>
    <row r="109" spans="1:14" ht="13.5" thickBot="1" x14ac:dyDescent="0.25">
      <c r="A109" s="32"/>
      <c r="B109" s="3">
        <v>41</v>
      </c>
      <c r="D109" s="7" t="s">
        <v>215</v>
      </c>
      <c r="E109" s="184">
        <v>46</v>
      </c>
      <c r="F109" s="184">
        <v>63</v>
      </c>
      <c r="G109" s="8">
        <f t="shared" si="4"/>
        <v>0</v>
      </c>
      <c r="I109" s="33"/>
      <c r="J109" s="588">
        <v>1</v>
      </c>
      <c r="K109" s="7" t="s">
        <v>215</v>
      </c>
      <c r="L109" s="184">
        <v>56</v>
      </c>
      <c r="M109" s="184">
        <v>63</v>
      </c>
      <c r="N109" s="8">
        <f t="shared" si="7"/>
        <v>0</v>
      </c>
    </row>
    <row r="110" spans="1:14" ht="13.5" thickTop="1" x14ac:dyDescent="0.2">
      <c r="A110" s="32"/>
      <c r="B110" s="3">
        <v>42</v>
      </c>
      <c r="D110" s="7" t="s">
        <v>215</v>
      </c>
      <c r="E110" s="184">
        <v>47</v>
      </c>
      <c r="F110" s="184">
        <v>63</v>
      </c>
      <c r="G110" s="8">
        <f t="shared" si="4"/>
        <v>0</v>
      </c>
      <c r="I110" s="162" t="s">
        <v>50</v>
      </c>
      <c r="J110" s="163"/>
      <c r="K110" s="7" t="s">
        <v>215</v>
      </c>
      <c r="L110" s="184">
        <v>57</v>
      </c>
      <c r="M110" s="184">
        <v>63</v>
      </c>
      <c r="N110" s="8">
        <f t="shared" si="7"/>
        <v>0</v>
      </c>
    </row>
    <row r="111" spans="1:14" x14ac:dyDescent="0.2">
      <c r="A111" s="32"/>
      <c r="B111" s="3">
        <v>43</v>
      </c>
      <c r="D111" s="7" t="s">
        <v>215</v>
      </c>
      <c r="E111" s="184">
        <v>48</v>
      </c>
      <c r="F111" s="184">
        <v>63</v>
      </c>
      <c r="G111" s="8">
        <f t="shared" si="4"/>
        <v>0</v>
      </c>
      <c r="I111" s="32">
        <v>1</v>
      </c>
      <c r="J111" s="3" t="s">
        <v>477</v>
      </c>
      <c r="K111" s="7" t="s">
        <v>215</v>
      </c>
      <c r="L111" s="184">
        <v>79</v>
      </c>
      <c r="M111" s="184">
        <v>63</v>
      </c>
      <c r="N111" s="8">
        <f t="shared" si="7"/>
        <v>0</v>
      </c>
    </row>
    <row r="112" spans="1:14" x14ac:dyDescent="0.2">
      <c r="A112" s="32"/>
      <c r="B112" s="3">
        <v>44</v>
      </c>
      <c r="D112" s="7" t="s">
        <v>215</v>
      </c>
      <c r="E112" s="184">
        <v>49</v>
      </c>
      <c r="F112" s="184">
        <v>63</v>
      </c>
      <c r="G112" s="8">
        <f t="shared" si="4"/>
        <v>0</v>
      </c>
      <c r="I112" s="32">
        <v>2</v>
      </c>
      <c r="J112" s="3" t="s">
        <v>318</v>
      </c>
      <c r="K112" s="7" t="s">
        <v>215</v>
      </c>
      <c r="L112" s="184">
        <v>80</v>
      </c>
      <c r="M112" s="184">
        <v>63</v>
      </c>
      <c r="N112" s="8">
        <f t="shared" si="7"/>
        <v>0</v>
      </c>
    </row>
    <row r="113" spans="1:38" x14ac:dyDescent="0.2">
      <c r="A113" s="32"/>
      <c r="B113" s="3">
        <v>45</v>
      </c>
      <c r="D113" s="7" t="s">
        <v>215</v>
      </c>
      <c r="E113" s="184">
        <v>50</v>
      </c>
      <c r="F113" s="184">
        <v>63</v>
      </c>
      <c r="G113" s="8">
        <f t="shared" si="4"/>
        <v>0</v>
      </c>
      <c r="I113" s="32">
        <v>3</v>
      </c>
      <c r="J113" s="3" t="s">
        <v>715</v>
      </c>
      <c r="K113" s="7" t="s">
        <v>215</v>
      </c>
      <c r="L113" s="184">
        <v>81</v>
      </c>
      <c r="M113" s="184">
        <v>63</v>
      </c>
      <c r="N113" s="8">
        <f t="shared" si="7"/>
        <v>0</v>
      </c>
    </row>
    <row r="114" spans="1:38" x14ac:dyDescent="0.2">
      <c r="A114" s="32"/>
      <c r="B114" s="3">
        <v>46</v>
      </c>
      <c r="D114" s="7" t="s">
        <v>215</v>
      </c>
      <c r="E114" s="184">
        <v>51</v>
      </c>
      <c r="F114" s="184">
        <v>63</v>
      </c>
      <c r="G114" s="8">
        <f t="shared" si="4"/>
        <v>0</v>
      </c>
      <c r="I114" s="32"/>
      <c r="J114" s="587">
        <v>1</v>
      </c>
      <c r="K114" s="7" t="s">
        <v>215</v>
      </c>
      <c r="L114" s="184">
        <v>82</v>
      </c>
      <c r="M114" s="184">
        <v>63</v>
      </c>
      <c r="N114" s="8">
        <f t="shared" si="7"/>
        <v>0</v>
      </c>
    </row>
    <row r="115" spans="1:38" x14ac:dyDescent="0.2">
      <c r="A115" s="32"/>
      <c r="B115" s="3">
        <v>47</v>
      </c>
      <c r="D115" s="7" t="s">
        <v>215</v>
      </c>
      <c r="E115" s="184">
        <v>52</v>
      </c>
      <c r="F115" s="184">
        <v>63</v>
      </c>
      <c r="G115" s="8">
        <f t="shared" si="4"/>
        <v>0</v>
      </c>
      <c r="I115" s="32"/>
      <c r="J115" s="587">
        <v>1</v>
      </c>
      <c r="K115" s="7" t="s">
        <v>215</v>
      </c>
      <c r="L115" s="184">
        <v>83</v>
      </c>
      <c r="M115" s="184">
        <v>63</v>
      </c>
      <c r="N115" s="8">
        <f t="shared" si="7"/>
        <v>0</v>
      </c>
      <c r="AL115">
        <v>2</v>
      </c>
    </row>
    <row r="116" spans="1:38" ht="13.5" thickBot="1" x14ac:dyDescent="0.25">
      <c r="A116" s="32"/>
      <c r="B116" s="3">
        <v>48</v>
      </c>
      <c r="D116" s="7" t="s">
        <v>215</v>
      </c>
      <c r="E116" s="184">
        <v>53</v>
      </c>
      <c r="F116" s="184">
        <v>63</v>
      </c>
      <c r="G116" s="8">
        <f t="shared" si="4"/>
        <v>0</v>
      </c>
      <c r="I116" s="33"/>
      <c r="J116" s="588">
        <v>1</v>
      </c>
      <c r="K116" s="7" t="s">
        <v>215</v>
      </c>
      <c r="L116" s="184">
        <v>84</v>
      </c>
      <c r="M116" s="184">
        <v>63</v>
      </c>
      <c r="N116" s="8">
        <f t="shared" si="7"/>
        <v>0</v>
      </c>
    </row>
    <row r="117" spans="1:38" ht="13.5" thickTop="1" x14ac:dyDescent="0.2">
      <c r="A117" s="32"/>
      <c r="B117" s="3">
        <v>49</v>
      </c>
      <c r="D117" s="7" t="s">
        <v>215</v>
      </c>
      <c r="E117" s="184">
        <v>54</v>
      </c>
      <c r="F117" s="184">
        <v>63</v>
      </c>
      <c r="G117" s="8">
        <f t="shared" si="4"/>
        <v>0</v>
      </c>
      <c r="K117" s="7" t="s">
        <v>215</v>
      </c>
      <c r="L117" s="184">
        <v>85</v>
      </c>
      <c r="M117" s="184">
        <v>63</v>
      </c>
      <c r="N117" s="8">
        <f t="shared" si="7"/>
        <v>0</v>
      </c>
    </row>
    <row r="118" spans="1:38" x14ac:dyDescent="0.2">
      <c r="A118" s="32"/>
      <c r="B118" s="3">
        <v>50</v>
      </c>
      <c r="D118" s="7" t="s">
        <v>215</v>
      </c>
      <c r="E118" s="184">
        <v>55</v>
      </c>
      <c r="F118" s="184">
        <v>63</v>
      </c>
      <c r="G118" s="8">
        <f t="shared" si="4"/>
        <v>0</v>
      </c>
      <c r="K118" s="7" t="s">
        <v>215</v>
      </c>
      <c r="L118" s="184">
        <v>86</v>
      </c>
      <c r="M118" s="184">
        <v>63</v>
      </c>
      <c r="N118" s="8">
        <f t="shared" si="7"/>
        <v>0</v>
      </c>
    </row>
    <row r="119" spans="1:38" x14ac:dyDescent="0.2">
      <c r="A119" s="32"/>
      <c r="B119" s="3">
        <v>51</v>
      </c>
      <c r="D119" s="7" t="s">
        <v>215</v>
      </c>
      <c r="E119" s="184">
        <v>56</v>
      </c>
      <c r="F119" s="184">
        <v>63</v>
      </c>
      <c r="G119" s="8">
        <f t="shared" si="4"/>
        <v>0</v>
      </c>
      <c r="K119" s="7" t="s">
        <v>215</v>
      </c>
      <c r="L119" s="184">
        <v>107</v>
      </c>
      <c r="M119" s="184">
        <v>63</v>
      </c>
      <c r="N119" s="8">
        <f t="shared" si="7"/>
        <v>0</v>
      </c>
    </row>
    <row r="120" spans="1:38" x14ac:dyDescent="0.2">
      <c r="A120" s="32"/>
      <c r="B120" s="3">
        <v>52</v>
      </c>
      <c r="D120" s="7" t="s">
        <v>215</v>
      </c>
      <c r="E120" s="184">
        <v>57</v>
      </c>
      <c r="F120" s="184">
        <v>63</v>
      </c>
      <c r="G120" s="8">
        <f t="shared" si="4"/>
        <v>0</v>
      </c>
      <c r="K120" s="7" t="s">
        <v>215</v>
      </c>
      <c r="L120" s="184">
        <v>108</v>
      </c>
      <c r="M120" s="184">
        <v>63</v>
      </c>
      <c r="N120" s="8">
        <f t="shared" si="7"/>
        <v>0</v>
      </c>
    </row>
    <row r="121" spans="1:38" x14ac:dyDescent="0.2">
      <c r="A121" s="32"/>
      <c r="B121" s="3">
        <v>53</v>
      </c>
      <c r="D121" s="7" t="s">
        <v>215</v>
      </c>
      <c r="E121" s="184">
        <v>58</v>
      </c>
      <c r="F121" s="184">
        <v>63</v>
      </c>
      <c r="G121" s="8">
        <f t="shared" si="4"/>
        <v>0</v>
      </c>
      <c r="K121" s="7" t="s">
        <v>215</v>
      </c>
      <c r="L121" s="184">
        <v>109</v>
      </c>
      <c r="M121" s="184">
        <v>63</v>
      </c>
      <c r="N121" s="8">
        <f t="shared" si="7"/>
        <v>0</v>
      </c>
    </row>
    <row r="122" spans="1:38" x14ac:dyDescent="0.2">
      <c r="A122" s="32"/>
      <c r="B122" s="3">
        <v>54</v>
      </c>
      <c r="D122" s="7" t="s">
        <v>215</v>
      </c>
      <c r="E122" s="184">
        <v>59</v>
      </c>
      <c r="F122" s="184">
        <v>63</v>
      </c>
      <c r="G122" s="8">
        <f t="shared" si="4"/>
        <v>0</v>
      </c>
      <c r="K122" s="7" t="s">
        <v>215</v>
      </c>
      <c r="L122" s="184">
        <v>110</v>
      </c>
      <c r="M122" s="184">
        <v>63</v>
      </c>
      <c r="N122" s="8">
        <f t="shared" si="7"/>
        <v>0</v>
      </c>
    </row>
    <row r="123" spans="1:38" x14ac:dyDescent="0.2">
      <c r="A123" s="32"/>
      <c r="B123" s="3">
        <v>55</v>
      </c>
      <c r="D123" s="7" t="s">
        <v>215</v>
      </c>
      <c r="E123" s="184">
        <v>60</v>
      </c>
      <c r="F123" s="184">
        <v>63</v>
      </c>
      <c r="G123" s="8">
        <f t="shared" si="4"/>
        <v>0</v>
      </c>
      <c r="K123" s="7" t="s">
        <v>215</v>
      </c>
      <c r="L123" s="184">
        <v>111</v>
      </c>
      <c r="M123" s="184">
        <v>63</v>
      </c>
      <c r="N123" s="8">
        <f t="shared" si="7"/>
        <v>0</v>
      </c>
    </row>
    <row r="124" spans="1:38" x14ac:dyDescent="0.2">
      <c r="A124" s="32"/>
      <c r="B124" s="3">
        <v>56</v>
      </c>
      <c r="D124" s="7" t="s">
        <v>215</v>
      </c>
      <c r="E124" s="184">
        <v>61</v>
      </c>
      <c r="F124" s="184">
        <v>63</v>
      </c>
      <c r="G124" s="8">
        <f t="shared" si="4"/>
        <v>0</v>
      </c>
      <c r="K124" s="7" t="s">
        <v>215</v>
      </c>
      <c r="L124" s="184">
        <v>126</v>
      </c>
      <c r="M124" s="184">
        <v>63</v>
      </c>
      <c r="N124" s="8">
        <f t="shared" si="7"/>
        <v>0</v>
      </c>
    </row>
    <row r="125" spans="1:38" x14ac:dyDescent="0.2">
      <c r="A125" s="32"/>
      <c r="B125" s="3">
        <v>57</v>
      </c>
      <c r="D125" s="7" t="s">
        <v>215</v>
      </c>
      <c r="E125" s="184">
        <v>62</v>
      </c>
      <c r="F125" s="184">
        <v>63</v>
      </c>
      <c r="G125" s="8">
        <f t="shared" si="4"/>
        <v>0</v>
      </c>
      <c r="K125" s="7" t="s">
        <v>215</v>
      </c>
      <c r="L125" s="184">
        <v>127</v>
      </c>
      <c r="M125" s="184">
        <v>63</v>
      </c>
      <c r="N125" s="8">
        <f t="shared" si="7"/>
        <v>0</v>
      </c>
    </row>
    <row r="126" spans="1:38" x14ac:dyDescent="0.2">
      <c r="A126" s="32"/>
      <c r="B126" s="3">
        <v>58</v>
      </c>
      <c r="D126" s="7" t="s">
        <v>215</v>
      </c>
      <c r="E126" s="184">
        <v>63</v>
      </c>
      <c r="F126" s="184">
        <v>63</v>
      </c>
      <c r="G126" s="8">
        <f t="shared" si="4"/>
        <v>0</v>
      </c>
      <c r="K126" s="7" t="s">
        <v>215</v>
      </c>
      <c r="L126" s="184">
        <v>128</v>
      </c>
      <c r="M126" s="184">
        <v>63</v>
      </c>
      <c r="N126" s="8">
        <f t="shared" si="7"/>
        <v>0</v>
      </c>
    </row>
    <row r="127" spans="1:38" x14ac:dyDescent="0.2">
      <c r="A127" s="32"/>
      <c r="B127" s="3">
        <v>59</v>
      </c>
      <c r="D127" s="7" t="s">
        <v>215</v>
      </c>
      <c r="E127" s="184">
        <v>64</v>
      </c>
      <c r="F127" s="184">
        <v>63</v>
      </c>
      <c r="G127" s="8">
        <f t="shared" si="4"/>
        <v>0</v>
      </c>
      <c r="K127" s="7" t="s">
        <v>215</v>
      </c>
      <c r="L127" s="184">
        <v>129</v>
      </c>
      <c r="M127" s="184">
        <v>63</v>
      </c>
      <c r="N127" s="8">
        <f t="shared" si="7"/>
        <v>0</v>
      </c>
    </row>
    <row r="128" spans="1:38" x14ac:dyDescent="0.2">
      <c r="A128" s="32"/>
      <c r="B128" s="3">
        <v>60</v>
      </c>
      <c r="D128" s="7" t="s">
        <v>215</v>
      </c>
      <c r="E128" s="184">
        <v>65</v>
      </c>
      <c r="F128" s="184">
        <v>63</v>
      </c>
      <c r="G128" s="8">
        <f t="shared" ref="G128:G191" si="8">IF(AND(F128=$A$66,E128=$A$67),1,0)</f>
        <v>0</v>
      </c>
      <c r="K128" s="7" t="s">
        <v>215</v>
      </c>
      <c r="L128" s="184">
        <v>144</v>
      </c>
      <c r="M128" s="184">
        <v>63</v>
      </c>
      <c r="N128" s="8">
        <f t="shared" si="7"/>
        <v>0</v>
      </c>
    </row>
    <row r="129" spans="1:14" x14ac:dyDescent="0.2">
      <c r="A129" s="32"/>
      <c r="B129" s="3">
        <v>61</v>
      </c>
      <c r="D129" s="7" t="s">
        <v>215</v>
      </c>
      <c r="E129" s="184">
        <v>66</v>
      </c>
      <c r="F129" s="184">
        <v>63</v>
      </c>
      <c r="G129" s="8">
        <f t="shared" si="8"/>
        <v>0</v>
      </c>
      <c r="K129" s="7" t="s">
        <v>215</v>
      </c>
      <c r="L129" s="184">
        <v>145</v>
      </c>
      <c r="M129" s="184">
        <v>63</v>
      </c>
      <c r="N129" s="8">
        <f t="shared" si="7"/>
        <v>0</v>
      </c>
    </row>
    <row r="130" spans="1:14" x14ac:dyDescent="0.2">
      <c r="A130" s="32"/>
      <c r="B130" s="3">
        <v>62</v>
      </c>
      <c r="D130" s="7" t="s">
        <v>215</v>
      </c>
      <c r="E130" s="184">
        <v>67</v>
      </c>
      <c r="F130" s="184">
        <v>63</v>
      </c>
      <c r="G130" s="8">
        <f t="shared" si="8"/>
        <v>0</v>
      </c>
      <c r="K130" s="7" t="s">
        <v>215</v>
      </c>
      <c r="L130" s="184">
        <v>146</v>
      </c>
      <c r="M130" s="184">
        <v>63</v>
      </c>
      <c r="N130" s="8">
        <f t="shared" si="7"/>
        <v>0</v>
      </c>
    </row>
    <row r="131" spans="1:14" x14ac:dyDescent="0.2">
      <c r="A131" s="32"/>
      <c r="B131" s="3">
        <v>63</v>
      </c>
      <c r="D131" s="7" t="s">
        <v>215</v>
      </c>
      <c r="E131" s="184">
        <v>68</v>
      </c>
      <c r="F131" s="184">
        <v>63</v>
      </c>
      <c r="G131" s="8">
        <f t="shared" si="8"/>
        <v>0</v>
      </c>
      <c r="K131" s="7" t="s">
        <v>216</v>
      </c>
      <c r="L131" s="184">
        <v>20</v>
      </c>
      <c r="M131" s="184">
        <v>37</v>
      </c>
      <c r="N131" s="8">
        <f t="shared" si="7"/>
        <v>0</v>
      </c>
    </row>
    <row r="132" spans="1:14" x14ac:dyDescent="0.2">
      <c r="A132" s="32"/>
      <c r="B132" s="3">
        <v>64</v>
      </c>
      <c r="D132" s="7" t="s">
        <v>215</v>
      </c>
      <c r="E132" s="184">
        <v>69</v>
      </c>
      <c r="F132" s="184">
        <v>63</v>
      </c>
      <c r="G132" s="8">
        <f t="shared" si="8"/>
        <v>0</v>
      </c>
      <c r="K132" s="7" t="s">
        <v>216</v>
      </c>
      <c r="L132" s="184">
        <v>21</v>
      </c>
      <c r="M132" s="184">
        <v>37</v>
      </c>
      <c r="N132" s="8">
        <f t="shared" si="7"/>
        <v>0</v>
      </c>
    </row>
    <row r="133" spans="1:14" x14ac:dyDescent="0.2">
      <c r="A133" s="32"/>
      <c r="B133" s="3">
        <v>65</v>
      </c>
      <c r="D133" s="7" t="s">
        <v>215</v>
      </c>
      <c r="E133" s="184">
        <v>70</v>
      </c>
      <c r="F133" s="184">
        <v>63</v>
      </c>
      <c r="G133" s="8">
        <f t="shared" si="8"/>
        <v>0</v>
      </c>
      <c r="K133" s="7" t="s">
        <v>216</v>
      </c>
      <c r="L133" s="184">
        <v>22</v>
      </c>
      <c r="M133" s="184">
        <v>37</v>
      </c>
      <c r="N133" s="8">
        <f t="shared" si="7"/>
        <v>0</v>
      </c>
    </row>
    <row r="134" spans="1:14" x14ac:dyDescent="0.2">
      <c r="A134" s="32"/>
      <c r="B134" s="3">
        <v>66</v>
      </c>
      <c r="D134" s="7" t="s">
        <v>215</v>
      </c>
      <c r="E134" s="184">
        <v>71</v>
      </c>
      <c r="F134" s="184">
        <v>63</v>
      </c>
      <c r="G134" s="8">
        <f t="shared" si="8"/>
        <v>0</v>
      </c>
      <c r="K134" s="7" t="s">
        <v>216</v>
      </c>
      <c r="L134" s="184">
        <v>63</v>
      </c>
      <c r="M134" s="184">
        <v>37</v>
      </c>
      <c r="N134" s="8">
        <f t="shared" si="7"/>
        <v>0</v>
      </c>
    </row>
    <row r="135" spans="1:14" x14ac:dyDescent="0.2">
      <c r="A135" s="32"/>
      <c r="B135" s="3">
        <v>67</v>
      </c>
      <c r="D135" s="7" t="s">
        <v>215</v>
      </c>
      <c r="E135" s="184">
        <v>72</v>
      </c>
      <c r="F135" s="184">
        <v>63</v>
      </c>
      <c r="G135" s="8">
        <f t="shared" si="8"/>
        <v>0</v>
      </c>
      <c r="K135" s="7" t="s">
        <v>216</v>
      </c>
      <c r="L135" s="184">
        <v>64</v>
      </c>
      <c r="M135" s="184">
        <v>37</v>
      </c>
      <c r="N135" s="8">
        <f t="shared" si="7"/>
        <v>0</v>
      </c>
    </row>
    <row r="136" spans="1:14" x14ac:dyDescent="0.2">
      <c r="A136" s="32"/>
      <c r="B136" s="3">
        <v>68</v>
      </c>
      <c r="D136" s="7" t="s">
        <v>215</v>
      </c>
      <c r="E136" s="184">
        <v>73</v>
      </c>
      <c r="F136" s="184">
        <v>63</v>
      </c>
      <c r="G136" s="8">
        <f t="shared" si="8"/>
        <v>0</v>
      </c>
      <c r="K136" s="7" t="s">
        <v>216</v>
      </c>
      <c r="L136" s="184">
        <v>65</v>
      </c>
      <c r="M136" s="184">
        <v>37</v>
      </c>
      <c r="N136" s="8">
        <f t="shared" si="7"/>
        <v>0</v>
      </c>
    </row>
    <row r="137" spans="1:14" x14ac:dyDescent="0.2">
      <c r="A137" s="32"/>
      <c r="B137" s="3">
        <v>69</v>
      </c>
      <c r="D137" s="7" t="s">
        <v>215</v>
      </c>
      <c r="E137" s="184">
        <v>74</v>
      </c>
      <c r="F137" s="184">
        <v>63</v>
      </c>
      <c r="G137" s="8">
        <f t="shared" si="8"/>
        <v>0</v>
      </c>
      <c r="K137" s="7" t="s">
        <v>216</v>
      </c>
      <c r="L137" s="184">
        <v>107</v>
      </c>
      <c r="M137" s="184">
        <v>37</v>
      </c>
      <c r="N137" s="8">
        <f t="shared" si="7"/>
        <v>0</v>
      </c>
    </row>
    <row r="138" spans="1:14" x14ac:dyDescent="0.2">
      <c r="A138" s="32"/>
      <c r="B138" s="3">
        <v>70</v>
      </c>
      <c r="D138" s="7" t="s">
        <v>215</v>
      </c>
      <c r="E138" s="184">
        <v>75</v>
      </c>
      <c r="F138" s="184">
        <v>63</v>
      </c>
      <c r="G138" s="8">
        <f t="shared" si="8"/>
        <v>0</v>
      </c>
      <c r="K138" s="7" t="s">
        <v>216</v>
      </c>
      <c r="L138" s="184">
        <v>147</v>
      </c>
      <c r="M138" s="184">
        <v>37</v>
      </c>
      <c r="N138" s="8">
        <f t="shared" si="7"/>
        <v>0</v>
      </c>
    </row>
    <row r="139" spans="1:14" x14ac:dyDescent="0.2">
      <c r="A139" s="32"/>
      <c r="B139" s="3">
        <v>71</v>
      </c>
      <c r="D139" s="7" t="s">
        <v>215</v>
      </c>
      <c r="E139" s="184">
        <v>76</v>
      </c>
      <c r="F139" s="184">
        <v>63</v>
      </c>
      <c r="G139" s="8">
        <f t="shared" si="8"/>
        <v>0</v>
      </c>
      <c r="K139" s="7" t="s">
        <v>216</v>
      </c>
      <c r="L139" s="184">
        <v>148</v>
      </c>
      <c r="M139" s="184">
        <v>37</v>
      </c>
      <c r="N139" s="8">
        <f t="shared" si="7"/>
        <v>0</v>
      </c>
    </row>
    <row r="140" spans="1:14" x14ac:dyDescent="0.2">
      <c r="A140" s="32"/>
      <c r="B140" s="3">
        <v>72</v>
      </c>
      <c r="D140" s="7" t="s">
        <v>215</v>
      </c>
      <c r="E140" s="184">
        <v>77</v>
      </c>
      <c r="F140" s="184">
        <v>63</v>
      </c>
      <c r="G140" s="8">
        <f t="shared" si="8"/>
        <v>0</v>
      </c>
      <c r="K140" s="7" t="s">
        <v>216</v>
      </c>
      <c r="L140" s="184">
        <v>149</v>
      </c>
      <c r="M140" s="184">
        <v>37</v>
      </c>
      <c r="N140" s="8">
        <f t="shared" si="7"/>
        <v>0</v>
      </c>
    </row>
    <row r="141" spans="1:14" x14ac:dyDescent="0.2">
      <c r="A141" s="32"/>
      <c r="B141" s="3">
        <v>73</v>
      </c>
      <c r="D141" s="7" t="s">
        <v>215</v>
      </c>
      <c r="E141" s="184">
        <v>78</v>
      </c>
      <c r="F141" s="184">
        <v>63</v>
      </c>
      <c r="G141" s="8">
        <f t="shared" si="8"/>
        <v>0</v>
      </c>
      <c r="K141" s="7" t="s">
        <v>216</v>
      </c>
      <c r="L141" s="184">
        <v>150</v>
      </c>
      <c r="M141" s="184">
        <v>37</v>
      </c>
      <c r="N141" s="8">
        <f t="shared" si="7"/>
        <v>0</v>
      </c>
    </row>
    <row r="142" spans="1:14" x14ac:dyDescent="0.2">
      <c r="A142" s="32"/>
      <c r="B142" s="3">
        <v>74</v>
      </c>
      <c r="D142" s="7" t="s">
        <v>215</v>
      </c>
      <c r="E142" s="184">
        <v>79</v>
      </c>
      <c r="F142" s="184">
        <v>63</v>
      </c>
      <c r="G142" s="8">
        <f t="shared" si="8"/>
        <v>0</v>
      </c>
      <c r="K142" s="7" t="s">
        <v>216</v>
      </c>
      <c r="L142" s="184">
        <v>191</v>
      </c>
      <c r="M142" s="184">
        <v>37</v>
      </c>
      <c r="N142" s="8">
        <f t="shared" si="7"/>
        <v>0</v>
      </c>
    </row>
    <row r="143" spans="1:14" x14ac:dyDescent="0.2">
      <c r="A143" s="32"/>
      <c r="B143" s="3">
        <v>75</v>
      </c>
      <c r="D143" s="7" t="s">
        <v>215</v>
      </c>
      <c r="E143" s="184">
        <v>80</v>
      </c>
      <c r="F143" s="184">
        <v>63</v>
      </c>
      <c r="G143" s="8">
        <f t="shared" si="8"/>
        <v>0</v>
      </c>
      <c r="K143" s="7" t="s">
        <v>216</v>
      </c>
      <c r="L143" s="184">
        <v>192</v>
      </c>
      <c r="M143" s="184">
        <v>37</v>
      </c>
      <c r="N143" s="8">
        <f t="shared" si="7"/>
        <v>0</v>
      </c>
    </row>
    <row r="144" spans="1:14" x14ac:dyDescent="0.2">
      <c r="A144" s="32"/>
      <c r="B144" s="3">
        <v>76</v>
      </c>
      <c r="D144" s="7" t="s">
        <v>215</v>
      </c>
      <c r="E144" s="184">
        <v>81</v>
      </c>
      <c r="F144" s="184">
        <v>63</v>
      </c>
      <c r="G144" s="8">
        <f t="shared" si="8"/>
        <v>0</v>
      </c>
      <c r="K144" s="7" t="s">
        <v>216</v>
      </c>
      <c r="L144" s="184">
        <v>234</v>
      </c>
      <c r="M144" s="184">
        <v>37</v>
      </c>
      <c r="N144" s="8">
        <f t="shared" si="7"/>
        <v>0</v>
      </c>
    </row>
    <row r="145" spans="1:14" x14ac:dyDescent="0.2">
      <c r="A145" s="32"/>
      <c r="B145" s="3">
        <v>77</v>
      </c>
      <c r="D145" s="7" t="s">
        <v>215</v>
      </c>
      <c r="E145" s="184">
        <v>82</v>
      </c>
      <c r="F145" s="184">
        <v>63</v>
      </c>
      <c r="G145" s="8">
        <f t="shared" si="8"/>
        <v>0</v>
      </c>
      <c r="K145" s="7" t="s">
        <v>216</v>
      </c>
      <c r="L145" s="184">
        <v>235</v>
      </c>
      <c r="M145" s="184">
        <v>37</v>
      </c>
      <c r="N145" s="8">
        <f t="shared" si="7"/>
        <v>0</v>
      </c>
    </row>
    <row r="146" spans="1:14" x14ac:dyDescent="0.2">
      <c r="A146" s="32"/>
      <c r="B146" s="3">
        <v>78</v>
      </c>
      <c r="D146" s="7" t="s">
        <v>215</v>
      </c>
      <c r="E146" s="184">
        <v>83</v>
      </c>
      <c r="F146" s="184">
        <v>63</v>
      </c>
      <c r="G146" s="8">
        <f t="shared" si="8"/>
        <v>0</v>
      </c>
      <c r="K146" s="7" t="s">
        <v>217</v>
      </c>
      <c r="L146" s="184">
        <v>940</v>
      </c>
      <c r="M146" s="184">
        <v>60</v>
      </c>
      <c r="N146" s="8">
        <f t="shared" ref="N146:N151" si="9">IF(AND(M146=$A$66,L146=$A$67),1,0)</f>
        <v>0</v>
      </c>
    </row>
    <row r="147" spans="1:14" x14ac:dyDescent="0.2">
      <c r="A147" s="32"/>
      <c r="B147" s="3">
        <v>79</v>
      </c>
      <c r="D147" s="7" t="s">
        <v>215</v>
      </c>
      <c r="E147" s="184">
        <v>84</v>
      </c>
      <c r="F147" s="184">
        <v>63</v>
      </c>
      <c r="G147" s="8">
        <f t="shared" si="8"/>
        <v>0</v>
      </c>
      <c r="K147" s="7" t="s">
        <v>217</v>
      </c>
      <c r="L147" s="184">
        <v>941</v>
      </c>
      <c r="M147" s="184">
        <v>60</v>
      </c>
      <c r="N147" s="8">
        <f t="shared" si="9"/>
        <v>0</v>
      </c>
    </row>
    <row r="148" spans="1:14" x14ac:dyDescent="0.2">
      <c r="A148" s="32"/>
      <c r="B148" s="3">
        <v>80</v>
      </c>
      <c r="D148" s="7" t="s">
        <v>215</v>
      </c>
      <c r="E148" s="184">
        <v>85</v>
      </c>
      <c r="F148" s="184">
        <v>63</v>
      </c>
      <c r="G148" s="8">
        <f t="shared" si="8"/>
        <v>0</v>
      </c>
      <c r="K148" s="7" t="s">
        <v>217</v>
      </c>
      <c r="L148" s="184">
        <v>942</v>
      </c>
      <c r="M148" s="184">
        <v>60</v>
      </c>
      <c r="N148" s="8">
        <f t="shared" si="9"/>
        <v>0</v>
      </c>
    </row>
    <row r="149" spans="1:14" x14ac:dyDescent="0.2">
      <c r="A149" s="32"/>
      <c r="B149" s="3">
        <v>81</v>
      </c>
      <c r="D149" s="7" t="s">
        <v>215</v>
      </c>
      <c r="E149" s="184">
        <v>86</v>
      </c>
      <c r="F149" s="184">
        <v>63</v>
      </c>
      <c r="G149" s="8">
        <f t="shared" si="8"/>
        <v>0</v>
      </c>
      <c r="K149" s="7" t="s">
        <v>217</v>
      </c>
      <c r="L149" s="184">
        <v>983</v>
      </c>
      <c r="M149" s="184">
        <v>60</v>
      </c>
      <c r="N149" s="8">
        <f t="shared" si="9"/>
        <v>0</v>
      </c>
    </row>
    <row r="150" spans="1:14" x14ac:dyDescent="0.2">
      <c r="A150" s="32"/>
      <c r="B150" s="3">
        <v>82</v>
      </c>
      <c r="D150" s="7" t="s">
        <v>215</v>
      </c>
      <c r="E150" s="184">
        <v>87</v>
      </c>
      <c r="F150" s="184">
        <v>63</v>
      </c>
      <c r="G150" s="8">
        <f t="shared" si="8"/>
        <v>0</v>
      </c>
      <c r="K150" s="7" t="s">
        <v>217</v>
      </c>
      <c r="L150" s="184">
        <v>984</v>
      </c>
      <c r="M150" s="184">
        <v>60</v>
      </c>
      <c r="N150" s="8">
        <f t="shared" si="9"/>
        <v>0</v>
      </c>
    </row>
    <row r="151" spans="1:14" x14ac:dyDescent="0.2">
      <c r="A151" s="32"/>
      <c r="B151" s="3">
        <v>83</v>
      </c>
      <c r="D151" s="7" t="s">
        <v>215</v>
      </c>
      <c r="E151" s="184">
        <v>88</v>
      </c>
      <c r="F151" s="184">
        <v>63</v>
      </c>
      <c r="G151" s="8">
        <f t="shared" si="8"/>
        <v>0</v>
      </c>
      <c r="H151" t="s">
        <v>222</v>
      </c>
      <c r="K151" s="7" t="s">
        <v>217</v>
      </c>
      <c r="L151" s="184">
        <v>985</v>
      </c>
      <c r="M151" s="184">
        <v>60</v>
      </c>
      <c r="N151" s="8">
        <f t="shared" si="9"/>
        <v>0</v>
      </c>
    </row>
    <row r="152" spans="1:14" x14ac:dyDescent="0.2">
      <c r="A152" s="32"/>
      <c r="B152" s="3">
        <v>84</v>
      </c>
      <c r="D152" s="7" t="s">
        <v>215</v>
      </c>
      <c r="E152" s="184">
        <v>89</v>
      </c>
      <c r="F152" s="184">
        <v>63</v>
      </c>
      <c r="G152" s="8">
        <f t="shared" si="8"/>
        <v>0</v>
      </c>
      <c r="K152" s="7" t="s">
        <v>222</v>
      </c>
      <c r="L152" s="184" t="str">
        <f>IF(OR(A66=63,A66=51,A66=60,A66=37,A66=34),"Possible","No")</f>
        <v>No</v>
      </c>
      <c r="M152" s="626"/>
      <c r="N152" s="627">
        <f>SUM(N4:N151)</f>
        <v>0</v>
      </c>
    </row>
    <row r="153" spans="1:14" x14ac:dyDescent="0.2">
      <c r="A153" s="32"/>
      <c r="B153" s="3">
        <v>85</v>
      </c>
      <c r="D153" s="7" t="s">
        <v>215</v>
      </c>
      <c r="E153" s="184">
        <v>90</v>
      </c>
      <c r="F153" s="184">
        <v>63</v>
      </c>
      <c r="G153" s="8">
        <f t="shared" si="8"/>
        <v>0</v>
      </c>
      <c r="K153" s="7" t="s">
        <v>222</v>
      </c>
      <c r="L153" s="184">
        <f>IF(AND(A66=51,A67&lt;95),1,0)</f>
        <v>0</v>
      </c>
      <c r="M153" s="626" t="s">
        <v>455</v>
      </c>
      <c r="N153" s="628"/>
    </row>
    <row r="154" spans="1:14" x14ac:dyDescent="0.2">
      <c r="A154" s="32"/>
      <c r="B154" s="3">
        <v>86</v>
      </c>
      <c r="D154" s="7" t="s">
        <v>215</v>
      </c>
      <c r="E154" s="184">
        <v>91</v>
      </c>
      <c r="F154" s="184">
        <v>63</v>
      </c>
      <c r="G154" s="8">
        <f t="shared" si="8"/>
        <v>0</v>
      </c>
      <c r="K154" s="7" t="s">
        <v>222</v>
      </c>
      <c r="L154" s="184"/>
      <c r="M154" s="626" t="s">
        <v>456</v>
      </c>
      <c r="N154" s="628"/>
    </row>
    <row r="155" spans="1:14" x14ac:dyDescent="0.2">
      <c r="A155" s="32"/>
      <c r="B155" s="3">
        <v>87</v>
      </c>
      <c r="D155" s="7" t="s">
        <v>215</v>
      </c>
      <c r="E155" s="184">
        <v>92</v>
      </c>
      <c r="F155" s="184">
        <v>63</v>
      </c>
      <c r="G155" s="8">
        <f t="shared" si="8"/>
        <v>0</v>
      </c>
      <c r="K155" s="7" t="s">
        <v>222</v>
      </c>
      <c r="L155" s="184"/>
      <c r="M155" s="626" t="s">
        <v>457</v>
      </c>
      <c r="N155" s="628"/>
    </row>
    <row r="156" spans="1:14" x14ac:dyDescent="0.2">
      <c r="A156" s="32"/>
      <c r="B156" s="3">
        <v>88</v>
      </c>
      <c r="D156" s="7" t="s">
        <v>215</v>
      </c>
      <c r="E156" s="184">
        <v>93</v>
      </c>
      <c r="F156" s="184">
        <v>63</v>
      </c>
      <c r="G156" s="8">
        <f t="shared" si="8"/>
        <v>0</v>
      </c>
      <c r="K156" s="7"/>
      <c r="L156" s="184"/>
      <c r="M156" s="626" t="s">
        <v>458</v>
      </c>
      <c r="N156" s="628"/>
    </row>
    <row r="157" spans="1:14" ht="13.5" thickBot="1" x14ac:dyDescent="0.25">
      <c r="A157" s="32"/>
      <c r="B157" s="3">
        <v>89</v>
      </c>
      <c r="D157" s="7" t="s">
        <v>215</v>
      </c>
      <c r="E157" s="184">
        <v>94</v>
      </c>
      <c r="F157" s="184">
        <v>63</v>
      </c>
      <c r="G157" s="8">
        <f t="shared" si="8"/>
        <v>0</v>
      </c>
      <c r="K157" s="9"/>
      <c r="L157" s="185"/>
      <c r="M157" s="584" t="s">
        <v>459</v>
      </c>
      <c r="N157" s="629"/>
    </row>
    <row r="158" spans="1:14" ht="13.5" thickTop="1" x14ac:dyDescent="0.2">
      <c r="A158" s="32"/>
      <c r="B158" s="3">
        <v>90</v>
      </c>
      <c r="D158" s="7" t="s">
        <v>215</v>
      </c>
      <c r="E158" s="184">
        <v>95</v>
      </c>
      <c r="F158" s="184">
        <v>63</v>
      </c>
      <c r="G158" s="8">
        <f t="shared" si="8"/>
        <v>0</v>
      </c>
    </row>
    <row r="159" spans="1:14" x14ac:dyDescent="0.2">
      <c r="A159" s="32"/>
      <c r="B159" s="3">
        <v>91</v>
      </c>
      <c r="D159" s="7" t="s">
        <v>215</v>
      </c>
      <c r="E159" s="184">
        <v>96</v>
      </c>
      <c r="F159" s="184">
        <v>63</v>
      </c>
      <c r="G159" s="8">
        <f t="shared" si="8"/>
        <v>0</v>
      </c>
    </row>
    <row r="160" spans="1:14" x14ac:dyDescent="0.2">
      <c r="A160" s="32"/>
      <c r="B160" s="3">
        <v>92</v>
      </c>
      <c r="D160" s="7" t="s">
        <v>215</v>
      </c>
      <c r="E160" s="184">
        <v>97</v>
      </c>
      <c r="F160" s="184">
        <v>63</v>
      </c>
      <c r="G160" s="8">
        <f t="shared" si="8"/>
        <v>0</v>
      </c>
    </row>
    <row r="161" spans="1:7" x14ac:dyDescent="0.2">
      <c r="A161" s="32"/>
      <c r="B161" s="3">
        <v>93</v>
      </c>
      <c r="D161" s="7" t="s">
        <v>215</v>
      </c>
      <c r="E161" s="184">
        <v>98</v>
      </c>
      <c r="F161" s="184">
        <v>63</v>
      </c>
      <c r="G161" s="8">
        <f t="shared" si="8"/>
        <v>0</v>
      </c>
    </row>
    <row r="162" spans="1:7" x14ac:dyDescent="0.2">
      <c r="A162" s="32"/>
      <c r="B162" s="3">
        <v>94</v>
      </c>
      <c r="D162" s="7" t="s">
        <v>215</v>
      </c>
      <c r="E162" s="184">
        <v>99</v>
      </c>
      <c r="F162" s="184">
        <v>63</v>
      </c>
      <c r="G162" s="8">
        <f t="shared" si="8"/>
        <v>0</v>
      </c>
    </row>
    <row r="163" spans="1:7" x14ac:dyDescent="0.2">
      <c r="A163" s="32"/>
      <c r="B163" s="3">
        <v>95</v>
      </c>
      <c r="D163" s="7" t="s">
        <v>215</v>
      </c>
      <c r="E163" s="184">
        <v>100</v>
      </c>
      <c r="F163" s="184">
        <v>63</v>
      </c>
      <c r="G163" s="8">
        <f t="shared" si="8"/>
        <v>0</v>
      </c>
    </row>
    <row r="164" spans="1:7" x14ac:dyDescent="0.2">
      <c r="A164" s="32"/>
      <c r="B164" s="3">
        <v>96</v>
      </c>
      <c r="D164" s="7" t="s">
        <v>215</v>
      </c>
      <c r="E164" s="184">
        <v>101</v>
      </c>
      <c r="F164" s="184">
        <v>63</v>
      </c>
      <c r="G164" s="8">
        <f t="shared" si="8"/>
        <v>0</v>
      </c>
    </row>
    <row r="165" spans="1:7" x14ac:dyDescent="0.2">
      <c r="A165" s="32"/>
      <c r="B165" s="3">
        <v>97</v>
      </c>
      <c r="D165" s="7" t="s">
        <v>215</v>
      </c>
      <c r="E165" s="184">
        <v>102</v>
      </c>
      <c r="F165" s="184">
        <v>63</v>
      </c>
      <c r="G165" s="8">
        <f t="shared" si="8"/>
        <v>0</v>
      </c>
    </row>
    <row r="166" spans="1:7" x14ac:dyDescent="0.2">
      <c r="A166" s="32"/>
      <c r="B166" s="3">
        <v>98</v>
      </c>
      <c r="D166" s="7" t="s">
        <v>215</v>
      </c>
      <c r="E166" s="184">
        <v>103</v>
      </c>
      <c r="F166" s="184">
        <v>63</v>
      </c>
      <c r="G166" s="8">
        <f t="shared" si="8"/>
        <v>0</v>
      </c>
    </row>
    <row r="167" spans="1:7" x14ac:dyDescent="0.2">
      <c r="A167" s="32"/>
      <c r="B167" s="3">
        <v>99</v>
      </c>
      <c r="D167" s="7" t="s">
        <v>215</v>
      </c>
      <c r="E167" s="184">
        <v>104</v>
      </c>
      <c r="F167" s="184">
        <v>63</v>
      </c>
      <c r="G167" s="8">
        <f t="shared" si="8"/>
        <v>0</v>
      </c>
    </row>
    <row r="168" spans="1:7" x14ac:dyDescent="0.2">
      <c r="A168" s="32"/>
      <c r="B168" s="3">
        <v>100</v>
      </c>
      <c r="D168" s="7" t="s">
        <v>215</v>
      </c>
      <c r="E168" s="184">
        <v>105</v>
      </c>
      <c r="F168" s="184">
        <v>63</v>
      </c>
      <c r="G168" s="8">
        <f t="shared" si="8"/>
        <v>0</v>
      </c>
    </row>
    <row r="169" spans="1:7" x14ac:dyDescent="0.2">
      <c r="A169" s="32"/>
      <c r="B169" s="3">
        <v>101</v>
      </c>
      <c r="D169" s="7" t="s">
        <v>215</v>
      </c>
      <c r="E169" s="184">
        <v>106</v>
      </c>
      <c r="F169" s="184">
        <v>63</v>
      </c>
      <c r="G169" s="8">
        <f t="shared" si="8"/>
        <v>0</v>
      </c>
    </row>
    <row r="170" spans="1:7" x14ac:dyDescent="0.2">
      <c r="A170" s="32"/>
      <c r="B170" s="3">
        <v>102</v>
      </c>
      <c r="D170" s="7" t="s">
        <v>215</v>
      </c>
      <c r="E170" s="184">
        <v>107</v>
      </c>
      <c r="F170" s="184">
        <v>63</v>
      </c>
      <c r="G170" s="8">
        <f t="shared" si="8"/>
        <v>0</v>
      </c>
    </row>
    <row r="171" spans="1:7" x14ac:dyDescent="0.2">
      <c r="A171" s="32"/>
      <c r="B171" s="3">
        <v>103</v>
      </c>
      <c r="D171" s="7" t="s">
        <v>215</v>
      </c>
      <c r="E171" s="184">
        <v>108</v>
      </c>
      <c r="F171" s="184">
        <v>63</v>
      </c>
      <c r="G171" s="8">
        <f t="shared" si="8"/>
        <v>0</v>
      </c>
    </row>
    <row r="172" spans="1:7" x14ac:dyDescent="0.2">
      <c r="A172" s="32"/>
      <c r="B172" s="3">
        <v>104</v>
      </c>
      <c r="D172" s="7" t="s">
        <v>215</v>
      </c>
      <c r="E172" s="184">
        <v>109</v>
      </c>
      <c r="F172" s="184">
        <v>63</v>
      </c>
      <c r="G172" s="8">
        <f t="shared" si="8"/>
        <v>0</v>
      </c>
    </row>
    <row r="173" spans="1:7" x14ac:dyDescent="0.2">
      <c r="A173" s="32"/>
      <c r="B173" s="3">
        <v>105</v>
      </c>
      <c r="D173" s="7" t="s">
        <v>469</v>
      </c>
      <c r="E173" s="184">
        <v>1</v>
      </c>
      <c r="F173" s="184">
        <v>24</v>
      </c>
      <c r="G173" s="8">
        <f t="shared" si="8"/>
        <v>0</v>
      </c>
    </row>
    <row r="174" spans="1:7" x14ac:dyDescent="0.2">
      <c r="A174" s="32"/>
      <c r="B174" s="3">
        <v>106</v>
      </c>
      <c r="D174" s="7" t="s">
        <v>469</v>
      </c>
      <c r="E174" s="184">
        <v>2</v>
      </c>
      <c r="F174" s="184">
        <v>24</v>
      </c>
      <c r="G174" s="8">
        <f t="shared" si="8"/>
        <v>0</v>
      </c>
    </row>
    <row r="175" spans="1:7" x14ac:dyDescent="0.2">
      <c r="A175" s="32"/>
      <c r="B175" s="3">
        <v>107</v>
      </c>
      <c r="D175" s="7" t="s">
        <v>469</v>
      </c>
      <c r="E175" s="184">
        <v>3</v>
      </c>
      <c r="F175" s="184">
        <v>24</v>
      </c>
      <c r="G175" s="8">
        <f t="shared" si="8"/>
        <v>0</v>
      </c>
    </row>
    <row r="176" spans="1:7" x14ac:dyDescent="0.2">
      <c r="A176" s="32"/>
      <c r="B176" s="3">
        <v>108</v>
      </c>
      <c r="D176" s="7" t="s">
        <v>469</v>
      </c>
      <c r="E176" s="184">
        <v>4</v>
      </c>
      <c r="F176" s="184">
        <v>24</v>
      </c>
      <c r="G176" s="8">
        <f t="shared" si="8"/>
        <v>0</v>
      </c>
    </row>
    <row r="177" spans="1:7" x14ac:dyDescent="0.2">
      <c r="A177" s="32"/>
      <c r="B177" s="3">
        <v>109</v>
      </c>
      <c r="D177" s="7" t="s">
        <v>469</v>
      </c>
      <c r="E177" s="184">
        <v>5</v>
      </c>
      <c r="F177" s="184">
        <v>24</v>
      </c>
      <c r="G177" s="8">
        <f t="shared" si="8"/>
        <v>0</v>
      </c>
    </row>
    <row r="178" spans="1:7" x14ac:dyDescent="0.2">
      <c r="A178" s="32"/>
      <c r="B178" s="3">
        <v>110</v>
      </c>
      <c r="D178" s="7" t="s">
        <v>469</v>
      </c>
      <c r="E178" s="184">
        <v>6</v>
      </c>
      <c r="F178" s="184">
        <v>24</v>
      </c>
      <c r="G178" s="8">
        <f t="shared" si="8"/>
        <v>0</v>
      </c>
    </row>
    <row r="179" spans="1:7" x14ac:dyDescent="0.2">
      <c r="A179" s="32"/>
      <c r="B179" s="3">
        <v>111</v>
      </c>
      <c r="D179" s="7" t="s">
        <v>469</v>
      </c>
      <c r="E179" s="184">
        <v>7</v>
      </c>
      <c r="F179" s="184">
        <v>24</v>
      </c>
      <c r="G179" s="8">
        <f t="shared" si="8"/>
        <v>0</v>
      </c>
    </row>
    <row r="180" spans="1:7" x14ac:dyDescent="0.2">
      <c r="A180" s="32"/>
      <c r="B180" s="3">
        <v>112</v>
      </c>
      <c r="D180" s="7" t="s">
        <v>469</v>
      </c>
      <c r="E180" s="184">
        <v>8</v>
      </c>
      <c r="F180" s="184">
        <v>24</v>
      </c>
      <c r="G180" s="8">
        <f t="shared" si="8"/>
        <v>0</v>
      </c>
    </row>
    <row r="181" spans="1:7" x14ac:dyDescent="0.2">
      <c r="A181" s="32"/>
      <c r="B181" s="3">
        <v>113</v>
      </c>
      <c r="D181" s="7" t="s">
        <v>469</v>
      </c>
      <c r="E181" s="184">
        <v>9</v>
      </c>
      <c r="F181" s="184">
        <v>24</v>
      </c>
      <c r="G181" s="8">
        <f t="shared" si="8"/>
        <v>0</v>
      </c>
    </row>
    <row r="182" spans="1:7" x14ac:dyDescent="0.2">
      <c r="A182" s="32"/>
      <c r="B182" s="3">
        <v>114</v>
      </c>
      <c r="D182" s="7" t="s">
        <v>469</v>
      </c>
      <c r="E182" s="184">
        <v>10</v>
      </c>
      <c r="F182" s="184">
        <v>24</v>
      </c>
      <c r="G182" s="8">
        <f t="shared" si="8"/>
        <v>0</v>
      </c>
    </row>
    <row r="183" spans="1:7" x14ac:dyDescent="0.2">
      <c r="A183" s="32"/>
      <c r="B183" s="3">
        <v>115</v>
      </c>
      <c r="D183" s="7" t="s">
        <v>469</v>
      </c>
      <c r="E183" s="184">
        <v>11</v>
      </c>
      <c r="F183" s="184">
        <v>24</v>
      </c>
      <c r="G183" s="8">
        <f t="shared" si="8"/>
        <v>0</v>
      </c>
    </row>
    <row r="184" spans="1:7" x14ac:dyDescent="0.2">
      <c r="A184" s="32"/>
      <c r="B184" s="3">
        <v>116</v>
      </c>
      <c r="D184" s="7" t="s">
        <v>469</v>
      </c>
      <c r="E184" s="184">
        <v>12</v>
      </c>
      <c r="F184" s="184">
        <v>24</v>
      </c>
      <c r="G184" s="8">
        <f t="shared" si="8"/>
        <v>0</v>
      </c>
    </row>
    <row r="185" spans="1:7" x14ac:dyDescent="0.2">
      <c r="A185" s="32"/>
      <c r="B185" s="3">
        <v>117</v>
      </c>
      <c r="D185" s="7" t="s">
        <v>469</v>
      </c>
      <c r="E185" s="184">
        <v>13</v>
      </c>
      <c r="F185" s="184">
        <v>24</v>
      </c>
      <c r="G185" s="8">
        <f t="shared" si="8"/>
        <v>0</v>
      </c>
    </row>
    <row r="186" spans="1:7" x14ac:dyDescent="0.2">
      <c r="A186" s="32"/>
      <c r="B186" s="3">
        <v>118</v>
      </c>
      <c r="D186" s="7" t="s">
        <v>469</v>
      </c>
      <c r="E186" s="184">
        <v>14</v>
      </c>
      <c r="F186" s="184">
        <v>24</v>
      </c>
      <c r="G186" s="8">
        <f t="shared" si="8"/>
        <v>0</v>
      </c>
    </row>
    <row r="187" spans="1:7" x14ac:dyDescent="0.2">
      <c r="A187" s="32"/>
      <c r="B187" s="3">
        <v>119</v>
      </c>
      <c r="D187" s="7" t="s">
        <v>469</v>
      </c>
      <c r="E187" s="184">
        <v>15</v>
      </c>
      <c r="F187" s="184">
        <v>24</v>
      </c>
      <c r="G187" s="8">
        <f t="shared" si="8"/>
        <v>0</v>
      </c>
    </row>
    <row r="188" spans="1:7" x14ac:dyDescent="0.2">
      <c r="A188" s="32"/>
      <c r="B188" s="3">
        <v>120</v>
      </c>
      <c r="D188" s="7" t="s">
        <v>469</v>
      </c>
      <c r="E188" s="184">
        <v>16</v>
      </c>
      <c r="F188" s="184">
        <v>24</v>
      </c>
      <c r="G188" s="8">
        <f t="shared" si="8"/>
        <v>0</v>
      </c>
    </row>
    <row r="189" spans="1:7" x14ac:dyDescent="0.2">
      <c r="A189" s="32"/>
      <c r="B189" s="3">
        <v>121</v>
      </c>
      <c r="D189" s="7" t="s">
        <v>469</v>
      </c>
      <c r="E189" s="184">
        <v>17</v>
      </c>
      <c r="F189" s="184">
        <v>24</v>
      </c>
      <c r="G189" s="8">
        <f t="shared" si="8"/>
        <v>0</v>
      </c>
    </row>
    <row r="190" spans="1:7" x14ac:dyDescent="0.2">
      <c r="A190" s="32"/>
      <c r="B190" s="3">
        <v>122</v>
      </c>
      <c r="D190" s="7" t="s">
        <v>469</v>
      </c>
      <c r="E190" s="184">
        <v>18</v>
      </c>
      <c r="F190" s="184">
        <v>24</v>
      </c>
      <c r="G190" s="8">
        <f t="shared" si="8"/>
        <v>0</v>
      </c>
    </row>
    <row r="191" spans="1:7" x14ac:dyDescent="0.2">
      <c r="A191" s="32"/>
      <c r="B191" s="3">
        <v>123</v>
      </c>
      <c r="D191" s="7" t="s">
        <v>469</v>
      </c>
      <c r="E191" s="184">
        <v>19</v>
      </c>
      <c r="F191" s="184">
        <v>24</v>
      </c>
      <c r="G191" s="8">
        <f t="shared" si="8"/>
        <v>0</v>
      </c>
    </row>
    <row r="192" spans="1:7" x14ac:dyDescent="0.2">
      <c r="A192" s="32"/>
      <c r="B192" s="3">
        <v>124</v>
      </c>
      <c r="D192" s="7" t="s">
        <v>469</v>
      </c>
      <c r="E192" s="184">
        <v>20</v>
      </c>
      <c r="F192" s="184">
        <v>24</v>
      </c>
      <c r="G192" s="8">
        <f t="shared" ref="G192:G255" si="10">IF(AND(F192=$A$66,E192=$A$67),1,0)</f>
        <v>0</v>
      </c>
    </row>
    <row r="193" spans="1:7" x14ac:dyDescent="0.2">
      <c r="A193" s="32"/>
      <c r="B193" s="3">
        <v>125</v>
      </c>
      <c r="D193" s="7" t="s">
        <v>469</v>
      </c>
      <c r="E193" s="184">
        <v>21</v>
      </c>
      <c r="F193" s="184">
        <v>24</v>
      </c>
      <c r="G193" s="8">
        <f t="shared" si="10"/>
        <v>0</v>
      </c>
    </row>
    <row r="194" spans="1:7" x14ac:dyDescent="0.2">
      <c r="A194" s="32"/>
      <c r="B194" s="3">
        <v>126</v>
      </c>
      <c r="D194" s="7" t="s">
        <v>469</v>
      </c>
      <c r="E194" s="184">
        <v>22</v>
      </c>
      <c r="F194" s="184">
        <v>24</v>
      </c>
      <c r="G194" s="8">
        <f t="shared" si="10"/>
        <v>0</v>
      </c>
    </row>
    <row r="195" spans="1:7" x14ac:dyDescent="0.2">
      <c r="A195" s="32"/>
      <c r="B195" s="3">
        <v>127</v>
      </c>
      <c r="D195" s="7" t="s">
        <v>469</v>
      </c>
      <c r="E195" s="184">
        <v>23</v>
      </c>
      <c r="F195" s="184">
        <v>24</v>
      </c>
      <c r="G195" s="8">
        <f t="shared" si="10"/>
        <v>0</v>
      </c>
    </row>
    <row r="196" spans="1:7" x14ac:dyDescent="0.2">
      <c r="A196" s="32"/>
      <c r="B196" s="3">
        <v>128</v>
      </c>
      <c r="D196" s="7" t="s">
        <v>469</v>
      </c>
      <c r="E196" s="184">
        <v>24</v>
      </c>
      <c r="F196" s="184">
        <v>24</v>
      </c>
      <c r="G196" s="8">
        <f t="shared" si="10"/>
        <v>0</v>
      </c>
    </row>
    <row r="197" spans="1:7" x14ac:dyDescent="0.2">
      <c r="A197" s="32"/>
      <c r="B197" s="3">
        <v>129</v>
      </c>
      <c r="D197" s="7" t="s">
        <v>469</v>
      </c>
      <c r="E197" s="184">
        <v>25</v>
      </c>
      <c r="F197" s="184">
        <v>24</v>
      </c>
      <c r="G197" s="8">
        <f t="shared" si="10"/>
        <v>0</v>
      </c>
    </row>
    <row r="198" spans="1:7" x14ac:dyDescent="0.2">
      <c r="A198" s="32"/>
      <c r="B198" s="3">
        <v>130</v>
      </c>
      <c r="D198" s="7" t="s">
        <v>469</v>
      </c>
      <c r="E198" s="184">
        <v>26</v>
      </c>
      <c r="F198" s="184">
        <v>24</v>
      </c>
      <c r="G198" s="8">
        <f t="shared" si="10"/>
        <v>0</v>
      </c>
    </row>
    <row r="199" spans="1:7" x14ac:dyDescent="0.2">
      <c r="A199" s="32"/>
      <c r="B199" s="3">
        <v>131</v>
      </c>
      <c r="D199" s="7" t="s">
        <v>469</v>
      </c>
      <c r="E199" s="184">
        <v>27</v>
      </c>
      <c r="F199" s="184">
        <v>24</v>
      </c>
      <c r="G199" s="8">
        <f t="shared" si="10"/>
        <v>0</v>
      </c>
    </row>
    <row r="200" spans="1:7" x14ac:dyDescent="0.2">
      <c r="A200" s="32"/>
      <c r="B200" s="3">
        <v>132</v>
      </c>
      <c r="D200" s="7" t="s">
        <v>469</v>
      </c>
      <c r="E200" s="184">
        <v>28</v>
      </c>
      <c r="F200" s="184">
        <v>24</v>
      </c>
      <c r="G200" s="8">
        <f t="shared" si="10"/>
        <v>0</v>
      </c>
    </row>
    <row r="201" spans="1:7" x14ac:dyDescent="0.2">
      <c r="A201" s="32"/>
      <c r="B201" s="3">
        <v>133</v>
      </c>
      <c r="D201" s="7" t="s">
        <v>469</v>
      </c>
      <c r="E201" s="184">
        <v>29</v>
      </c>
      <c r="F201" s="184">
        <v>24</v>
      </c>
      <c r="G201" s="8">
        <f t="shared" si="10"/>
        <v>0</v>
      </c>
    </row>
    <row r="202" spans="1:7" x14ac:dyDescent="0.2">
      <c r="A202" s="32"/>
      <c r="B202" s="3">
        <v>134</v>
      </c>
      <c r="D202" s="7" t="s">
        <v>469</v>
      </c>
      <c r="E202" s="184">
        <v>30</v>
      </c>
      <c r="F202" s="184">
        <v>24</v>
      </c>
      <c r="G202" s="8">
        <f t="shared" si="10"/>
        <v>0</v>
      </c>
    </row>
    <row r="203" spans="1:7" x14ac:dyDescent="0.2">
      <c r="A203" s="32"/>
      <c r="B203" s="3">
        <v>135</v>
      </c>
      <c r="D203" s="7" t="s">
        <v>469</v>
      </c>
      <c r="E203" s="184">
        <v>31</v>
      </c>
      <c r="F203" s="184">
        <v>24</v>
      </c>
      <c r="G203" s="8">
        <f t="shared" si="10"/>
        <v>0</v>
      </c>
    </row>
    <row r="204" spans="1:7" x14ac:dyDescent="0.2">
      <c r="A204" s="32"/>
      <c r="B204" s="3">
        <v>136</v>
      </c>
      <c r="D204" s="7" t="s">
        <v>469</v>
      </c>
      <c r="E204" s="184">
        <v>32</v>
      </c>
      <c r="F204" s="184">
        <v>24</v>
      </c>
      <c r="G204" s="8">
        <f t="shared" si="10"/>
        <v>0</v>
      </c>
    </row>
    <row r="205" spans="1:7" x14ac:dyDescent="0.2">
      <c r="A205" s="32"/>
      <c r="B205" s="3">
        <v>137</v>
      </c>
      <c r="D205" s="7" t="s">
        <v>469</v>
      </c>
      <c r="E205" s="184">
        <v>33</v>
      </c>
      <c r="F205" s="184">
        <v>24</v>
      </c>
      <c r="G205" s="8">
        <f t="shared" si="10"/>
        <v>0</v>
      </c>
    </row>
    <row r="206" spans="1:7" x14ac:dyDescent="0.2">
      <c r="A206" s="32"/>
      <c r="B206" s="3">
        <v>138</v>
      </c>
      <c r="D206" s="7" t="s">
        <v>469</v>
      </c>
      <c r="E206" s="184">
        <v>34</v>
      </c>
      <c r="F206" s="184">
        <v>24</v>
      </c>
      <c r="G206" s="8">
        <f t="shared" si="10"/>
        <v>0</v>
      </c>
    </row>
    <row r="207" spans="1:7" x14ac:dyDescent="0.2">
      <c r="A207" s="32"/>
      <c r="B207" s="3">
        <v>139</v>
      </c>
      <c r="D207" s="7" t="s">
        <v>469</v>
      </c>
      <c r="E207" s="184">
        <v>35</v>
      </c>
      <c r="F207" s="184">
        <v>24</v>
      </c>
      <c r="G207" s="8">
        <f t="shared" si="10"/>
        <v>0</v>
      </c>
    </row>
    <row r="208" spans="1:7" x14ac:dyDescent="0.2">
      <c r="A208" s="32"/>
      <c r="B208" s="3">
        <v>140</v>
      </c>
      <c r="D208" s="7" t="s">
        <v>469</v>
      </c>
      <c r="E208" s="184">
        <v>36</v>
      </c>
      <c r="F208" s="184">
        <v>24</v>
      </c>
      <c r="G208" s="8">
        <f t="shared" si="10"/>
        <v>0</v>
      </c>
    </row>
    <row r="209" spans="1:7" x14ac:dyDescent="0.2">
      <c r="A209" s="32"/>
      <c r="B209" s="3">
        <v>141</v>
      </c>
      <c r="D209" s="7" t="s">
        <v>469</v>
      </c>
      <c r="E209" s="184">
        <v>37</v>
      </c>
      <c r="F209" s="184">
        <v>24</v>
      </c>
      <c r="G209" s="8">
        <f t="shared" si="10"/>
        <v>0</v>
      </c>
    </row>
    <row r="210" spans="1:7" x14ac:dyDescent="0.2">
      <c r="A210" s="32"/>
      <c r="B210" s="3">
        <v>142</v>
      </c>
      <c r="D210" s="7" t="s">
        <v>469</v>
      </c>
      <c r="E210" s="184">
        <v>38</v>
      </c>
      <c r="F210" s="184">
        <v>24</v>
      </c>
      <c r="G210" s="8">
        <f t="shared" si="10"/>
        <v>0</v>
      </c>
    </row>
    <row r="211" spans="1:7" x14ac:dyDescent="0.2">
      <c r="A211" s="32"/>
      <c r="B211" s="3">
        <v>143</v>
      </c>
      <c r="D211" s="7" t="s">
        <v>469</v>
      </c>
      <c r="E211" s="184">
        <v>39</v>
      </c>
      <c r="F211" s="184">
        <v>24</v>
      </c>
      <c r="G211" s="8">
        <f t="shared" si="10"/>
        <v>0</v>
      </c>
    </row>
    <row r="212" spans="1:7" x14ac:dyDescent="0.2">
      <c r="A212" s="32"/>
      <c r="B212" s="3">
        <v>144</v>
      </c>
      <c r="D212" s="7" t="s">
        <v>469</v>
      </c>
      <c r="E212" s="184">
        <v>40</v>
      </c>
      <c r="F212" s="184">
        <v>24</v>
      </c>
      <c r="G212" s="8">
        <f t="shared" si="10"/>
        <v>0</v>
      </c>
    </row>
    <row r="213" spans="1:7" x14ac:dyDescent="0.2">
      <c r="A213" s="32"/>
      <c r="B213" s="3">
        <v>145</v>
      </c>
      <c r="D213" s="7" t="s">
        <v>469</v>
      </c>
      <c r="E213" s="184">
        <v>41</v>
      </c>
      <c r="F213" s="184">
        <v>24</v>
      </c>
      <c r="G213" s="8">
        <f t="shared" si="10"/>
        <v>0</v>
      </c>
    </row>
    <row r="214" spans="1:7" x14ac:dyDescent="0.2">
      <c r="A214" s="32"/>
      <c r="B214" s="3">
        <v>146</v>
      </c>
      <c r="D214" s="7" t="s">
        <v>469</v>
      </c>
      <c r="E214" s="184">
        <v>42</v>
      </c>
      <c r="F214" s="184">
        <v>24</v>
      </c>
      <c r="G214" s="8">
        <f t="shared" si="10"/>
        <v>0</v>
      </c>
    </row>
    <row r="215" spans="1:7" x14ac:dyDescent="0.2">
      <c r="A215" s="32"/>
      <c r="B215" s="3">
        <v>147</v>
      </c>
      <c r="D215" s="7" t="s">
        <v>469</v>
      </c>
      <c r="E215" s="184">
        <v>43</v>
      </c>
      <c r="F215" s="184">
        <v>24</v>
      </c>
      <c r="G215" s="8">
        <f t="shared" si="10"/>
        <v>0</v>
      </c>
    </row>
    <row r="216" spans="1:7" x14ac:dyDescent="0.2">
      <c r="A216" s="32"/>
      <c r="B216" s="3">
        <v>148</v>
      </c>
      <c r="D216" s="7" t="s">
        <v>469</v>
      </c>
      <c r="E216" s="184">
        <v>44</v>
      </c>
      <c r="F216" s="184">
        <v>24</v>
      </c>
      <c r="G216" s="8">
        <f t="shared" si="10"/>
        <v>0</v>
      </c>
    </row>
    <row r="217" spans="1:7" x14ac:dyDescent="0.2">
      <c r="A217" s="32"/>
      <c r="B217" s="3">
        <v>149</v>
      </c>
      <c r="D217" s="7" t="s">
        <v>469</v>
      </c>
      <c r="E217" s="184">
        <v>45</v>
      </c>
      <c r="F217" s="184">
        <v>24</v>
      </c>
      <c r="G217" s="8">
        <f t="shared" si="10"/>
        <v>0</v>
      </c>
    </row>
    <row r="218" spans="1:7" x14ac:dyDescent="0.2">
      <c r="A218" s="32"/>
      <c r="B218" s="3">
        <v>150</v>
      </c>
      <c r="D218" s="7" t="s">
        <v>469</v>
      </c>
      <c r="E218" s="184">
        <v>46</v>
      </c>
      <c r="F218" s="184">
        <v>24</v>
      </c>
      <c r="G218" s="8">
        <f t="shared" si="10"/>
        <v>0</v>
      </c>
    </row>
    <row r="219" spans="1:7" x14ac:dyDescent="0.2">
      <c r="A219" s="32"/>
      <c r="B219" s="3">
        <v>151</v>
      </c>
      <c r="D219" s="7" t="s">
        <v>469</v>
      </c>
      <c r="E219" s="184">
        <v>47</v>
      </c>
      <c r="F219" s="184">
        <v>24</v>
      </c>
      <c r="G219" s="8">
        <f t="shared" si="10"/>
        <v>0</v>
      </c>
    </row>
    <row r="220" spans="1:7" x14ac:dyDescent="0.2">
      <c r="A220" s="32"/>
      <c r="B220" s="3">
        <v>152</v>
      </c>
      <c r="D220" s="7" t="s">
        <v>469</v>
      </c>
      <c r="E220" s="184">
        <v>48</v>
      </c>
      <c r="F220" s="184">
        <v>24</v>
      </c>
      <c r="G220" s="8">
        <f t="shared" si="10"/>
        <v>0</v>
      </c>
    </row>
    <row r="221" spans="1:7" x14ac:dyDescent="0.2">
      <c r="A221" s="32"/>
      <c r="B221" s="3">
        <v>153</v>
      </c>
      <c r="D221" s="7" t="s">
        <v>469</v>
      </c>
      <c r="E221" s="184">
        <v>49</v>
      </c>
      <c r="F221" s="184">
        <v>24</v>
      </c>
      <c r="G221" s="8">
        <f t="shared" si="10"/>
        <v>0</v>
      </c>
    </row>
    <row r="222" spans="1:7" x14ac:dyDescent="0.2">
      <c r="A222" s="32"/>
      <c r="B222" s="3">
        <v>154</v>
      </c>
      <c r="D222" s="7" t="s">
        <v>469</v>
      </c>
      <c r="E222" s="184">
        <v>50</v>
      </c>
      <c r="F222" s="184">
        <v>24</v>
      </c>
      <c r="G222" s="8">
        <f t="shared" si="10"/>
        <v>0</v>
      </c>
    </row>
    <row r="223" spans="1:7" x14ac:dyDescent="0.2">
      <c r="A223" s="32"/>
      <c r="B223" s="3">
        <v>155</v>
      </c>
      <c r="D223" s="7" t="s">
        <v>469</v>
      </c>
      <c r="E223" s="184">
        <v>51</v>
      </c>
      <c r="F223" s="184">
        <v>24</v>
      </c>
      <c r="G223" s="8">
        <f t="shared" si="10"/>
        <v>0</v>
      </c>
    </row>
    <row r="224" spans="1:7" x14ac:dyDescent="0.2">
      <c r="A224" s="32"/>
      <c r="B224" s="3">
        <v>156</v>
      </c>
      <c r="D224" s="7" t="s">
        <v>469</v>
      </c>
      <c r="E224" s="184">
        <v>52</v>
      </c>
      <c r="F224" s="184">
        <v>24</v>
      </c>
      <c r="G224" s="8">
        <f t="shared" si="10"/>
        <v>0</v>
      </c>
    </row>
    <row r="225" spans="1:7" x14ac:dyDescent="0.2">
      <c r="A225" s="32"/>
      <c r="B225" s="3">
        <v>157</v>
      </c>
      <c r="D225" s="7" t="s">
        <v>469</v>
      </c>
      <c r="E225" s="184">
        <v>53</v>
      </c>
      <c r="F225" s="184">
        <v>24</v>
      </c>
      <c r="G225" s="8">
        <f t="shared" si="10"/>
        <v>0</v>
      </c>
    </row>
    <row r="226" spans="1:7" x14ac:dyDescent="0.2">
      <c r="A226" s="32"/>
      <c r="B226" s="3">
        <v>158</v>
      </c>
      <c r="D226" s="7" t="s">
        <v>469</v>
      </c>
      <c r="E226" s="184">
        <v>54</v>
      </c>
      <c r="F226" s="184">
        <v>24</v>
      </c>
      <c r="G226" s="8">
        <f t="shared" si="10"/>
        <v>0</v>
      </c>
    </row>
    <row r="227" spans="1:7" x14ac:dyDescent="0.2">
      <c r="A227" s="32"/>
      <c r="B227" s="3">
        <v>159</v>
      </c>
      <c r="D227" s="7" t="s">
        <v>469</v>
      </c>
      <c r="E227" s="184">
        <v>55</v>
      </c>
      <c r="F227" s="184">
        <v>24</v>
      </c>
      <c r="G227" s="8">
        <f t="shared" si="10"/>
        <v>0</v>
      </c>
    </row>
    <row r="228" spans="1:7" x14ac:dyDescent="0.2">
      <c r="A228" s="32"/>
      <c r="B228" s="3">
        <v>160</v>
      </c>
      <c r="D228" s="7" t="s">
        <v>469</v>
      </c>
      <c r="E228" s="184">
        <v>56</v>
      </c>
      <c r="F228" s="184">
        <v>24</v>
      </c>
      <c r="G228" s="8">
        <f t="shared" si="10"/>
        <v>0</v>
      </c>
    </row>
    <row r="229" spans="1:7" x14ac:dyDescent="0.2">
      <c r="A229" s="32"/>
      <c r="B229" s="3">
        <v>161</v>
      </c>
      <c r="D229" s="7" t="s">
        <v>469</v>
      </c>
      <c r="E229" s="184">
        <v>57</v>
      </c>
      <c r="F229" s="184">
        <v>24</v>
      </c>
      <c r="G229" s="8">
        <f t="shared" si="10"/>
        <v>0</v>
      </c>
    </row>
    <row r="230" spans="1:7" x14ac:dyDescent="0.2">
      <c r="A230" s="32"/>
      <c r="B230" s="3">
        <v>162</v>
      </c>
      <c r="D230" s="7" t="s">
        <v>469</v>
      </c>
      <c r="E230" s="184">
        <v>58</v>
      </c>
      <c r="F230" s="184">
        <v>24</v>
      </c>
      <c r="G230" s="8">
        <f t="shared" si="10"/>
        <v>0</v>
      </c>
    </row>
    <row r="231" spans="1:7" x14ac:dyDescent="0.2">
      <c r="A231" s="32"/>
      <c r="B231" s="3">
        <v>163</v>
      </c>
      <c r="D231" s="7" t="s">
        <v>469</v>
      </c>
      <c r="E231" s="184">
        <v>59</v>
      </c>
      <c r="F231" s="184">
        <v>24</v>
      </c>
      <c r="G231" s="8">
        <f t="shared" si="10"/>
        <v>0</v>
      </c>
    </row>
    <row r="232" spans="1:7" x14ac:dyDescent="0.2">
      <c r="A232" s="32"/>
      <c r="B232" s="3">
        <v>164</v>
      </c>
      <c r="D232" s="7" t="s">
        <v>470</v>
      </c>
      <c r="E232" s="184">
        <v>1</v>
      </c>
      <c r="F232" s="184">
        <v>5</v>
      </c>
      <c r="G232" s="8">
        <f t="shared" si="10"/>
        <v>0</v>
      </c>
    </row>
    <row r="233" spans="1:7" x14ac:dyDescent="0.2">
      <c r="A233" s="32"/>
      <c r="B233" s="3">
        <v>165</v>
      </c>
      <c r="D233" s="7" t="s">
        <v>470</v>
      </c>
      <c r="E233" s="184">
        <v>2</v>
      </c>
      <c r="F233" s="184">
        <v>5</v>
      </c>
      <c r="G233" s="8">
        <f t="shared" si="10"/>
        <v>0</v>
      </c>
    </row>
    <row r="234" spans="1:7" x14ac:dyDescent="0.2">
      <c r="A234" s="32"/>
      <c r="B234" s="3">
        <v>166</v>
      </c>
      <c r="D234" s="7" t="s">
        <v>470</v>
      </c>
      <c r="E234" s="184">
        <v>3</v>
      </c>
      <c r="F234" s="184">
        <v>5</v>
      </c>
      <c r="G234" s="8">
        <f t="shared" si="10"/>
        <v>0</v>
      </c>
    </row>
    <row r="235" spans="1:7" x14ac:dyDescent="0.2">
      <c r="A235" s="32"/>
      <c r="B235" s="3">
        <v>167</v>
      </c>
      <c r="D235" s="7" t="s">
        <v>470</v>
      </c>
      <c r="E235" s="184">
        <v>4</v>
      </c>
      <c r="F235" s="184">
        <v>5</v>
      </c>
      <c r="G235" s="8">
        <f t="shared" si="10"/>
        <v>0</v>
      </c>
    </row>
    <row r="236" spans="1:7" x14ac:dyDescent="0.2">
      <c r="A236" s="32"/>
      <c r="B236" s="3">
        <v>168</v>
      </c>
      <c r="D236" s="7" t="s">
        <v>470</v>
      </c>
      <c r="E236" s="184">
        <v>5</v>
      </c>
      <c r="F236" s="184">
        <v>5</v>
      </c>
      <c r="G236" s="8">
        <f t="shared" si="10"/>
        <v>0</v>
      </c>
    </row>
    <row r="237" spans="1:7" x14ac:dyDescent="0.2">
      <c r="A237" s="32"/>
      <c r="B237" s="3">
        <v>169</v>
      </c>
      <c r="D237" s="7" t="s">
        <v>470</v>
      </c>
      <c r="E237" s="184">
        <v>6</v>
      </c>
      <c r="F237" s="184">
        <v>5</v>
      </c>
      <c r="G237" s="8">
        <f t="shared" si="10"/>
        <v>0</v>
      </c>
    </row>
    <row r="238" spans="1:7" x14ac:dyDescent="0.2">
      <c r="A238" s="32"/>
      <c r="B238" s="3">
        <v>170</v>
      </c>
      <c r="D238" s="7" t="s">
        <v>470</v>
      </c>
      <c r="E238" s="184">
        <v>7</v>
      </c>
      <c r="F238" s="184">
        <v>5</v>
      </c>
      <c r="G238" s="8">
        <f t="shared" si="10"/>
        <v>0</v>
      </c>
    </row>
    <row r="239" spans="1:7" x14ac:dyDescent="0.2">
      <c r="A239" s="32"/>
      <c r="B239" s="3">
        <v>171</v>
      </c>
      <c r="D239" s="7" t="s">
        <v>470</v>
      </c>
      <c r="E239" s="184">
        <v>8</v>
      </c>
      <c r="F239" s="184">
        <v>5</v>
      </c>
      <c r="G239" s="8">
        <f t="shared" si="10"/>
        <v>0</v>
      </c>
    </row>
    <row r="240" spans="1:7" x14ac:dyDescent="0.2">
      <c r="A240" s="32"/>
      <c r="B240" s="3">
        <v>172</v>
      </c>
      <c r="D240" s="7" t="s">
        <v>470</v>
      </c>
      <c r="E240" s="184">
        <v>9</v>
      </c>
      <c r="F240" s="184">
        <v>5</v>
      </c>
      <c r="G240" s="8">
        <f t="shared" si="10"/>
        <v>0</v>
      </c>
    </row>
    <row r="241" spans="1:7" x14ac:dyDescent="0.2">
      <c r="A241" s="32"/>
      <c r="B241" s="3">
        <v>173</v>
      </c>
      <c r="D241" s="7" t="s">
        <v>470</v>
      </c>
      <c r="E241" s="184">
        <v>10</v>
      </c>
      <c r="F241" s="184">
        <v>5</v>
      </c>
      <c r="G241" s="8">
        <f t="shared" si="10"/>
        <v>0</v>
      </c>
    </row>
    <row r="242" spans="1:7" x14ac:dyDescent="0.2">
      <c r="A242" s="32"/>
      <c r="B242" s="3">
        <v>174</v>
      </c>
      <c r="D242" s="7" t="s">
        <v>470</v>
      </c>
      <c r="E242" s="184">
        <v>11</v>
      </c>
      <c r="F242" s="184">
        <v>5</v>
      </c>
      <c r="G242" s="8">
        <f t="shared" si="10"/>
        <v>0</v>
      </c>
    </row>
    <row r="243" spans="1:7" x14ac:dyDescent="0.2">
      <c r="A243" s="32"/>
      <c r="B243" s="3">
        <v>175</v>
      </c>
      <c r="D243" s="7" t="s">
        <v>470</v>
      </c>
      <c r="E243" s="184">
        <v>12</v>
      </c>
      <c r="F243" s="184">
        <v>5</v>
      </c>
      <c r="G243" s="8">
        <f t="shared" si="10"/>
        <v>0</v>
      </c>
    </row>
    <row r="244" spans="1:7" x14ac:dyDescent="0.2">
      <c r="A244" s="32"/>
      <c r="B244" s="3">
        <v>176</v>
      </c>
      <c r="D244" s="7" t="s">
        <v>470</v>
      </c>
      <c r="E244" s="184">
        <v>13</v>
      </c>
      <c r="F244" s="184">
        <v>5</v>
      </c>
      <c r="G244" s="8">
        <f t="shared" si="10"/>
        <v>0</v>
      </c>
    </row>
    <row r="245" spans="1:7" x14ac:dyDescent="0.2">
      <c r="A245" s="32"/>
      <c r="B245" s="3">
        <v>177</v>
      </c>
      <c r="D245" s="7" t="s">
        <v>470</v>
      </c>
      <c r="E245" s="184">
        <v>14</v>
      </c>
      <c r="F245" s="184">
        <v>5</v>
      </c>
      <c r="G245" s="8">
        <f t="shared" si="10"/>
        <v>0</v>
      </c>
    </row>
    <row r="246" spans="1:7" x14ac:dyDescent="0.2">
      <c r="A246" s="32"/>
      <c r="B246" s="3">
        <v>178</v>
      </c>
      <c r="D246" s="7" t="s">
        <v>470</v>
      </c>
      <c r="E246" s="184">
        <v>15</v>
      </c>
      <c r="F246" s="184">
        <v>5</v>
      </c>
      <c r="G246" s="8">
        <f t="shared" si="10"/>
        <v>0</v>
      </c>
    </row>
    <row r="247" spans="1:7" x14ac:dyDescent="0.2">
      <c r="A247" s="32"/>
      <c r="B247" s="3">
        <v>179</v>
      </c>
      <c r="D247" s="7" t="s">
        <v>470</v>
      </c>
      <c r="E247" s="184">
        <v>16</v>
      </c>
      <c r="F247" s="184">
        <v>5</v>
      </c>
      <c r="G247" s="8">
        <f t="shared" si="10"/>
        <v>0</v>
      </c>
    </row>
    <row r="248" spans="1:7" x14ac:dyDescent="0.2">
      <c r="A248" s="32"/>
      <c r="B248" s="3">
        <v>180</v>
      </c>
      <c r="D248" s="7" t="s">
        <v>470</v>
      </c>
      <c r="E248" s="184">
        <v>17</v>
      </c>
      <c r="F248" s="184">
        <v>5</v>
      </c>
      <c r="G248" s="8">
        <f t="shared" si="10"/>
        <v>0</v>
      </c>
    </row>
    <row r="249" spans="1:7" x14ac:dyDescent="0.2">
      <c r="A249" s="32"/>
      <c r="B249" s="3">
        <v>181</v>
      </c>
      <c r="D249" s="7" t="s">
        <v>470</v>
      </c>
      <c r="E249" s="184">
        <v>18</v>
      </c>
      <c r="F249" s="184">
        <v>5</v>
      </c>
      <c r="G249" s="8">
        <f t="shared" si="10"/>
        <v>0</v>
      </c>
    </row>
    <row r="250" spans="1:7" x14ac:dyDescent="0.2">
      <c r="A250" s="32"/>
      <c r="B250" s="3">
        <v>182</v>
      </c>
      <c r="D250" s="7" t="s">
        <v>470</v>
      </c>
      <c r="E250" s="184">
        <v>19</v>
      </c>
      <c r="F250" s="184">
        <v>5</v>
      </c>
      <c r="G250" s="8">
        <f t="shared" si="10"/>
        <v>0</v>
      </c>
    </row>
    <row r="251" spans="1:7" x14ac:dyDescent="0.2">
      <c r="A251" s="32"/>
      <c r="B251" s="3">
        <v>183</v>
      </c>
      <c r="D251" s="7" t="s">
        <v>470</v>
      </c>
      <c r="E251" s="184">
        <v>20</v>
      </c>
      <c r="F251" s="184">
        <v>5</v>
      </c>
      <c r="G251" s="8">
        <f t="shared" si="10"/>
        <v>0</v>
      </c>
    </row>
    <row r="252" spans="1:7" x14ac:dyDescent="0.2">
      <c r="A252" s="32"/>
      <c r="B252" s="3">
        <v>184</v>
      </c>
      <c r="D252" s="7" t="s">
        <v>470</v>
      </c>
      <c r="E252" s="184">
        <v>21</v>
      </c>
      <c r="F252" s="184">
        <v>5</v>
      </c>
      <c r="G252" s="8">
        <f t="shared" si="10"/>
        <v>0</v>
      </c>
    </row>
    <row r="253" spans="1:7" x14ac:dyDescent="0.2">
      <c r="A253" s="32"/>
      <c r="B253" s="3">
        <v>185</v>
      </c>
      <c r="D253" s="7" t="s">
        <v>470</v>
      </c>
      <c r="E253" s="184">
        <v>22</v>
      </c>
      <c r="F253" s="184">
        <v>5</v>
      </c>
      <c r="G253" s="8">
        <f t="shared" si="10"/>
        <v>0</v>
      </c>
    </row>
    <row r="254" spans="1:7" x14ac:dyDescent="0.2">
      <c r="A254" s="32"/>
      <c r="B254" s="3">
        <v>186</v>
      </c>
      <c r="D254" s="7" t="s">
        <v>470</v>
      </c>
      <c r="E254" s="184">
        <v>23</v>
      </c>
      <c r="F254" s="184">
        <v>5</v>
      </c>
      <c r="G254" s="8">
        <f t="shared" si="10"/>
        <v>0</v>
      </c>
    </row>
    <row r="255" spans="1:7" x14ac:dyDescent="0.2">
      <c r="A255" s="32"/>
      <c r="B255" s="3">
        <v>187</v>
      </c>
      <c r="D255" s="7" t="s">
        <v>470</v>
      </c>
      <c r="E255" s="184">
        <v>24</v>
      </c>
      <c r="F255" s="184">
        <v>5</v>
      </c>
      <c r="G255" s="8">
        <f t="shared" si="10"/>
        <v>0</v>
      </c>
    </row>
    <row r="256" spans="1:7" x14ac:dyDescent="0.2">
      <c r="A256" s="32"/>
      <c r="B256" s="3">
        <v>188</v>
      </c>
      <c r="D256" s="7" t="s">
        <v>470</v>
      </c>
      <c r="E256" s="184">
        <v>25</v>
      </c>
      <c r="F256" s="184">
        <v>5</v>
      </c>
      <c r="G256" s="8">
        <f t="shared" ref="G256:G319" si="11">IF(AND(F256=$A$66,E256=$A$67),1,0)</f>
        <v>0</v>
      </c>
    </row>
    <row r="257" spans="1:7" x14ac:dyDescent="0.2">
      <c r="A257" s="32"/>
      <c r="B257" s="3">
        <v>189</v>
      </c>
      <c r="D257" s="7" t="s">
        <v>470</v>
      </c>
      <c r="E257" s="184">
        <v>26</v>
      </c>
      <c r="F257" s="184">
        <v>5</v>
      </c>
      <c r="G257" s="8">
        <f t="shared" si="11"/>
        <v>0</v>
      </c>
    </row>
    <row r="258" spans="1:7" x14ac:dyDescent="0.2">
      <c r="A258" s="32"/>
      <c r="B258" s="3">
        <v>190</v>
      </c>
      <c r="D258" s="7" t="s">
        <v>470</v>
      </c>
      <c r="E258" s="184">
        <v>27</v>
      </c>
      <c r="F258" s="184">
        <v>5</v>
      </c>
      <c r="G258" s="8">
        <f t="shared" si="11"/>
        <v>0</v>
      </c>
    </row>
    <row r="259" spans="1:7" x14ac:dyDescent="0.2">
      <c r="A259" s="32"/>
      <c r="B259" s="3">
        <v>191</v>
      </c>
      <c r="D259" s="7" t="s">
        <v>470</v>
      </c>
      <c r="E259" s="184">
        <v>28</v>
      </c>
      <c r="F259" s="184">
        <v>5</v>
      </c>
      <c r="G259" s="8">
        <f t="shared" si="11"/>
        <v>0</v>
      </c>
    </row>
    <row r="260" spans="1:7" x14ac:dyDescent="0.2">
      <c r="A260" s="32"/>
      <c r="B260" s="3">
        <v>192</v>
      </c>
      <c r="D260" s="7" t="s">
        <v>470</v>
      </c>
      <c r="E260" s="184">
        <v>29</v>
      </c>
      <c r="F260" s="184">
        <v>5</v>
      </c>
      <c r="G260" s="8">
        <f t="shared" si="11"/>
        <v>0</v>
      </c>
    </row>
    <row r="261" spans="1:7" x14ac:dyDescent="0.2">
      <c r="A261" s="32"/>
      <c r="B261" s="3">
        <v>193</v>
      </c>
      <c r="D261" s="7" t="s">
        <v>470</v>
      </c>
      <c r="E261" s="184">
        <v>30</v>
      </c>
      <c r="F261" s="184">
        <v>5</v>
      </c>
      <c r="G261" s="8">
        <f t="shared" si="11"/>
        <v>0</v>
      </c>
    </row>
    <row r="262" spans="1:7" x14ac:dyDescent="0.2">
      <c r="A262" s="32"/>
      <c r="B262" s="3">
        <v>194</v>
      </c>
      <c r="D262" s="7" t="s">
        <v>470</v>
      </c>
      <c r="E262" s="184">
        <v>39</v>
      </c>
      <c r="F262" s="184">
        <v>5</v>
      </c>
      <c r="G262" s="8">
        <f t="shared" si="11"/>
        <v>0</v>
      </c>
    </row>
    <row r="263" spans="1:7" x14ac:dyDescent="0.2">
      <c r="A263" s="32"/>
      <c r="B263" s="3">
        <v>195</v>
      </c>
      <c r="D263" s="7" t="s">
        <v>470</v>
      </c>
      <c r="E263" s="184">
        <v>40</v>
      </c>
      <c r="F263" s="184">
        <v>5</v>
      </c>
      <c r="G263" s="8">
        <f t="shared" si="11"/>
        <v>0</v>
      </c>
    </row>
    <row r="264" spans="1:7" x14ac:dyDescent="0.2">
      <c r="A264" s="32"/>
      <c r="B264" s="3">
        <v>196</v>
      </c>
      <c r="D264" s="7" t="s">
        <v>470</v>
      </c>
      <c r="E264" s="184">
        <v>41</v>
      </c>
      <c r="F264" s="184">
        <v>5</v>
      </c>
      <c r="G264" s="8">
        <f t="shared" si="11"/>
        <v>0</v>
      </c>
    </row>
    <row r="265" spans="1:7" x14ac:dyDescent="0.2">
      <c r="A265" s="32"/>
      <c r="B265" s="3">
        <v>197</v>
      </c>
      <c r="D265" s="7" t="s">
        <v>471</v>
      </c>
      <c r="E265" s="184">
        <v>1</v>
      </c>
      <c r="F265" s="184">
        <v>7</v>
      </c>
      <c r="G265" s="8">
        <f t="shared" si="11"/>
        <v>0</v>
      </c>
    </row>
    <row r="266" spans="1:7" x14ac:dyDescent="0.2">
      <c r="A266" s="32"/>
      <c r="B266" s="3">
        <v>198</v>
      </c>
      <c r="D266" s="7" t="s">
        <v>471</v>
      </c>
      <c r="E266" s="184">
        <v>2</v>
      </c>
      <c r="F266" s="184">
        <v>7</v>
      </c>
      <c r="G266" s="8">
        <f t="shared" si="11"/>
        <v>0</v>
      </c>
    </row>
    <row r="267" spans="1:7" x14ac:dyDescent="0.2">
      <c r="A267" s="32"/>
      <c r="B267" s="3">
        <v>199</v>
      </c>
      <c r="D267" s="7" t="s">
        <v>471</v>
      </c>
      <c r="E267" s="184">
        <v>3</v>
      </c>
      <c r="F267" s="184">
        <v>7</v>
      </c>
      <c r="G267" s="8">
        <f t="shared" si="11"/>
        <v>0</v>
      </c>
    </row>
    <row r="268" spans="1:7" x14ac:dyDescent="0.2">
      <c r="A268" s="32"/>
      <c r="B268" s="3">
        <v>200</v>
      </c>
      <c r="D268" s="7" t="s">
        <v>471</v>
      </c>
      <c r="E268" s="184">
        <v>4</v>
      </c>
      <c r="F268" s="184">
        <v>7</v>
      </c>
      <c r="G268" s="8">
        <f t="shared" si="11"/>
        <v>0</v>
      </c>
    </row>
    <row r="269" spans="1:7" x14ac:dyDescent="0.2">
      <c r="A269" s="32"/>
      <c r="B269" s="3">
        <v>201</v>
      </c>
      <c r="D269" s="7" t="s">
        <v>471</v>
      </c>
      <c r="E269" s="184">
        <v>5</v>
      </c>
      <c r="F269" s="184">
        <v>7</v>
      </c>
      <c r="G269" s="8">
        <f t="shared" si="11"/>
        <v>0</v>
      </c>
    </row>
    <row r="270" spans="1:7" x14ac:dyDescent="0.2">
      <c r="A270" s="32"/>
      <c r="B270" s="3">
        <v>202</v>
      </c>
      <c r="D270" s="7" t="s">
        <v>471</v>
      </c>
      <c r="E270" s="184">
        <v>6</v>
      </c>
      <c r="F270" s="184">
        <v>7</v>
      </c>
      <c r="G270" s="8">
        <f t="shared" si="11"/>
        <v>0</v>
      </c>
    </row>
    <row r="271" spans="1:7" x14ac:dyDescent="0.2">
      <c r="A271" s="32"/>
      <c r="B271" s="3">
        <v>203</v>
      </c>
      <c r="D271" s="7" t="s">
        <v>471</v>
      </c>
      <c r="E271" s="184">
        <v>7</v>
      </c>
      <c r="F271" s="184">
        <v>7</v>
      </c>
      <c r="G271" s="8">
        <f t="shared" si="11"/>
        <v>0</v>
      </c>
    </row>
    <row r="272" spans="1:7" x14ac:dyDescent="0.2">
      <c r="A272" s="32"/>
      <c r="B272" s="3">
        <v>204</v>
      </c>
      <c r="D272" s="7" t="s">
        <v>471</v>
      </c>
      <c r="E272" s="184">
        <v>8</v>
      </c>
      <c r="F272" s="184">
        <v>7</v>
      </c>
      <c r="G272" s="8">
        <f t="shared" si="11"/>
        <v>0</v>
      </c>
    </row>
    <row r="273" spans="1:7" x14ac:dyDescent="0.2">
      <c r="A273" s="32"/>
      <c r="B273" s="3">
        <v>205</v>
      </c>
      <c r="D273" s="7" t="s">
        <v>471</v>
      </c>
      <c r="E273" s="184">
        <v>9</v>
      </c>
      <c r="F273" s="184">
        <v>7</v>
      </c>
      <c r="G273" s="8">
        <f t="shared" si="11"/>
        <v>0</v>
      </c>
    </row>
    <row r="274" spans="1:7" x14ac:dyDescent="0.2">
      <c r="A274" s="32"/>
      <c r="B274" s="3">
        <v>206</v>
      </c>
      <c r="D274" s="7" t="s">
        <v>471</v>
      </c>
      <c r="E274" s="184">
        <v>10</v>
      </c>
      <c r="F274" s="184">
        <v>7</v>
      </c>
      <c r="G274" s="8">
        <f t="shared" si="11"/>
        <v>0</v>
      </c>
    </row>
    <row r="275" spans="1:7" x14ac:dyDescent="0.2">
      <c r="A275" s="32"/>
      <c r="B275" s="3">
        <v>207</v>
      </c>
      <c r="D275" s="7" t="s">
        <v>471</v>
      </c>
      <c r="E275" s="184">
        <v>11</v>
      </c>
      <c r="F275" s="184">
        <v>7</v>
      </c>
      <c r="G275" s="8">
        <f t="shared" si="11"/>
        <v>0</v>
      </c>
    </row>
    <row r="276" spans="1:7" x14ac:dyDescent="0.2">
      <c r="A276" s="32"/>
      <c r="B276" s="3">
        <v>208</v>
      </c>
      <c r="D276" s="7" t="s">
        <v>471</v>
      </c>
      <c r="E276" s="184">
        <v>12</v>
      </c>
      <c r="F276" s="184">
        <v>7</v>
      </c>
      <c r="G276" s="8">
        <f t="shared" si="11"/>
        <v>0</v>
      </c>
    </row>
    <row r="277" spans="1:7" x14ac:dyDescent="0.2">
      <c r="A277" s="32"/>
      <c r="B277" s="3">
        <v>209</v>
      </c>
      <c r="D277" s="7" t="s">
        <v>471</v>
      </c>
      <c r="E277" s="184">
        <v>13</v>
      </c>
      <c r="F277" s="184">
        <v>7</v>
      </c>
      <c r="G277" s="8">
        <f t="shared" si="11"/>
        <v>0</v>
      </c>
    </row>
    <row r="278" spans="1:7" x14ac:dyDescent="0.2">
      <c r="A278" s="32"/>
      <c r="B278" s="3">
        <v>210</v>
      </c>
      <c r="D278" s="7" t="s">
        <v>471</v>
      </c>
      <c r="E278" s="184">
        <v>14</v>
      </c>
      <c r="F278" s="184">
        <v>7</v>
      </c>
      <c r="G278" s="8">
        <f t="shared" si="11"/>
        <v>0</v>
      </c>
    </row>
    <row r="279" spans="1:7" x14ac:dyDescent="0.2">
      <c r="A279" s="32"/>
      <c r="B279" s="3">
        <v>211</v>
      </c>
      <c r="D279" s="7" t="s">
        <v>471</v>
      </c>
      <c r="E279" s="184">
        <v>15</v>
      </c>
      <c r="F279" s="184">
        <v>7</v>
      </c>
      <c r="G279" s="8">
        <f t="shared" si="11"/>
        <v>0</v>
      </c>
    </row>
    <row r="280" spans="1:7" x14ac:dyDescent="0.2">
      <c r="A280" s="32"/>
      <c r="B280" s="3">
        <v>212</v>
      </c>
      <c r="D280" s="7" t="s">
        <v>471</v>
      </c>
      <c r="E280" s="184">
        <v>16</v>
      </c>
      <c r="F280" s="184">
        <v>7</v>
      </c>
      <c r="G280" s="8">
        <f t="shared" si="11"/>
        <v>0</v>
      </c>
    </row>
    <row r="281" spans="1:7" x14ac:dyDescent="0.2">
      <c r="A281" s="32"/>
      <c r="B281" s="3">
        <v>213</v>
      </c>
      <c r="D281" s="7" t="s">
        <v>471</v>
      </c>
      <c r="E281" s="184">
        <v>17</v>
      </c>
      <c r="F281" s="184">
        <v>7</v>
      </c>
      <c r="G281" s="8">
        <f t="shared" si="11"/>
        <v>0</v>
      </c>
    </row>
    <row r="282" spans="1:7" x14ac:dyDescent="0.2">
      <c r="A282" s="32"/>
      <c r="B282" s="3">
        <v>214</v>
      </c>
      <c r="D282" s="7" t="s">
        <v>471</v>
      </c>
      <c r="E282" s="184">
        <v>18</v>
      </c>
      <c r="F282" s="184">
        <v>7</v>
      </c>
      <c r="G282" s="8">
        <f t="shared" si="11"/>
        <v>0</v>
      </c>
    </row>
    <row r="283" spans="1:7" x14ac:dyDescent="0.2">
      <c r="A283" s="32"/>
      <c r="B283" s="3">
        <v>215</v>
      </c>
      <c r="D283" s="7" t="s">
        <v>471</v>
      </c>
      <c r="E283" s="184">
        <v>19</v>
      </c>
      <c r="F283" s="184">
        <v>7</v>
      </c>
      <c r="G283" s="8">
        <f t="shared" si="11"/>
        <v>0</v>
      </c>
    </row>
    <row r="284" spans="1:7" x14ac:dyDescent="0.2">
      <c r="A284" s="32"/>
      <c r="B284" s="3">
        <v>216</v>
      </c>
      <c r="D284" s="7" t="s">
        <v>471</v>
      </c>
      <c r="E284" s="184">
        <v>20</v>
      </c>
      <c r="F284" s="184">
        <v>7</v>
      </c>
      <c r="G284" s="8">
        <f t="shared" si="11"/>
        <v>0</v>
      </c>
    </row>
    <row r="285" spans="1:7" x14ac:dyDescent="0.2">
      <c r="A285" s="32"/>
      <c r="B285" s="3">
        <v>217</v>
      </c>
      <c r="D285" s="7" t="s">
        <v>471</v>
      </c>
      <c r="E285" s="184">
        <v>21</v>
      </c>
      <c r="F285" s="184">
        <v>7</v>
      </c>
      <c r="G285" s="8">
        <f t="shared" si="11"/>
        <v>0</v>
      </c>
    </row>
    <row r="286" spans="1:7" x14ac:dyDescent="0.2">
      <c r="A286" s="32"/>
      <c r="B286" s="3">
        <v>218</v>
      </c>
      <c r="D286" s="7" t="s">
        <v>471</v>
      </c>
      <c r="E286" s="184">
        <v>22</v>
      </c>
      <c r="F286" s="184">
        <v>7</v>
      </c>
      <c r="G286" s="8">
        <f t="shared" si="11"/>
        <v>0</v>
      </c>
    </row>
    <row r="287" spans="1:7" x14ac:dyDescent="0.2">
      <c r="A287" s="32"/>
      <c r="B287" s="3">
        <v>219</v>
      </c>
      <c r="D287" s="7" t="s">
        <v>471</v>
      </c>
      <c r="E287" s="184">
        <v>23</v>
      </c>
      <c r="F287" s="184">
        <v>7</v>
      </c>
      <c r="G287" s="8">
        <f t="shared" si="11"/>
        <v>0</v>
      </c>
    </row>
    <row r="288" spans="1:7" x14ac:dyDescent="0.2">
      <c r="A288" s="32"/>
      <c r="B288" s="3">
        <v>220</v>
      </c>
      <c r="D288" s="7" t="s">
        <v>471</v>
      </c>
      <c r="E288" s="184">
        <v>24</v>
      </c>
      <c r="F288" s="184">
        <v>7</v>
      </c>
      <c r="G288" s="8">
        <f t="shared" si="11"/>
        <v>0</v>
      </c>
    </row>
    <row r="289" spans="1:7" x14ac:dyDescent="0.2">
      <c r="A289" s="32"/>
      <c r="B289" s="3">
        <v>221</v>
      </c>
      <c r="D289" s="7" t="s">
        <v>471</v>
      </c>
      <c r="E289" s="184">
        <v>25</v>
      </c>
      <c r="F289" s="184">
        <v>7</v>
      </c>
      <c r="G289" s="8">
        <f t="shared" si="11"/>
        <v>0</v>
      </c>
    </row>
    <row r="290" spans="1:7" x14ac:dyDescent="0.2">
      <c r="A290" s="32"/>
      <c r="B290" s="3">
        <v>222</v>
      </c>
      <c r="D290" s="7" t="s">
        <v>471</v>
      </c>
      <c r="E290" s="184">
        <v>26</v>
      </c>
      <c r="F290" s="184">
        <v>7</v>
      </c>
      <c r="G290" s="8">
        <f t="shared" si="11"/>
        <v>0</v>
      </c>
    </row>
    <row r="291" spans="1:7" x14ac:dyDescent="0.2">
      <c r="A291" s="32"/>
      <c r="B291" s="3">
        <v>223</v>
      </c>
      <c r="D291" s="7" t="s">
        <v>471</v>
      </c>
      <c r="E291" s="184">
        <v>27</v>
      </c>
      <c r="F291" s="184">
        <v>7</v>
      </c>
      <c r="G291" s="8">
        <f t="shared" si="11"/>
        <v>0</v>
      </c>
    </row>
    <row r="292" spans="1:7" x14ac:dyDescent="0.2">
      <c r="A292" s="32"/>
      <c r="B292" s="3">
        <v>224</v>
      </c>
      <c r="D292" s="7" t="s">
        <v>471</v>
      </c>
      <c r="E292" s="184">
        <v>28</v>
      </c>
      <c r="F292" s="184">
        <v>7</v>
      </c>
      <c r="G292" s="8">
        <f t="shared" si="11"/>
        <v>0</v>
      </c>
    </row>
    <row r="293" spans="1:7" x14ac:dyDescent="0.2">
      <c r="A293" s="32"/>
      <c r="B293" s="3">
        <v>225</v>
      </c>
      <c r="D293" s="7" t="s">
        <v>471</v>
      </c>
      <c r="E293" s="184">
        <v>29</v>
      </c>
      <c r="F293" s="184">
        <v>7</v>
      </c>
      <c r="G293" s="8">
        <f t="shared" si="11"/>
        <v>0</v>
      </c>
    </row>
    <row r="294" spans="1:7" x14ac:dyDescent="0.2">
      <c r="A294" s="32"/>
      <c r="B294" s="3">
        <v>226</v>
      </c>
      <c r="D294" s="7" t="s">
        <v>471</v>
      </c>
      <c r="E294" s="184">
        <v>30</v>
      </c>
      <c r="F294" s="184">
        <v>7</v>
      </c>
      <c r="G294" s="8">
        <f t="shared" si="11"/>
        <v>0</v>
      </c>
    </row>
    <row r="295" spans="1:7" x14ac:dyDescent="0.2">
      <c r="A295" s="32"/>
      <c r="B295" s="3">
        <v>227</v>
      </c>
      <c r="D295" s="7" t="s">
        <v>471</v>
      </c>
      <c r="E295" s="184">
        <v>31</v>
      </c>
      <c r="F295" s="184">
        <v>7</v>
      </c>
      <c r="G295" s="8">
        <f t="shared" si="11"/>
        <v>0</v>
      </c>
    </row>
    <row r="296" spans="1:7" x14ac:dyDescent="0.2">
      <c r="A296" s="32"/>
      <c r="B296" s="3">
        <v>228</v>
      </c>
      <c r="D296" s="7" t="s">
        <v>471</v>
      </c>
      <c r="E296" s="184">
        <v>32</v>
      </c>
      <c r="F296" s="184">
        <v>7</v>
      </c>
      <c r="G296" s="8">
        <f t="shared" si="11"/>
        <v>0</v>
      </c>
    </row>
    <row r="297" spans="1:7" x14ac:dyDescent="0.2">
      <c r="A297" s="32"/>
      <c r="B297" s="3">
        <v>229</v>
      </c>
      <c r="D297" s="7" t="s">
        <v>471</v>
      </c>
      <c r="E297" s="184">
        <v>33</v>
      </c>
      <c r="F297" s="184">
        <v>7</v>
      </c>
      <c r="G297" s="8">
        <f t="shared" si="11"/>
        <v>0</v>
      </c>
    </row>
    <row r="298" spans="1:7" x14ac:dyDescent="0.2">
      <c r="A298" s="32"/>
      <c r="B298" s="3">
        <v>230</v>
      </c>
      <c r="D298" s="7" t="s">
        <v>471</v>
      </c>
      <c r="E298" s="184">
        <v>34</v>
      </c>
      <c r="F298" s="184">
        <v>7</v>
      </c>
      <c r="G298" s="8">
        <f t="shared" si="11"/>
        <v>0</v>
      </c>
    </row>
    <row r="299" spans="1:7" x14ac:dyDescent="0.2">
      <c r="A299" s="32"/>
      <c r="B299" s="3">
        <v>231</v>
      </c>
      <c r="D299" s="7" t="s">
        <v>471</v>
      </c>
      <c r="E299" s="184">
        <v>35</v>
      </c>
      <c r="F299" s="184">
        <v>7</v>
      </c>
      <c r="G299" s="8">
        <f t="shared" si="11"/>
        <v>0</v>
      </c>
    </row>
    <row r="300" spans="1:7" x14ac:dyDescent="0.2">
      <c r="A300" s="32"/>
      <c r="B300" s="3">
        <v>232</v>
      </c>
      <c r="D300" s="7" t="s">
        <v>471</v>
      </c>
      <c r="E300" s="184">
        <v>36</v>
      </c>
      <c r="F300" s="184">
        <v>7</v>
      </c>
      <c r="G300" s="8">
        <f t="shared" si="11"/>
        <v>0</v>
      </c>
    </row>
    <row r="301" spans="1:7" x14ac:dyDescent="0.2">
      <c r="A301" s="32"/>
      <c r="B301" s="3">
        <v>233</v>
      </c>
      <c r="D301" s="7" t="s">
        <v>471</v>
      </c>
      <c r="E301" s="184">
        <v>37</v>
      </c>
      <c r="F301" s="184">
        <v>7</v>
      </c>
      <c r="G301" s="8">
        <f t="shared" si="11"/>
        <v>0</v>
      </c>
    </row>
    <row r="302" spans="1:7" x14ac:dyDescent="0.2">
      <c r="A302" s="32"/>
      <c r="B302" s="3">
        <v>234</v>
      </c>
      <c r="D302" s="7" t="s">
        <v>471</v>
      </c>
      <c r="E302" s="184">
        <v>38</v>
      </c>
      <c r="F302" s="184">
        <v>7</v>
      </c>
      <c r="G302" s="8">
        <f t="shared" si="11"/>
        <v>0</v>
      </c>
    </row>
    <row r="303" spans="1:7" x14ac:dyDescent="0.2">
      <c r="A303" s="32"/>
      <c r="B303" s="3">
        <v>235</v>
      </c>
      <c r="D303" s="7" t="s">
        <v>471</v>
      </c>
      <c r="E303" s="184">
        <v>39</v>
      </c>
      <c r="F303" s="184">
        <v>7</v>
      </c>
      <c r="G303" s="8">
        <f t="shared" si="11"/>
        <v>0</v>
      </c>
    </row>
    <row r="304" spans="1:7" x14ac:dyDescent="0.2">
      <c r="A304" s="32"/>
      <c r="B304" s="3">
        <v>236</v>
      </c>
      <c r="D304" s="7" t="s">
        <v>471</v>
      </c>
      <c r="E304" s="184">
        <v>40</v>
      </c>
      <c r="F304" s="184">
        <v>7</v>
      </c>
      <c r="G304" s="8">
        <f t="shared" si="11"/>
        <v>0</v>
      </c>
    </row>
    <row r="305" spans="1:7" x14ac:dyDescent="0.2">
      <c r="A305" s="32"/>
      <c r="B305" s="3">
        <v>237</v>
      </c>
      <c r="D305" s="7" t="s">
        <v>471</v>
      </c>
      <c r="E305" s="184">
        <v>41</v>
      </c>
      <c r="F305" s="184">
        <v>7</v>
      </c>
      <c r="G305" s="8">
        <f t="shared" si="11"/>
        <v>0</v>
      </c>
    </row>
    <row r="306" spans="1:7" x14ac:dyDescent="0.2">
      <c r="A306" s="32"/>
      <c r="B306" s="3">
        <v>238</v>
      </c>
      <c r="D306" s="7" t="s">
        <v>471</v>
      </c>
      <c r="E306" s="184">
        <v>42</v>
      </c>
      <c r="F306" s="184">
        <v>7</v>
      </c>
      <c r="G306" s="8">
        <f t="shared" si="11"/>
        <v>0</v>
      </c>
    </row>
    <row r="307" spans="1:7" x14ac:dyDescent="0.2">
      <c r="A307" s="32"/>
      <c r="B307" s="3">
        <v>239</v>
      </c>
      <c r="D307" s="7" t="s">
        <v>471</v>
      </c>
      <c r="E307" s="184">
        <v>43</v>
      </c>
      <c r="F307" s="184">
        <v>7</v>
      </c>
      <c r="G307" s="8">
        <f t="shared" si="11"/>
        <v>0</v>
      </c>
    </row>
    <row r="308" spans="1:7" x14ac:dyDescent="0.2">
      <c r="A308" s="32"/>
      <c r="B308" s="3">
        <v>240</v>
      </c>
      <c r="D308" s="7" t="s">
        <v>471</v>
      </c>
      <c r="E308" s="184">
        <v>44</v>
      </c>
      <c r="F308" s="184">
        <v>7</v>
      </c>
      <c r="G308" s="8">
        <f t="shared" si="11"/>
        <v>0</v>
      </c>
    </row>
    <row r="309" spans="1:7" x14ac:dyDescent="0.2">
      <c r="A309" s="32"/>
      <c r="B309" s="3">
        <v>241</v>
      </c>
      <c r="D309" s="7" t="s">
        <v>471</v>
      </c>
      <c r="E309" s="184">
        <v>45</v>
      </c>
      <c r="F309" s="184">
        <v>7</v>
      </c>
      <c r="G309" s="8">
        <f t="shared" si="11"/>
        <v>0</v>
      </c>
    </row>
    <row r="310" spans="1:7" x14ac:dyDescent="0.2">
      <c r="A310" s="32"/>
      <c r="B310" s="3">
        <v>242</v>
      </c>
      <c r="D310" s="7" t="s">
        <v>471</v>
      </c>
      <c r="E310" s="184">
        <v>46</v>
      </c>
      <c r="F310" s="184">
        <v>7</v>
      </c>
      <c r="G310" s="8">
        <f t="shared" si="11"/>
        <v>0</v>
      </c>
    </row>
    <row r="311" spans="1:7" x14ac:dyDescent="0.2">
      <c r="A311" s="32"/>
      <c r="B311" s="3">
        <v>243</v>
      </c>
      <c r="D311" s="7" t="s">
        <v>471</v>
      </c>
      <c r="E311" s="184">
        <v>47</v>
      </c>
      <c r="F311" s="184">
        <v>7</v>
      </c>
      <c r="G311" s="8">
        <f t="shared" si="11"/>
        <v>0</v>
      </c>
    </row>
    <row r="312" spans="1:7" x14ac:dyDescent="0.2">
      <c r="A312" s="32"/>
      <c r="B312" s="3">
        <v>244</v>
      </c>
      <c r="D312" s="7" t="s">
        <v>471</v>
      </c>
      <c r="E312" s="184">
        <v>48</v>
      </c>
      <c r="F312" s="184">
        <v>7</v>
      </c>
      <c r="G312" s="8">
        <f t="shared" si="11"/>
        <v>0</v>
      </c>
    </row>
    <row r="313" spans="1:7" x14ac:dyDescent="0.2">
      <c r="A313" s="32"/>
      <c r="B313" s="3">
        <v>245</v>
      </c>
      <c r="D313" s="7" t="s">
        <v>471</v>
      </c>
      <c r="E313" s="184">
        <v>49</v>
      </c>
      <c r="F313" s="184">
        <v>7</v>
      </c>
      <c r="G313" s="8">
        <f t="shared" si="11"/>
        <v>0</v>
      </c>
    </row>
    <row r="314" spans="1:7" x14ac:dyDescent="0.2">
      <c r="A314" s="32"/>
      <c r="B314" s="3">
        <v>246</v>
      </c>
      <c r="D314" s="7" t="s">
        <v>471</v>
      </c>
      <c r="E314" s="184">
        <v>50</v>
      </c>
      <c r="F314" s="184">
        <v>7</v>
      </c>
      <c r="G314" s="8">
        <f t="shared" si="11"/>
        <v>0</v>
      </c>
    </row>
    <row r="315" spans="1:7" x14ac:dyDescent="0.2">
      <c r="A315" s="32"/>
      <c r="B315" s="3">
        <v>247</v>
      </c>
      <c r="D315" s="7" t="s">
        <v>471</v>
      </c>
      <c r="E315" s="184">
        <v>51</v>
      </c>
      <c r="F315" s="184">
        <v>7</v>
      </c>
      <c r="G315" s="8">
        <f t="shared" si="11"/>
        <v>0</v>
      </c>
    </row>
    <row r="316" spans="1:7" x14ac:dyDescent="0.2">
      <c r="A316" s="32"/>
      <c r="B316" s="3">
        <v>248</v>
      </c>
      <c r="D316" s="7" t="s">
        <v>471</v>
      </c>
      <c r="E316" s="184">
        <v>52</v>
      </c>
      <c r="F316" s="184">
        <v>7</v>
      </c>
      <c r="G316" s="8">
        <f t="shared" si="11"/>
        <v>0</v>
      </c>
    </row>
    <row r="317" spans="1:7" x14ac:dyDescent="0.2">
      <c r="A317" s="32"/>
      <c r="B317" s="3">
        <v>249</v>
      </c>
      <c r="D317" s="7" t="s">
        <v>471</v>
      </c>
      <c r="E317" s="184">
        <v>53</v>
      </c>
      <c r="F317" s="184">
        <v>7</v>
      </c>
      <c r="G317" s="8">
        <f t="shared" si="11"/>
        <v>0</v>
      </c>
    </row>
    <row r="318" spans="1:7" x14ac:dyDescent="0.2">
      <c r="A318" s="32"/>
      <c r="B318" s="3">
        <v>250</v>
      </c>
      <c r="D318" s="7" t="s">
        <v>471</v>
      </c>
      <c r="E318" s="184">
        <v>54</v>
      </c>
      <c r="F318" s="184">
        <v>7</v>
      </c>
      <c r="G318" s="8">
        <f t="shared" si="11"/>
        <v>0</v>
      </c>
    </row>
    <row r="319" spans="1:7" x14ac:dyDescent="0.2">
      <c r="A319" s="32"/>
      <c r="B319" s="3">
        <v>251</v>
      </c>
      <c r="D319" s="7" t="s">
        <v>471</v>
      </c>
      <c r="E319" s="184">
        <v>55</v>
      </c>
      <c r="F319" s="184">
        <v>7</v>
      </c>
      <c r="G319" s="8">
        <f t="shared" si="11"/>
        <v>0</v>
      </c>
    </row>
    <row r="320" spans="1:7" x14ac:dyDescent="0.2">
      <c r="A320" s="32"/>
      <c r="B320" s="3">
        <v>252</v>
      </c>
      <c r="D320" s="7" t="s">
        <v>471</v>
      </c>
      <c r="E320" s="184">
        <v>56</v>
      </c>
      <c r="F320" s="184">
        <v>7</v>
      </c>
      <c r="G320" s="8">
        <f t="shared" ref="G320:G383" si="12">IF(AND(F320=$A$66,E320=$A$67),1,0)</f>
        <v>0</v>
      </c>
    </row>
    <row r="321" spans="1:7" x14ac:dyDescent="0.2">
      <c r="A321" s="32"/>
      <c r="B321" s="3">
        <v>253</v>
      </c>
      <c r="D321" s="7" t="s">
        <v>214</v>
      </c>
      <c r="E321" s="184">
        <v>1</v>
      </c>
      <c r="F321" s="184">
        <v>51</v>
      </c>
      <c r="G321" s="8">
        <f t="shared" si="12"/>
        <v>0</v>
      </c>
    </row>
    <row r="322" spans="1:7" x14ac:dyDescent="0.2">
      <c r="A322" s="32"/>
      <c r="B322" s="3">
        <v>254</v>
      </c>
      <c r="D322" s="7" t="s">
        <v>214</v>
      </c>
      <c r="E322" s="184">
        <v>2</v>
      </c>
      <c r="F322" s="184">
        <v>51</v>
      </c>
      <c r="G322" s="8">
        <f t="shared" si="12"/>
        <v>0</v>
      </c>
    </row>
    <row r="323" spans="1:7" x14ac:dyDescent="0.2">
      <c r="A323" s="32"/>
      <c r="B323" s="3">
        <v>255</v>
      </c>
      <c r="D323" s="7" t="s">
        <v>214</v>
      </c>
      <c r="E323" s="184">
        <v>3</v>
      </c>
      <c r="F323" s="184">
        <v>51</v>
      </c>
      <c r="G323" s="8">
        <f t="shared" si="12"/>
        <v>0</v>
      </c>
    </row>
    <row r="324" spans="1:7" x14ac:dyDescent="0.2">
      <c r="A324" s="32"/>
      <c r="B324" s="3">
        <v>256</v>
      </c>
      <c r="D324" s="7" t="s">
        <v>214</v>
      </c>
      <c r="E324" s="184">
        <v>4</v>
      </c>
      <c r="F324" s="184">
        <v>51</v>
      </c>
      <c r="G324" s="8">
        <f t="shared" si="12"/>
        <v>0</v>
      </c>
    </row>
    <row r="325" spans="1:7" x14ac:dyDescent="0.2">
      <c r="A325" s="32"/>
      <c r="B325" s="3">
        <v>257</v>
      </c>
      <c r="D325" s="7" t="s">
        <v>214</v>
      </c>
      <c r="E325" s="184">
        <v>5</v>
      </c>
      <c r="F325" s="184">
        <v>51</v>
      </c>
      <c r="G325" s="8">
        <f t="shared" si="12"/>
        <v>0</v>
      </c>
    </row>
    <row r="326" spans="1:7" x14ac:dyDescent="0.2">
      <c r="A326" s="32"/>
      <c r="B326" s="3">
        <v>258</v>
      </c>
      <c r="D326" s="7" t="s">
        <v>214</v>
      </c>
      <c r="E326" s="184">
        <v>6</v>
      </c>
      <c r="F326" s="184">
        <v>51</v>
      </c>
      <c r="G326" s="8">
        <f t="shared" si="12"/>
        <v>0</v>
      </c>
    </row>
    <row r="327" spans="1:7" x14ac:dyDescent="0.2">
      <c r="A327" s="32"/>
      <c r="B327" s="3">
        <v>259</v>
      </c>
      <c r="D327" s="7" t="s">
        <v>214</v>
      </c>
      <c r="E327" s="184">
        <v>7</v>
      </c>
      <c r="F327" s="184">
        <v>51</v>
      </c>
      <c r="G327" s="8">
        <f t="shared" si="12"/>
        <v>0</v>
      </c>
    </row>
    <row r="328" spans="1:7" x14ac:dyDescent="0.2">
      <c r="A328" s="32"/>
      <c r="B328" s="3">
        <v>260</v>
      </c>
      <c r="D328" s="7" t="s">
        <v>214</v>
      </c>
      <c r="E328" s="184">
        <v>8</v>
      </c>
      <c r="F328" s="184">
        <v>51</v>
      </c>
      <c r="G328" s="8">
        <f t="shared" si="12"/>
        <v>0</v>
      </c>
    </row>
    <row r="329" spans="1:7" x14ac:dyDescent="0.2">
      <c r="A329" s="32"/>
      <c r="B329" s="3">
        <v>261</v>
      </c>
      <c r="D329" s="7" t="s">
        <v>214</v>
      </c>
      <c r="E329" s="184">
        <v>9</v>
      </c>
      <c r="F329" s="184">
        <v>51</v>
      </c>
      <c r="G329" s="8">
        <f t="shared" si="12"/>
        <v>0</v>
      </c>
    </row>
    <row r="330" spans="1:7" x14ac:dyDescent="0.2">
      <c r="A330" s="32"/>
      <c r="B330" s="3">
        <v>262</v>
      </c>
      <c r="D330" s="7" t="s">
        <v>214</v>
      </c>
      <c r="E330" s="184">
        <v>10</v>
      </c>
      <c r="F330" s="184">
        <v>51</v>
      </c>
      <c r="G330" s="8">
        <f t="shared" si="12"/>
        <v>0</v>
      </c>
    </row>
    <row r="331" spans="1:7" x14ac:dyDescent="0.2">
      <c r="A331" s="32"/>
      <c r="B331" s="3">
        <v>263</v>
      </c>
      <c r="D331" s="7" t="s">
        <v>214</v>
      </c>
      <c r="E331" s="184">
        <v>11</v>
      </c>
      <c r="F331" s="184">
        <v>51</v>
      </c>
      <c r="G331" s="8">
        <f t="shared" si="12"/>
        <v>0</v>
      </c>
    </row>
    <row r="332" spans="1:7" x14ac:dyDescent="0.2">
      <c r="A332" s="32"/>
      <c r="B332" s="3">
        <v>264</v>
      </c>
      <c r="D332" s="7" t="s">
        <v>214</v>
      </c>
      <c r="E332" s="184">
        <v>12</v>
      </c>
      <c r="F332" s="184">
        <v>51</v>
      </c>
      <c r="G332" s="8">
        <f t="shared" si="12"/>
        <v>0</v>
      </c>
    </row>
    <row r="333" spans="1:7" x14ac:dyDescent="0.2">
      <c r="A333" s="32"/>
      <c r="B333" s="3">
        <v>265</v>
      </c>
      <c r="D333" s="7" t="s">
        <v>214</v>
      </c>
      <c r="E333" s="184">
        <v>13</v>
      </c>
      <c r="F333" s="184">
        <v>51</v>
      </c>
      <c r="G333" s="8">
        <f t="shared" si="12"/>
        <v>0</v>
      </c>
    </row>
    <row r="334" spans="1:7" x14ac:dyDescent="0.2">
      <c r="A334" s="32"/>
      <c r="B334" s="3">
        <v>266</v>
      </c>
      <c r="D334" s="7" t="s">
        <v>214</v>
      </c>
      <c r="E334" s="184">
        <v>14</v>
      </c>
      <c r="F334" s="184">
        <v>51</v>
      </c>
      <c r="G334" s="8">
        <f t="shared" si="12"/>
        <v>0</v>
      </c>
    </row>
    <row r="335" spans="1:7" x14ac:dyDescent="0.2">
      <c r="A335" s="32"/>
      <c r="B335" s="3">
        <v>267</v>
      </c>
      <c r="D335" s="7" t="s">
        <v>214</v>
      </c>
      <c r="E335" s="184">
        <v>15</v>
      </c>
      <c r="F335" s="184">
        <v>51</v>
      </c>
      <c r="G335" s="8">
        <f t="shared" si="12"/>
        <v>0</v>
      </c>
    </row>
    <row r="336" spans="1:7" x14ac:dyDescent="0.2">
      <c r="A336" s="32"/>
      <c r="B336" s="3">
        <v>268</v>
      </c>
      <c r="D336" s="7" t="s">
        <v>214</v>
      </c>
      <c r="E336" s="184">
        <v>16</v>
      </c>
      <c r="F336" s="184">
        <v>51</v>
      </c>
      <c r="G336" s="8">
        <f t="shared" si="12"/>
        <v>0</v>
      </c>
    </row>
    <row r="337" spans="1:7" x14ac:dyDescent="0.2">
      <c r="A337" s="32"/>
      <c r="B337" s="3">
        <v>269</v>
      </c>
      <c r="D337" s="7" t="s">
        <v>214</v>
      </c>
      <c r="E337" s="184">
        <v>17</v>
      </c>
      <c r="F337" s="184">
        <v>51</v>
      </c>
      <c r="G337" s="8">
        <f t="shared" si="12"/>
        <v>0</v>
      </c>
    </row>
    <row r="338" spans="1:7" x14ac:dyDescent="0.2">
      <c r="A338" s="32"/>
      <c r="B338" s="3">
        <v>270</v>
      </c>
      <c r="D338" s="7" t="s">
        <v>214</v>
      </c>
      <c r="E338" s="184">
        <v>18</v>
      </c>
      <c r="F338" s="184">
        <v>51</v>
      </c>
      <c r="G338" s="8">
        <f t="shared" si="12"/>
        <v>0</v>
      </c>
    </row>
    <row r="339" spans="1:7" x14ac:dyDescent="0.2">
      <c r="A339" s="32"/>
      <c r="B339" s="3">
        <v>271</v>
      </c>
      <c r="D339" s="7" t="s">
        <v>214</v>
      </c>
      <c r="E339" s="184">
        <v>19</v>
      </c>
      <c r="F339" s="184">
        <v>51</v>
      </c>
      <c r="G339" s="8">
        <f t="shared" si="12"/>
        <v>0</v>
      </c>
    </row>
    <row r="340" spans="1:7" x14ac:dyDescent="0.2">
      <c r="A340" s="32"/>
      <c r="B340" s="3">
        <v>272</v>
      </c>
      <c r="D340" s="7" t="s">
        <v>214</v>
      </c>
      <c r="E340" s="184">
        <v>20</v>
      </c>
      <c r="F340" s="184">
        <v>51</v>
      </c>
      <c r="G340" s="8">
        <f t="shared" si="12"/>
        <v>0</v>
      </c>
    </row>
    <row r="341" spans="1:7" x14ac:dyDescent="0.2">
      <c r="A341" s="32"/>
      <c r="B341" s="3">
        <v>273</v>
      </c>
      <c r="D341" s="7" t="s">
        <v>214</v>
      </c>
      <c r="E341" s="184">
        <v>21</v>
      </c>
      <c r="F341" s="184">
        <v>51</v>
      </c>
      <c r="G341" s="8">
        <f t="shared" si="12"/>
        <v>0</v>
      </c>
    </row>
    <row r="342" spans="1:7" x14ac:dyDescent="0.2">
      <c r="A342" s="32"/>
      <c r="B342" s="3">
        <v>274</v>
      </c>
      <c r="D342" s="7" t="s">
        <v>214</v>
      </c>
      <c r="E342" s="184">
        <v>22</v>
      </c>
      <c r="F342" s="184">
        <v>51</v>
      </c>
      <c r="G342" s="8">
        <f t="shared" si="12"/>
        <v>0</v>
      </c>
    </row>
    <row r="343" spans="1:7" x14ac:dyDescent="0.2">
      <c r="A343" s="32"/>
      <c r="B343" s="3">
        <v>275</v>
      </c>
      <c r="D343" s="7" t="s">
        <v>214</v>
      </c>
      <c r="E343" s="184">
        <v>23</v>
      </c>
      <c r="F343" s="184">
        <v>51</v>
      </c>
      <c r="G343" s="8">
        <f t="shared" si="12"/>
        <v>0</v>
      </c>
    </row>
    <row r="344" spans="1:7" x14ac:dyDescent="0.2">
      <c r="A344" s="32"/>
      <c r="B344" s="3">
        <v>276</v>
      </c>
      <c r="D344" s="7" t="s">
        <v>214</v>
      </c>
      <c r="E344" s="184">
        <v>24</v>
      </c>
      <c r="F344" s="184">
        <v>51</v>
      </c>
      <c r="G344" s="8">
        <f t="shared" si="12"/>
        <v>0</v>
      </c>
    </row>
    <row r="345" spans="1:7" x14ac:dyDescent="0.2">
      <c r="A345" s="32"/>
      <c r="B345" s="3">
        <v>277</v>
      </c>
      <c r="D345" s="7" t="s">
        <v>214</v>
      </c>
      <c r="E345" s="184">
        <v>25</v>
      </c>
      <c r="F345" s="184">
        <v>51</v>
      </c>
      <c r="G345" s="8">
        <f t="shared" si="12"/>
        <v>0</v>
      </c>
    </row>
    <row r="346" spans="1:7" x14ac:dyDescent="0.2">
      <c r="A346" s="32"/>
      <c r="B346" s="3">
        <v>278</v>
      </c>
      <c r="D346" s="7" t="s">
        <v>214</v>
      </c>
      <c r="E346" s="184">
        <v>26</v>
      </c>
      <c r="F346" s="184">
        <v>51</v>
      </c>
      <c r="G346" s="8">
        <f t="shared" si="12"/>
        <v>0</v>
      </c>
    </row>
    <row r="347" spans="1:7" x14ac:dyDescent="0.2">
      <c r="A347" s="32"/>
      <c r="B347" s="3">
        <v>279</v>
      </c>
      <c r="D347" s="7" t="s">
        <v>214</v>
      </c>
      <c r="E347" s="184">
        <v>27</v>
      </c>
      <c r="F347" s="184">
        <v>51</v>
      </c>
      <c r="G347" s="8">
        <f t="shared" si="12"/>
        <v>0</v>
      </c>
    </row>
    <row r="348" spans="1:7" x14ac:dyDescent="0.2">
      <c r="A348" s="32"/>
      <c r="B348" s="3">
        <v>280</v>
      </c>
      <c r="D348" s="7" t="s">
        <v>214</v>
      </c>
      <c r="E348" s="184">
        <v>28</v>
      </c>
      <c r="F348" s="184">
        <v>51</v>
      </c>
      <c r="G348" s="8">
        <f t="shared" si="12"/>
        <v>0</v>
      </c>
    </row>
    <row r="349" spans="1:7" x14ac:dyDescent="0.2">
      <c r="A349" s="32"/>
      <c r="B349" s="3">
        <v>281</v>
      </c>
      <c r="D349" s="7" t="s">
        <v>214</v>
      </c>
      <c r="E349" s="184">
        <v>29</v>
      </c>
      <c r="F349" s="184">
        <v>51</v>
      </c>
      <c r="G349" s="8">
        <f t="shared" si="12"/>
        <v>0</v>
      </c>
    </row>
    <row r="350" spans="1:7" x14ac:dyDescent="0.2">
      <c r="A350" s="32"/>
      <c r="B350" s="3">
        <v>282</v>
      </c>
      <c r="D350" s="7" t="s">
        <v>214</v>
      </c>
      <c r="E350" s="184">
        <v>30</v>
      </c>
      <c r="F350" s="184">
        <v>51</v>
      </c>
      <c r="G350" s="8">
        <f t="shared" si="12"/>
        <v>0</v>
      </c>
    </row>
    <row r="351" spans="1:7" x14ac:dyDescent="0.2">
      <c r="A351" s="32"/>
      <c r="B351" s="3">
        <v>283</v>
      </c>
      <c r="D351" s="7" t="s">
        <v>214</v>
      </c>
      <c r="E351" s="184">
        <v>31</v>
      </c>
      <c r="F351" s="184">
        <v>51</v>
      </c>
      <c r="G351" s="8">
        <f t="shared" si="12"/>
        <v>0</v>
      </c>
    </row>
    <row r="352" spans="1:7" x14ac:dyDescent="0.2">
      <c r="A352" s="32"/>
      <c r="B352" s="3">
        <v>284</v>
      </c>
      <c r="D352" s="7" t="s">
        <v>214</v>
      </c>
      <c r="E352" s="184">
        <v>32</v>
      </c>
      <c r="F352" s="184">
        <v>51</v>
      </c>
      <c r="G352" s="8">
        <f t="shared" si="12"/>
        <v>0</v>
      </c>
    </row>
    <row r="353" spans="1:7" x14ac:dyDescent="0.2">
      <c r="A353" s="32"/>
      <c r="B353" s="3">
        <v>285</v>
      </c>
      <c r="D353" s="7" t="s">
        <v>214</v>
      </c>
      <c r="E353" s="184">
        <v>33</v>
      </c>
      <c r="F353" s="184">
        <v>51</v>
      </c>
      <c r="G353" s="8">
        <f t="shared" si="12"/>
        <v>0</v>
      </c>
    </row>
    <row r="354" spans="1:7" x14ac:dyDescent="0.2">
      <c r="A354" s="32"/>
      <c r="B354" s="3">
        <v>286</v>
      </c>
      <c r="D354" s="7" t="s">
        <v>214</v>
      </c>
      <c r="E354" s="184">
        <v>34</v>
      </c>
      <c r="F354" s="184">
        <v>51</v>
      </c>
      <c r="G354" s="8">
        <f t="shared" si="12"/>
        <v>0</v>
      </c>
    </row>
    <row r="355" spans="1:7" x14ac:dyDescent="0.2">
      <c r="A355" s="32"/>
      <c r="B355" s="3">
        <v>287</v>
      </c>
      <c r="D355" s="7" t="s">
        <v>214</v>
      </c>
      <c r="E355" s="184">
        <v>35</v>
      </c>
      <c r="F355" s="184">
        <v>51</v>
      </c>
      <c r="G355" s="8">
        <f t="shared" si="12"/>
        <v>0</v>
      </c>
    </row>
    <row r="356" spans="1:7" x14ac:dyDescent="0.2">
      <c r="A356" s="32"/>
      <c r="B356" s="3">
        <v>288</v>
      </c>
      <c r="D356" s="7" t="s">
        <v>214</v>
      </c>
      <c r="E356" s="184">
        <v>36</v>
      </c>
      <c r="F356" s="184">
        <v>51</v>
      </c>
      <c r="G356" s="8">
        <f t="shared" si="12"/>
        <v>0</v>
      </c>
    </row>
    <row r="357" spans="1:7" x14ac:dyDescent="0.2">
      <c r="A357" s="32"/>
      <c r="B357" s="3">
        <v>289</v>
      </c>
      <c r="D357" s="7" t="s">
        <v>214</v>
      </c>
      <c r="E357" s="184">
        <v>37</v>
      </c>
      <c r="F357" s="184">
        <v>51</v>
      </c>
      <c r="G357" s="8">
        <f t="shared" si="12"/>
        <v>0</v>
      </c>
    </row>
    <row r="358" spans="1:7" x14ac:dyDescent="0.2">
      <c r="A358" s="32"/>
      <c r="B358" s="3">
        <v>290</v>
      </c>
      <c r="D358" s="7" t="s">
        <v>214</v>
      </c>
      <c r="E358" s="184">
        <v>38</v>
      </c>
      <c r="F358" s="184">
        <v>51</v>
      </c>
      <c r="G358" s="8">
        <f t="shared" si="12"/>
        <v>0</v>
      </c>
    </row>
    <row r="359" spans="1:7" x14ac:dyDescent="0.2">
      <c r="A359" s="32"/>
      <c r="B359" s="3">
        <v>291</v>
      </c>
      <c r="D359" s="7" t="s">
        <v>214</v>
      </c>
      <c r="E359" s="184">
        <v>39</v>
      </c>
      <c r="F359" s="184">
        <v>51</v>
      </c>
      <c r="G359" s="8">
        <f t="shared" si="12"/>
        <v>0</v>
      </c>
    </row>
    <row r="360" spans="1:7" x14ac:dyDescent="0.2">
      <c r="A360" s="32"/>
      <c r="B360" s="3">
        <v>292</v>
      </c>
      <c r="D360" s="7" t="s">
        <v>214</v>
      </c>
      <c r="E360" s="184">
        <v>40</v>
      </c>
      <c r="F360" s="184">
        <v>51</v>
      </c>
      <c r="G360" s="8">
        <f t="shared" si="12"/>
        <v>0</v>
      </c>
    </row>
    <row r="361" spans="1:7" x14ac:dyDescent="0.2">
      <c r="A361" s="32"/>
      <c r="B361" s="3">
        <v>293</v>
      </c>
      <c r="D361" s="7" t="s">
        <v>214</v>
      </c>
      <c r="E361" s="184">
        <v>41</v>
      </c>
      <c r="F361" s="184">
        <v>51</v>
      </c>
      <c r="G361" s="8">
        <f t="shared" si="12"/>
        <v>0</v>
      </c>
    </row>
    <row r="362" spans="1:7" x14ac:dyDescent="0.2">
      <c r="A362" s="32"/>
      <c r="B362" s="3">
        <v>294</v>
      </c>
      <c r="D362" s="7" t="s">
        <v>214</v>
      </c>
      <c r="E362" s="184">
        <v>42</v>
      </c>
      <c r="F362" s="184">
        <v>51</v>
      </c>
      <c r="G362" s="8">
        <f t="shared" si="12"/>
        <v>0</v>
      </c>
    </row>
    <row r="363" spans="1:7" x14ac:dyDescent="0.2">
      <c r="A363" s="32"/>
      <c r="B363" s="3">
        <v>295</v>
      </c>
      <c r="D363" s="7" t="s">
        <v>214</v>
      </c>
      <c r="E363" s="184">
        <v>43</v>
      </c>
      <c r="F363" s="184">
        <v>51</v>
      </c>
      <c r="G363" s="8">
        <f t="shared" si="12"/>
        <v>0</v>
      </c>
    </row>
    <row r="364" spans="1:7" x14ac:dyDescent="0.2">
      <c r="A364" s="32"/>
      <c r="B364" s="3">
        <v>296</v>
      </c>
      <c r="D364" s="7" t="s">
        <v>214</v>
      </c>
      <c r="E364" s="184">
        <v>44</v>
      </c>
      <c r="F364" s="184">
        <v>51</v>
      </c>
      <c r="G364" s="8">
        <f t="shared" si="12"/>
        <v>0</v>
      </c>
    </row>
    <row r="365" spans="1:7" x14ac:dyDescent="0.2">
      <c r="A365" s="32"/>
      <c r="B365" s="3">
        <v>297</v>
      </c>
      <c r="D365" s="7" t="s">
        <v>214</v>
      </c>
      <c r="E365" s="184">
        <v>45</v>
      </c>
      <c r="F365" s="184">
        <v>51</v>
      </c>
      <c r="G365" s="8">
        <f t="shared" si="12"/>
        <v>0</v>
      </c>
    </row>
    <row r="366" spans="1:7" x14ac:dyDescent="0.2">
      <c r="A366" s="32"/>
      <c r="B366" s="3">
        <v>298</v>
      </c>
      <c r="D366" s="7" t="s">
        <v>214</v>
      </c>
      <c r="E366" s="184">
        <v>46</v>
      </c>
      <c r="F366" s="184">
        <v>51</v>
      </c>
      <c r="G366" s="8">
        <f t="shared" si="12"/>
        <v>0</v>
      </c>
    </row>
    <row r="367" spans="1:7" x14ac:dyDescent="0.2">
      <c r="A367" s="32"/>
      <c r="B367" s="3">
        <v>299</v>
      </c>
      <c r="D367" s="7" t="s">
        <v>214</v>
      </c>
      <c r="E367" s="184">
        <v>47</v>
      </c>
      <c r="F367" s="184">
        <v>51</v>
      </c>
      <c r="G367" s="8">
        <f t="shared" si="12"/>
        <v>0</v>
      </c>
    </row>
    <row r="368" spans="1:7" x14ac:dyDescent="0.2">
      <c r="A368" s="32"/>
      <c r="B368" s="3">
        <v>300</v>
      </c>
      <c r="D368" s="7" t="s">
        <v>214</v>
      </c>
      <c r="E368" s="184">
        <v>48</v>
      </c>
      <c r="F368" s="184">
        <v>51</v>
      </c>
      <c r="G368" s="8">
        <f t="shared" si="12"/>
        <v>0</v>
      </c>
    </row>
    <row r="369" spans="1:7" x14ac:dyDescent="0.2">
      <c r="A369" s="32"/>
      <c r="B369" s="3">
        <v>301</v>
      </c>
      <c r="D369" s="7" t="s">
        <v>214</v>
      </c>
      <c r="E369" s="184">
        <v>52</v>
      </c>
      <c r="F369" s="184">
        <v>51</v>
      </c>
      <c r="G369" s="8">
        <f t="shared" si="12"/>
        <v>0</v>
      </c>
    </row>
    <row r="370" spans="1:7" x14ac:dyDescent="0.2">
      <c r="A370" s="32"/>
      <c r="B370" s="3">
        <v>302</v>
      </c>
      <c r="D370" s="7" t="s">
        <v>214</v>
      </c>
      <c r="E370" s="184">
        <v>53</v>
      </c>
      <c r="F370" s="184">
        <v>51</v>
      </c>
      <c r="G370" s="8">
        <f t="shared" si="12"/>
        <v>0</v>
      </c>
    </row>
    <row r="371" spans="1:7" x14ac:dyDescent="0.2">
      <c r="A371" s="32"/>
      <c r="B371" s="3">
        <v>303</v>
      </c>
      <c r="D371" s="7" t="s">
        <v>214</v>
      </c>
      <c r="E371" s="184">
        <v>54</v>
      </c>
      <c r="F371" s="184">
        <v>51</v>
      </c>
      <c r="G371" s="8">
        <f t="shared" si="12"/>
        <v>0</v>
      </c>
    </row>
    <row r="372" spans="1:7" x14ac:dyDescent="0.2">
      <c r="A372" s="32"/>
      <c r="B372" s="3">
        <v>304</v>
      </c>
      <c r="D372" s="7" t="s">
        <v>214</v>
      </c>
      <c r="E372" s="184">
        <v>55</v>
      </c>
      <c r="F372" s="184">
        <v>51</v>
      </c>
      <c r="G372" s="8">
        <f t="shared" si="12"/>
        <v>0</v>
      </c>
    </row>
    <row r="373" spans="1:7" x14ac:dyDescent="0.2">
      <c r="A373" s="32"/>
      <c r="B373" s="3">
        <v>305</v>
      </c>
      <c r="D373" s="7" t="s">
        <v>214</v>
      </c>
      <c r="E373" s="184">
        <v>56</v>
      </c>
      <c r="F373" s="184">
        <v>51</v>
      </c>
      <c r="G373" s="8">
        <f t="shared" si="12"/>
        <v>0</v>
      </c>
    </row>
    <row r="374" spans="1:7" x14ac:dyDescent="0.2">
      <c r="A374" s="32"/>
      <c r="B374" s="3">
        <v>306</v>
      </c>
      <c r="D374" s="7" t="s">
        <v>214</v>
      </c>
      <c r="E374" s="184">
        <v>57</v>
      </c>
      <c r="F374" s="184">
        <v>51</v>
      </c>
      <c r="G374" s="8">
        <f t="shared" si="12"/>
        <v>0</v>
      </c>
    </row>
    <row r="375" spans="1:7" x14ac:dyDescent="0.2">
      <c r="A375" s="32"/>
      <c r="B375" s="3">
        <v>307</v>
      </c>
      <c r="D375" s="7" t="s">
        <v>214</v>
      </c>
      <c r="E375" s="184">
        <v>58</v>
      </c>
      <c r="F375" s="184">
        <v>51</v>
      </c>
      <c r="G375" s="8">
        <f t="shared" si="12"/>
        <v>0</v>
      </c>
    </row>
    <row r="376" spans="1:7" x14ac:dyDescent="0.2">
      <c r="A376" s="32"/>
      <c r="B376" s="3">
        <v>308</v>
      </c>
      <c r="D376" s="7" t="s">
        <v>214</v>
      </c>
      <c r="E376" s="184">
        <v>70</v>
      </c>
      <c r="F376" s="184">
        <v>51</v>
      </c>
      <c r="G376" s="8">
        <f t="shared" si="12"/>
        <v>0</v>
      </c>
    </row>
    <row r="377" spans="1:7" x14ac:dyDescent="0.2">
      <c r="A377" s="32"/>
      <c r="B377" s="3">
        <v>309</v>
      </c>
      <c r="D377" s="7" t="s">
        <v>472</v>
      </c>
      <c r="E377" s="184">
        <v>809</v>
      </c>
      <c r="F377" s="184">
        <v>38</v>
      </c>
      <c r="G377" s="8">
        <f t="shared" si="12"/>
        <v>0</v>
      </c>
    </row>
    <row r="378" spans="1:7" x14ac:dyDescent="0.2">
      <c r="A378" s="32"/>
      <c r="B378" s="3">
        <v>310</v>
      </c>
      <c r="D378" s="7" t="s">
        <v>472</v>
      </c>
      <c r="E378" s="184">
        <v>810</v>
      </c>
      <c r="F378" s="184">
        <v>38</v>
      </c>
      <c r="G378" s="8">
        <f t="shared" si="12"/>
        <v>0</v>
      </c>
    </row>
    <row r="379" spans="1:7" x14ac:dyDescent="0.2">
      <c r="A379" s="32"/>
      <c r="B379" s="3">
        <v>311</v>
      </c>
      <c r="D379" s="7" t="s">
        <v>472</v>
      </c>
      <c r="E379" s="184">
        <v>811</v>
      </c>
      <c r="F379" s="184">
        <v>38</v>
      </c>
      <c r="G379" s="8">
        <f t="shared" si="12"/>
        <v>0</v>
      </c>
    </row>
    <row r="380" spans="1:7" x14ac:dyDescent="0.2">
      <c r="A380" s="32"/>
      <c r="B380" s="3">
        <v>312</v>
      </c>
      <c r="D380" s="7" t="s">
        <v>472</v>
      </c>
      <c r="E380" s="184">
        <v>853</v>
      </c>
      <c r="F380" s="184">
        <v>38</v>
      </c>
      <c r="G380" s="8">
        <f t="shared" si="12"/>
        <v>0</v>
      </c>
    </row>
    <row r="381" spans="1:7" x14ac:dyDescent="0.2">
      <c r="A381" s="32"/>
      <c r="B381" s="3">
        <v>313</v>
      </c>
      <c r="D381" s="7" t="s">
        <v>472</v>
      </c>
      <c r="E381" s="184">
        <v>854</v>
      </c>
      <c r="F381" s="184">
        <v>38</v>
      </c>
      <c r="G381" s="8">
        <f t="shared" si="12"/>
        <v>0</v>
      </c>
    </row>
    <row r="382" spans="1:7" x14ac:dyDescent="0.2">
      <c r="A382" s="32"/>
      <c r="B382" s="3">
        <v>314</v>
      </c>
      <c r="D382" s="7" t="s">
        <v>472</v>
      </c>
      <c r="E382" s="184">
        <v>855</v>
      </c>
      <c r="F382" s="184">
        <v>38</v>
      </c>
      <c r="G382" s="8">
        <f t="shared" si="12"/>
        <v>0</v>
      </c>
    </row>
    <row r="383" spans="1:7" x14ac:dyDescent="0.2">
      <c r="A383" s="32"/>
      <c r="B383" s="3">
        <v>315</v>
      </c>
      <c r="D383" s="7" t="s">
        <v>472</v>
      </c>
      <c r="E383" s="184">
        <v>898</v>
      </c>
      <c r="F383" s="184">
        <v>38</v>
      </c>
      <c r="G383" s="8">
        <f t="shared" si="12"/>
        <v>0</v>
      </c>
    </row>
    <row r="384" spans="1:7" x14ac:dyDescent="0.2">
      <c r="A384" s="32"/>
      <c r="B384" s="3">
        <v>316</v>
      </c>
      <c r="D384" s="7" t="s">
        <v>472</v>
      </c>
      <c r="E384" s="184">
        <v>899</v>
      </c>
      <c r="F384" s="184">
        <v>38</v>
      </c>
      <c r="G384" s="8">
        <f t="shared" ref="G384:G447" si="13">IF(AND(F384=$A$66,E384=$A$67),1,0)</f>
        <v>0</v>
      </c>
    </row>
    <row r="385" spans="1:7" x14ac:dyDescent="0.2">
      <c r="A385" s="32"/>
      <c r="B385" s="3">
        <v>317</v>
      </c>
      <c r="D385" s="7" t="s">
        <v>472</v>
      </c>
      <c r="E385" s="184">
        <v>942</v>
      </c>
      <c r="F385" s="184">
        <v>38</v>
      </c>
      <c r="G385" s="8">
        <f t="shared" si="13"/>
        <v>0</v>
      </c>
    </row>
    <row r="386" spans="1:7" x14ac:dyDescent="0.2">
      <c r="A386" s="32"/>
      <c r="B386" s="3">
        <v>318</v>
      </c>
      <c r="D386" s="7" t="s">
        <v>472</v>
      </c>
      <c r="E386" s="184">
        <v>943</v>
      </c>
      <c r="F386" s="184">
        <v>38</v>
      </c>
      <c r="G386" s="8">
        <f t="shared" si="13"/>
        <v>0</v>
      </c>
    </row>
    <row r="387" spans="1:7" x14ac:dyDescent="0.2">
      <c r="A387" s="32"/>
      <c r="B387" s="3">
        <v>319</v>
      </c>
      <c r="D387" s="7" t="s">
        <v>472</v>
      </c>
      <c r="E387" s="184">
        <v>987</v>
      </c>
      <c r="F387" s="184">
        <v>38</v>
      </c>
      <c r="G387" s="8">
        <f t="shared" si="13"/>
        <v>0</v>
      </c>
    </row>
    <row r="388" spans="1:7" x14ac:dyDescent="0.2">
      <c r="A388" s="32"/>
      <c r="B388" s="3">
        <v>320</v>
      </c>
      <c r="D388" s="7" t="s">
        <v>473</v>
      </c>
      <c r="E388" s="184">
        <v>1</v>
      </c>
      <c r="F388" s="184">
        <v>9</v>
      </c>
      <c r="G388" s="8">
        <f t="shared" si="13"/>
        <v>0</v>
      </c>
    </row>
    <row r="389" spans="1:7" x14ac:dyDescent="0.2">
      <c r="A389" s="32"/>
      <c r="B389" s="3">
        <v>321</v>
      </c>
      <c r="D389" s="7" t="s">
        <v>473</v>
      </c>
      <c r="E389" s="184">
        <v>2</v>
      </c>
      <c r="F389" s="184">
        <v>9</v>
      </c>
      <c r="G389" s="8">
        <f t="shared" si="13"/>
        <v>0</v>
      </c>
    </row>
    <row r="390" spans="1:7" x14ac:dyDescent="0.2">
      <c r="A390" s="32"/>
      <c r="B390" s="3">
        <v>322</v>
      </c>
      <c r="D390" s="7" t="s">
        <v>473</v>
      </c>
      <c r="E390" s="184">
        <v>3</v>
      </c>
      <c r="F390" s="184">
        <v>9</v>
      </c>
      <c r="G390" s="8">
        <f t="shared" si="13"/>
        <v>0</v>
      </c>
    </row>
    <row r="391" spans="1:7" x14ac:dyDescent="0.2">
      <c r="A391" s="32"/>
      <c r="B391" s="3">
        <v>323</v>
      </c>
      <c r="D391" s="7" t="s">
        <v>473</v>
      </c>
      <c r="E391" s="184">
        <v>6</v>
      </c>
      <c r="F391" s="184">
        <v>9</v>
      </c>
      <c r="G391" s="8">
        <f t="shared" si="13"/>
        <v>0</v>
      </c>
    </row>
    <row r="392" spans="1:7" x14ac:dyDescent="0.2">
      <c r="A392" s="32"/>
      <c r="B392" s="3">
        <v>324</v>
      </c>
      <c r="D392" s="7" t="s">
        <v>473</v>
      </c>
      <c r="E392" s="184">
        <v>7</v>
      </c>
      <c r="F392" s="184">
        <v>9</v>
      </c>
      <c r="G392" s="8">
        <f t="shared" si="13"/>
        <v>0</v>
      </c>
    </row>
    <row r="393" spans="1:7" x14ac:dyDescent="0.2">
      <c r="A393" s="32"/>
      <c r="B393" s="3">
        <v>325</v>
      </c>
      <c r="D393" s="7" t="s">
        <v>473</v>
      </c>
      <c r="E393" s="184">
        <v>15</v>
      </c>
      <c r="F393" s="184">
        <v>9</v>
      </c>
      <c r="G393" s="8">
        <f t="shared" si="13"/>
        <v>0</v>
      </c>
    </row>
    <row r="394" spans="1:7" x14ac:dyDescent="0.2">
      <c r="A394" s="32"/>
      <c r="B394" s="3">
        <v>326</v>
      </c>
      <c r="D394" s="7" t="s">
        <v>473</v>
      </c>
      <c r="E394" s="184">
        <v>18</v>
      </c>
      <c r="F394" s="184">
        <v>9</v>
      </c>
      <c r="G394" s="8">
        <f t="shared" si="13"/>
        <v>0</v>
      </c>
    </row>
    <row r="395" spans="1:7" x14ac:dyDescent="0.2">
      <c r="A395" s="32"/>
      <c r="B395" s="3">
        <v>327</v>
      </c>
      <c r="D395" s="7" t="s">
        <v>473</v>
      </c>
      <c r="E395" s="184">
        <v>28</v>
      </c>
      <c r="F395" s="184">
        <v>9</v>
      </c>
      <c r="G395" s="8">
        <f t="shared" si="13"/>
        <v>0</v>
      </c>
    </row>
    <row r="396" spans="1:7" x14ac:dyDescent="0.2">
      <c r="A396" s="32"/>
      <c r="B396" s="3">
        <v>328</v>
      </c>
      <c r="D396" s="7" t="s">
        <v>213</v>
      </c>
      <c r="E396" s="184">
        <v>1</v>
      </c>
      <c r="F396" s="184">
        <v>34</v>
      </c>
      <c r="G396" s="8">
        <f t="shared" si="13"/>
        <v>0</v>
      </c>
    </row>
    <row r="397" spans="1:7" x14ac:dyDescent="0.2">
      <c r="A397" s="32"/>
      <c r="B397" s="3">
        <v>329</v>
      </c>
      <c r="D397" s="7" t="s">
        <v>213</v>
      </c>
      <c r="E397" s="184">
        <v>2</v>
      </c>
      <c r="F397" s="184">
        <v>34</v>
      </c>
      <c r="G397" s="8">
        <f t="shared" si="13"/>
        <v>0</v>
      </c>
    </row>
    <row r="398" spans="1:7" x14ac:dyDescent="0.2">
      <c r="A398" s="32"/>
      <c r="B398" s="3">
        <v>330</v>
      </c>
      <c r="D398" s="7" t="s">
        <v>213</v>
      </c>
      <c r="E398" s="184">
        <v>3</v>
      </c>
      <c r="F398" s="184">
        <v>34</v>
      </c>
      <c r="G398" s="8">
        <f t="shared" si="13"/>
        <v>0</v>
      </c>
    </row>
    <row r="399" spans="1:7" x14ac:dyDescent="0.2">
      <c r="A399" s="32"/>
      <c r="B399" s="3">
        <v>331</v>
      </c>
      <c r="D399" s="7" t="s">
        <v>213</v>
      </c>
      <c r="E399" s="184">
        <v>4</v>
      </c>
      <c r="F399" s="184">
        <v>34</v>
      </c>
      <c r="G399" s="8">
        <f t="shared" si="13"/>
        <v>0</v>
      </c>
    </row>
    <row r="400" spans="1:7" x14ac:dyDescent="0.2">
      <c r="A400" s="32"/>
      <c r="B400" s="3">
        <v>332</v>
      </c>
      <c r="D400" s="7" t="s">
        <v>213</v>
      </c>
      <c r="E400" s="184">
        <v>5</v>
      </c>
      <c r="F400" s="184">
        <v>34</v>
      </c>
      <c r="G400" s="8">
        <f t="shared" si="13"/>
        <v>0</v>
      </c>
    </row>
    <row r="401" spans="1:7" x14ac:dyDescent="0.2">
      <c r="A401" s="32"/>
      <c r="B401" s="3">
        <v>333</v>
      </c>
      <c r="D401" s="7" t="s">
        <v>213</v>
      </c>
      <c r="E401" s="184">
        <v>6</v>
      </c>
      <c r="F401" s="184">
        <v>34</v>
      </c>
      <c r="G401" s="8">
        <f t="shared" si="13"/>
        <v>0</v>
      </c>
    </row>
    <row r="402" spans="1:7" x14ac:dyDescent="0.2">
      <c r="A402" s="32"/>
      <c r="B402" s="3">
        <v>334</v>
      </c>
      <c r="D402" s="7" t="s">
        <v>213</v>
      </c>
      <c r="E402" s="184">
        <v>7</v>
      </c>
      <c r="F402" s="184">
        <v>34</v>
      </c>
      <c r="G402" s="8">
        <f t="shared" si="13"/>
        <v>0</v>
      </c>
    </row>
    <row r="403" spans="1:7" x14ac:dyDescent="0.2">
      <c r="A403" s="32"/>
      <c r="B403" s="3">
        <v>335</v>
      </c>
      <c r="D403" s="7" t="s">
        <v>213</v>
      </c>
      <c r="E403" s="184">
        <v>8</v>
      </c>
      <c r="F403" s="184">
        <v>34</v>
      </c>
      <c r="G403" s="8">
        <f t="shared" si="13"/>
        <v>0</v>
      </c>
    </row>
    <row r="404" spans="1:7" x14ac:dyDescent="0.2">
      <c r="A404" s="32"/>
      <c r="B404" s="3">
        <v>336</v>
      </c>
      <c r="D404" s="7" t="s">
        <v>213</v>
      </c>
      <c r="E404" s="184">
        <v>9</v>
      </c>
      <c r="F404" s="184">
        <v>34</v>
      </c>
      <c r="G404" s="8">
        <f t="shared" si="13"/>
        <v>0</v>
      </c>
    </row>
    <row r="405" spans="1:7" x14ac:dyDescent="0.2">
      <c r="A405" s="32"/>
      <c r="B405" s="3">
        <v>337</v>
      </c>
      <c r="D405" s="7" t="s">
        <v>213</v>
      </c>
      <c r="E405" s="184">
        <v>10</v>
      </c>
      <c r="F405" s="184">
        <v>34</v>
      </c>
      <c r="G405" s="8">
        <f t="shared" si="13"/>
        <v>0</v>
      </c>
    </row>
    <row r="406" spans="1:7" x14ac:dyDescent="0.2">
      <c r="A406" s="32"/>
      <c r="B406" s="3">
        <v>338</v>
      </c>
      <c r="D406" s="7" t="s">
        <v>213</v>
      </c>
      <c r="E406" s="184">
        <v>11</v>
      </c>
      <c r="F406" s="184">
        <v>34</v>
      </c>
      <c r="G406" s="8">
        <f t="shared" si="13"/>
        <v>0</v>
      </c>
    </row>
    <row r="407" spans="1:7" x14ac:dyDescent="0.2">
      <c r="A407" s="32"/>
      <c r="B407" s="3">
        <v>339</v>
      </c>
      <c r="D407" s="7" t="s">
        <v>213</v>
      </c>
      <c r="E407" s="184">
        <v>12</v>
      </c>
      <c r="F407" s="184">
        <v>34</v>
      </c>
      <c r="G407" s="8">
        <f t="shared" si="13"/>
        <v>0</v>
      </c>
    </row>
    <row r="408" spans="1:7" x14ac:dyDescent="0.2">
      <c r="A408" s="32"/>
      <c r="B408" s="3">
        <v>340</v>
      </c>
      <c r="D408" s="7" t="s">
        <v>213</v>
      </c>
      <c r="E408" s="184">
        <v>13</v>
      </c>
      <c r="F408" s="184">
        <v>34</v>
      </c>
      <c r="G408" s="8">
        <f t="shared" si="13"/>
        <v>0</v>
      </c>
    </row>
    <row r="409" spans="1:7" x14ac:dyDescent="0.2">
      <c r="A409" s="32"/>
      <c r="B409" s="3">
        <v>341</v>
      </c>
      <c r="D409" s="7" t="s">
        <v>213</v>
      </c>
      <c r="E409" s="184">
        <v>14</v>
      </c>
      <c r="F409" s="184">
        <v>34</v>
      </c>
      <c r="G409" s="8">
        <f t="shared" si="13"/>
        <v>0</v>
      </c>
    </row>
    <row r="410" spans="1:7" x14ac:dyDescent="0.2">
      <c r="A410" s="32"/>
      <c r="B410" s="3">
        <v>342</v>
      </c>
      <c r="D410" s="7" t="s">
        <v>213</v>
      </c>
      <c r="E410" s="184">
        <v>15</v>
      </c>
      <c r="F410" s="184">
        <v>34</v>
      </c>
      <c r="G410" s="8">
        <f t="shared" si="13"/>
        <v>0</v>
      </c>
    </row>
    <row r="411" spans="1:7" x14ac:dyDescent="0.2">
      <c r="A411" s="32"/>
      <c r="B411" s="3">
        <v>343</v>
      </c>
      <c r="D411" s="7" t="s">
        <v>213</v>
      </c>
      <c r="E411" s="184">
        <v>16</v>
      </c>
      <c r="F411" s="184">
        <v>34</v>
      </c>
      <c r="G411" s="8">
        <f t="shared" si="13"/>
        <v>0</v>
      </c>
    </row>
    <row r="412" spans="1:7" x14ac:dyDescent="0.2">
      <c r="A412" s="32"/>
      <c r="B412" s="3">
        <v>344</v>
      </c>
      <c r="D412" s="7" t="s">
        <v>213</v>
      </c>
      <c r="E412" s="184">
        <v>17</v>
      </c>
      <c r="F412" s="184">
        <v>34</v>
      </c>
      <c r="G412" s="8">
        <f t="shared" si="13"/>
        <v>0</v>
      </c>
    </row>
    <row r="413" spans="1:7" x14ac:dyDescent="0.2">
      <c r="A413" s="32"/>
      <c r="B413" s="3">
        <v>345</v>
      </c>
      <c r="D413" s="7" t="s">
        <v>213</v>
      </c>
      <c r="E413" s="184">
        <v>18</v>
      </c>
      <c r="F413" s="184">
        <v>34</v>
      </c>
      <c r="G413" s="8">
        <f t="shared" si="13"/>
        <v>0</v>
      </c>
    </row>
    <row r="414" spans="1:7" x14ac:dyDescent="0.2">
      <c r="A414" s="32"/>
      <c r="B414" s="3">
        <v>346</v>
      </c>
      <c r="D414" s="7" t="s">
        <v>213</v>
      </c>
      <c r="E414" s="184">
        <v>19</v>
      </c>
      <c r="F414" s="184">
        <v>34</v>
      </c>
      <c r="G414" s="8">
        <f t="shared" si="13"/>
        <v>0</v>
      </c>
    </row>
    <row r="415" spans="1:7" x14ac:dyDescent="0.2">
      <c r="A415" s="32"/>
      <c r="B415" s="3">
        <v>347</v>
      </c>
      <c r="D415" s="7" t="s">
        <v>213</v>
      </c>
      <c r="E415" s="184">
        <v>20</v>
      </c>
      <c r="F415" s="184">
        <v>34</v>
      </c>
      <c r="G415" s="8">
        <f t="shared" si="13"/>
        <v>0</v>
      </c>
    </row>
    <row r="416" spans="1:7" x14ac:dyDescent="0.2">
      <c r="A416" s="32"/>
      <c r="B416" s="3">
        <v>348</v>
      </c>
      <c r="D416" s="7" t="s">
        <v>213</v>
      </c>
      <c r="E416" s="184">
        <v>21</v>
      </c>
      <c r="F416" s="184">
        <v>34</v>
      </c>
      <c r="G416" s="8">
        <f t="shared" si="13"/>
        <v>0</v>
      </c>
    </row>
    <row r="417" spans="1:7" x14ac:dyDescent="0.2">
      <c r="A417" s="32"/>
      <c r="B417" s="3">
        <v>349</v>
      </c>
      <c r="D417" s="7" t="s">
        <v>213</v>
      </c>
      <c r="E417" s="184">
        <v>22</v>
      </c>
      <c r="F417" s="184">
        <v>34</v>
      </c>
      <c r="G417" s="8">
        <f t="shared" si="13"/>
        <v>0</v>
      </c>
    </row>
    <row r="418" spans="1:7" x14ac:dyDescent="0.2">
      <c r="A418" s="32"/>
      <c r="B418" s="3">
        <v>350</v>
      </c>
      <c r="D418" s="7" t="s">
        <v>213</v>
      </c>
      <c r="E418" s="184">
        <v>23</v>
      </c>
      <c r="F418" s="184">
        <v>34</v>
      </c>
      <c r="G418" s="8">
        <f t="shared" si="13"/>
        <v>0</v>
      </c>
    </row>
    <row r="419" spans="1:7" x14ac:dyDescent="0.2">
      <c r="A419" s="32"/>
      <c r="B419" s="3">
        <v>351</v>
      </c>
      <c r="D419" s="7" t="s">
        <v>213</v>
      </c>
      <c r="E419" s="184">
        <v>24</v>
      </c>
      <c r="F419" s="184">
        <v>34</v>
      </c>
      <c r="G419" s="8">
        <f t="shared" si="13"/>
        <v>0</v>
      </c>
    </row>
    <row r="420" spans="1:7" x14ac:dyDescent="0.2">
      <c r="A420" s="32"/>
      <c r="B420" s="3">
        <v>352</v>
      </c>
      <c r="D420" s="7" t="s">
        <v>213</v>
      </c>
      <c r="E420" s="184">
        <v>25</v>
      </c>
      <c r="F420" s="184">
        <v>34</v>
      </c>
      <c r="G420" s="8">
        <f t="shared" si="13"/>
        <v>0</v>
      </c>
    </row>
    <row r="421" spans="1:7" x14ac:dyDescent="0.2">
      <c r="A421" s="32"/>
      <c r="B421" s="3">
        <v>353</v>
      </c>
      <c r="D421" s="7" t="s">
        <v>213</v>
      </c>
      <c r="E421" s="184">
        <v>26</v>
      </c>
      <c r="F421" s="184">
        <v>34</v>
      </c>
      <c r="G421" s="8">
        <f t="shared" si="13"/>
        <v>0</v>
      </c>
    </row>
    <row r="422" spans="1:7" x14ac:dyDescent="0.2">
      <c r="A422" s="32"/>
      <c r="B422" s="3">
        <v>354</v>
      </c>
      <c r="D422" s="7" t="s">
        <v>213</v>
      </c>
      <c r="E422" s="184">
        <v>27</v>
      </c>
      <c r="F422" s="184">
        <v>34</v>
      </c>
      <c r="G422" s="8">
        <f t="shared" si="13"/>
        <v>0</v>
      </c>
    </row>
    <row r="423" spans="1:7" x14ac:dyDescent="0.2">
      <c r="A423" s="32"/>
      <c r="B423" s="3">
        <v>355</v>
      </c>
      <c r="D423" s="7" t="s">
        <v>213</v>
      </c>
      <c r="E423" s="184">
        <v>28</v>
      </c>
      <c r="F423" s="184">
        <v>34</v>
      </c>
      <c r="G423" s="8">
        <f t="shared" si="13"/>
        <v>0</v>
      </c>
    </row>
    <row r="424" spans="1:7" x14ac:dyDescent="0.2">
      <c r="A424" s="32"/>
      <c r="B424" s="3">
        <v>356</v>
      </c>
      <c r="D424" s="7" t="s">
        <v>213</v>
      </c>
      <c r="E424" s="184">
        <v>29</v>
      </c>
      <c r="F424" s="184">
        <v>34</v>
      </c>
      <c r="G424" s="8">
        <f t="shared" si="13"/>
        <v>0</v>
      </c>
    </row>
    <row r="425" spans="1:7" x14ac:dyDescent="0.2">
      <c r="A425" s="32"/>
      <c r="B425" s="3">
        <v>357</v>
      </c>
      <c r="D425" s="7" t="s">
        <v>213</v>
      </c>
      <c r="E425" s="184">
        <v>30</v>
      </c>
      <c r="F425" s="184">
        <v>34</v>
      </c>
      <c r="G425" s="8">
        <f t="shared" si="13"/>
        <v>0</v>
      </c>
    </row>
    <row r="426" spans="1:7" x14ac:dyDescent="0.2">
      <c r="A426" s="32"/>
      <c r="B426" s="3">
        <v>358</v>
      </c>
      <c r="D426" s="7" t="s">
        <v>213</v>
      </c>
      <c r="E426" s="184">
        <v>31</v>
      </c>
      <c r="F426" s="184">
        <v>34</v>
      </c>
      <c r="G426" s="8">
        <f t="shared" si="13"/>
        <v>0</v>
      </c>
    </row>
    <row r="427" spans="1:7" x14ac:dyDescent="0.2">
      <c r="A427" s="32"/>
      <c r="B427" s="3">
        <v>359</v>
      </c>
      <c r="D427" s="7" t="s">
        <v>213</v>
      </c>
      <c r="E427" s="184">
        <v>32</v>
      </c>
      <c r="F427" s="184">
        <v>34</v>
      </c>
      <c r="G427" s="8">
        <f t="shared" si="13"/>
        <v>0</v>
      </c>
    </row>
    <row r="428" spans="1:7" x14ac:dyDescent="0.2">
      <c r="A428" s="32"/>
      <c r="B428" s="3">
        <v>360</v>
      </c>
      <c r="D428" s="7" t="s">
        <v>213</v>
      </c>
      <c r="E428" s="184">
        <v>33</v>
      </c>
      <c r="F428" s="184">
        <v>34</v>
      </c>
      <c r="G428" s="8">
        <f t="shared" si="13"/>
        <v>0</v>
      </c>
    </row>
    <row r="429" spans="1:7" x14ac:dyDescent="0.2">
      <c r="A429" s="32"/>
      <c r="B429" s="3">
        <v>361</v>
      </c>
      <c r="D429" s="7" t="s">
        <v>213</v>
      </c>
      <c r="E429" s="184">
        <v>34</v>
      </c>
      <c r="F429" s="184">
        <v>34</v>
      </c>
      <c r="G429" s="8">
        <f t="shared" si="13"/>
        <v>0</v>
      </c>
    </row>
    <row r="430" spans="1:7" x14ac:dyDescent="0.2">
      <c r="A430" s="32"/>
      <c r="B430" s="3">
        <v>362</v>
      </c>
      <c r="D430" s="7" t="s">
        <v>213</v>
      </c>
      <c r="E430" s="184">
        <v>35</v>
      </c>
      <c r="F430" s="184">
        <v>34</v>
      </c>
      <c r="G430" s="8">
        <f t="shared" si="13"/>
        <v>0</v>
      </c>
    </row>
    <row r="431" spans="1:7" x14ac:dyDescent="0.2">
      <c r="A431" s="32"/>
      <c r="B431" s="3">
        <v>363</v>
      </c>
      <c r="D431" s="7" t="s">
        <v>213</v>
      </c>
      <c r="E431" s="184">
        <v>36</v>
      </c>
      <c r="F431" s="184">
        <v>34</v>
      </c>
      <c r="G431" s="8">
        <f t="shared" si="13"/>
        <v>0</v>
      </c>
    </row>
    <row r="432" spans="1:7" x14ac:dyDescent="0.2">
      <c r="A432" s="32"/>
      <c r="B432" s="3">
        <v>364</v>
      </c>
      <c r="D432" s="7" t="s">
        <v>213</v>
      </c>
      <c r="E432" s="184">
        <v>37</v>
      </c>
      <c r="F432" s="184">
        <v>34</v>
      </c>
      <c r="G432" s="8">
        <f t="shared" si="13"/>
        <v>0</v>
      </c>
    </row>
    <row r="433" spans="1:7" x14ac:dyDescent="0.2">
      <c r="A433" s="32"/>
      <c r="B433" s="3">
        <v>365</v>
      </c>
      <c r="D433" s="7" t="s">
        <v>213</v>
      </c>
      <c r="E433" s="184">
        <v>38</v>
      </c>
      <c r="F433" s="184">
        <v>34</v>
      </c>
      <c r="G433" s="8">
        <f t="shared" si="13"/>
        <v>0</v>
      </c>
    </row>
    <row r="434" spans="1:7" x14ac:dyDescent="0.2">
      <c r="A434" s="32"/>
      <c r="B434" s="3">
        <v>366</v>
      </c>
      <c r="D434" s="7" t="s">
        <v>213</v>
      </c>
      <c r="E434" s="184">
        <v>39</v>
      </c>
      <c r="F434" s="184">
        <v>34</v>
      </c>
      <c r="G434" s="8">
        <f t="shared" si="13"/>
        <v>0</v>
      </c>
    </row>
    <row r="435" spans="1:7" x14ac:dyDescent="0.2">
      <c r="A435" s="32"/>
      <c r="B435" s="3">
        <v>367</v>
      </c>
      <c r="D435" s="7" t="s">
        <v>213</v>
      </c>
      <c r="E435" s="184">
        <v>40</v>
      </c>
      <c r="F435" s="184">
        <v>34</v>
      </c>
      <c r="G435" s="8">
        <f t="shared" si="13"/>
        <v>0</v>
      </c>
    </row>
    <row r="436" spans="1:7" x14ac:dyDescent="0.2">
      <c r="A436" s="32"/>
      <c r="B436" s="3">
        <v>368</v>
      </c>
      <c r="D436" s="7" t="s">
        <v>213</v>
      </c>
      <c r="E436" s="184">
        <v>41</v>
      </c>
      <c r="F436" s="184">
        <v>34</v>
      </c>
      <c r="G436" s="8">
        <f t="shared" si="13"/>
        <v>0</v>
      </c>
    </row>
    <row r="437" spans="1:7" x14ac:dyDescent="0.2">
      <c r="A437" s="32"/>
      <c r="B437" s="3">
        <v>369</v>
      </c>
      <c r="D437" s="7" t="s">
        <v>213</v>
      </c>
      <c r="E437" s="184">
        <v>42</v>
      </c>
      <c r="F437" s="184">
        <v>34</v>
      </c>
      <c r="G437" s="8">
        <f t="shared" si="13"/>
        <v>0</v>
      </c>
    </row>
    <row r="438" spans="1:7" x14ac:dyDescent="0.2">
      <c r="A438" s="32"/>
      <c r="B438" s="3">
        <v>370</v>
      </c>
      <c r="D438" s="7" t="s">
        <v>213</v>
      </c>
      <c r="E438" s="184">
        <v>43</v>
      </c>
      <c r="F438" s="184">
        <v>34</v>
      </c>
      <c r="G438" s="8">
        <f t="shared" si="13"/>
        <v>0</v>
      </c>
    </row>
    <row r="439" spans="1:7" x14ac:dyDescent="0.2">
      <c r="A439" s="32"/>
      <c r="B439" s="3">
        <v>371</v>
      </c>
      <c r="D439" s="7" t="s">
        <v>213</v>
      </c>
      <c r="E439" s="184">
        <v>44</v>
      </c>
      <c r="F439" s="184">
        <v>34</v>
      </c>
      <c r="G439" s="8">
        <f t="shared" si="13"/>
        <v>0</v>
      </c>
    </row>
    <row r="440" spans="1:7" x14ac:dyDescent="0.2">
      <c r="A440" s="32"/>
      <c r="B440" s="3">
        <v>372</v>
      </c>
      <c r="D440" s="7" t="s">
        <v>213</v>
      </c>
      <c r="E440" s="184">
        <v>45</v>
      </c>
      <c r="F440" s="184">
        <v>34</v>
      </c>
      <c r="G440" s="8">
        <f t="shared" si="13"/>
        <v>0</v>
      </c>
    </row>
    <row r="441" spans="1:7" x14ac:dyDescent="0.2">
      <c r="A441" s="32"/>
      <c r="B441" s="3">
        <v>373</v>
      </c>
      <c r="D441" s="7" t="s">
        <v>213</v>
      </c>
      <c r="E441" s="184">
        <v>46</v>
      </c>
      <c r="F441" s="184">
        <v>34</v>
      </c>
      <c r="G441" s="8">
        <f t="shared" si="13"/>
        <v>0</v>
      </c>
    </row>
    <row r="442" spans="1:7" x14ac:dyDescent="0.2">
      <c r="A442" s="32"/>
      <c r="B442" s="3">
        <v>374</v>
      </c>
      <c r="D442" s="7" t="s">
        <v>213</v>
      </c>
      <c r="E442" s="184">
        <v>47</v>
      </c>
      <c r="F442" s="184">
        <v>34</v>
      </c>
      <c r="G442" s="8">
        <f t="shared" si="13"/>
        <v>0</v>
      </c>
    </row>
    <row r="443" spans="1:7" x14ac:dyDescent="0.2">
      <c r="A443" s="32"/>
      <c r="B443" s="3">
        <v>375</v>
      </c>
      <c r="D443" s="7" t="s">
        <v>213</v>
      </c>
      <c r="E443" s="184">
        <v>48</v>
      </c>
      <c r="F443" s="184">
        <v>34</v>
      </c>
      <c r="G443" s="8">
        <f t="shared" si="13"/>
        <v>0</v>
      </c>
    </row>
    <row r="444" spans="1:7" x14ac:dyDescent="0.2">
      <c r="A444" s="32"/>
      <c r="B444" s="3">
        <v>376</v>
      </c>
      <c r="D444" s="7" t="s">
        <v>213</v>
      </c>
      <c r="E444" s="184">
        <v>49</v>
      </c>
      <c r="F444" s="184">
        <v>34</v>
      </c>
      <c r="G444" s="8">
        <f t="shared" si="13"/>
        <v>0</v>
      </c>
    </row>
    <row r="445" spans="1:7" x14ac:dyDescent="0.2">
      <c r="A445" s="32"/>
      <c r="B445" s="3">
        <v>377</v>
      </c>
      <c r="D445" s="7" t="s">
        <v>213</v>
      </c>
      <c r="E445" s="184">
        <v>50</v>
      </c>
      <c r="F445" s="184">
        <v>34</v>
      </c>
      <c r="G445" s="8">
        <f t="shared" si="13"/>
        <v>0</v>
      </c>
    </row>
    <row r="446" spans="1:7" x14ac:dyDescent="0.2">
      <c r="A446" s="32"/>
      <c r="B446" s="3">
        <v>378</v>
      </c>
      <c r="D446" s="7" t="s">
        <v>213</v>
      </c>
      <c r="E446" s="184">
        <v>51</v>
      </c>
      <c r="F446" s="184">
        <v>34</v>
      </c>
      <c r="G446" s="8">
        <f t="shared" si="13"/>
        <v>0</v>
      </c>
    </row>
    <row r="447" spans="1:7" x14ac:dyDescent="0.2">
      <c r="A447" s="32"/>
      <c r="B447" s="3">
        <v>379</v>
      </c>
      <c r="D447" s="7" t="s">
        <v>213</v>
      </c>
      <c r="E447" s="184">
        <v>52</v>
      </c>
      <c r="F447" s="184">
        <v>34</v>
      </c>
      <c r="G447" s="8">
        <f t="shared" si="13"/>
        <v>0</v>
      </c>
    </row>
    <row r="448" spans="1:7" x14ac:dyDescent="0.2">
      <c r="A448" s="32"/>
      <c r="B448" s="3">
        <v>380</v>
      </c>
      <c r="D448" s="7" t="s">
        <v>213</v>
      </c>
      <c r="E448" s="184">
        <v>53</v>
      </c>
      <c r="F448" s="184">
        <v>34</v>
      </c>
      <c r="G448" s="8">
        <f t="shared" ref="G448:G470" si="14">IF(AND(F448=$A$66,E448=$A$67),1,0)</f>
        <v>0</v>
      </c>
    </row>
    <row r="449" spans="1:7" x14ac:dyDescent="0.2">
      <c r="A449" s="32"/>
      <c r="B449" s="3">
        <v>381</v>
      </c>
      <c r="D449" s="7" t="s">
        <v>213</v>
      </c>
      <c r="E449" s="184">
        <v>54</v>
      </c>
      <c r="F449" s="184">
        <v>34</v>
      </c>
      <c r="G449" s="8">
        <f t="shared" si="14"/>
        <v>0</v>
      </c>
    </row>
    <row r="450" spans="1:7" x14ac:dyDescent="0.2">
      <c r="A450" s="32"/>
      <c r="B450" s="3">
        <v>382</v>
      </c>
      <c r="D450" s="7" t="s">
        <v>213</v>
      </c>
      <c r="E450" s="184">
        <v>55</v>
      </c>
      <c r="F450" s="184">
        <v>34</v>
      </c>
      <c r="G450" s="8">
        <f t="shared" si="14"/>
        <v>0</v>
      </c>
    </row>
    <row r="451" spans="1:7" x14ac:dyDescent="0.2">
      <c r="A451" s="32"/>
      <c r="B451" s="3">
        <v>383</v>
      </c>
      <c r="D451" s="7" t="s">
        <v>213</v>
      </c>
      <c r="E451" s="184">
        <v>56</v>
      </c>
      <c r="F451" s="184">
        <v>34</v>
      </c>
      <c r="G451" s="8">
        <f t="shared" si="14"/>
        <v>0</v>
      </c>
    </row>
    <row r="452" spans="1:7" x14ac:dyDescent="0.2">
      <c r="A452" s="32"/>
      <c r="B452" s="3">
        <v>384</v>
      </c>
      <c r="D452" s="7" t="s">
        <v>213</v>
      </c>
      <c r="E452" s="184">
        <v>57</v>
      </c>
      <c r="F452" s="184">
        <v>34</v>
      </c>
      <c r="G452" s="8">
        <f t="shared" si="14"/>
        <v>0</v>
      </c>
    </row>
    <row r="453" spans="1:7" x14ac:dyDescent="0.2">
      <c r="A453" s="32"/>
      <c r="B453" s="3">
        <v>385</v>
      </c>
      <c r="D453" s="7" t="s">
        <v>213</v>
      </c>
      <c r="E453" s="184">
        <v>58</v>
      </c>
      <c r="F453" s="184">
        <v>34</v>
      </c>
      <c r="G453" s="8">
        <f t="shared" si="14"/>
        <v>0</v>
      </c>
    </row>
    <row r="454" spans="1:7" x14ac:dyDescent="0.2">
      <c r="A454" s="32"/>
      <c r="B454" s="3">
        <v>386</v>
      </c>
      <c r="D454" s="7" t="s">
        <v>213</v>
      </c>
      <c r="E454" s="184">
        <v>59</v>
      </c>
      <c r="F454" s="184">
        <v>34</v>
      </c>
      <c r="G454" s="8">
        <f t="shared" si="14"/>
        <v>0</v>
      </c>
    </row>
    <row r="455" spans="1:7" x14ac:dyDescent="0.2">
      <c r="A455" s="32"/>
      <c r="B455" s="3">
        <v>387</v>
      </c>
      <c r="D455" s="7" t="s">
        <v>213</v>
      </c>
      <c r="E455" s="184">
        <v>60</v>
      </c>
      <c r="F455" s="184">
        <v>34</v>
      </c>
      <c r="G455" s="8">
        <f t="shared" si="14"/>
        <v>0</v>
      </c>
    </row>
    <row r="456" spans="1:7" x14ac:dyDescent="0.2">
      <c r="A456" s="32"/>
      <c r="B456" s="3">
        <v>388</v>
      </c>
      <c r="D456" s="7" t="s">
        <v>213</v>
      </c>
      <c r="E456" s="184">
        <v>61</v>
      </c>
      <c r="F456" s="184">
        <v>34</v>
      </c>
      <c r="G456" s="8">
        <f t="shared" si="14"/>
        <v>0</v>
      </c>
    </row>
    <row r="457" spans="1:7" x14ac:dyDescent="0.2">
      <c r="A457" s="32"/>
      <c r="B457" s="3">
        <v>389</v>
      </c>
      <c r="D457" s="7" t="s">
        <v>213</v>
      </c>
      <c r="E457" s="184">
        <v>62</v>
      </c>
      <c r="F457" s="184">
        <v>34</v>
      </c>
      <c r="G457" s="8">
        <f t="shared" si="14"/>
        <v>0</v>
      </c>
    </row>
    <row r="458" spans="1:7" x14ac:dyDescent="0.2">
      <c r="A458" s="32"/>
      <c r="B458" s="3">
        <v>390</v>
      </c>
      <c r="D458" s="7" t="s">
        <v>213</v>
      </c>
      <c r="E458" s="184">
        <v>63</v>
      </c>
      <c r="F458" s="184">
        <v>34</v>
      </c>
      <c r="G458" s="8">
        <f t="shared" si="14"/>
        <v>0</v>
      </c>
    </row>
    <row r="459" spans="1:7" x14ac:dyDescent="0.2">
      <c r="A459" s="32"/>
      <c r="B459" s="3">
        <v>391</v>
      </c>
      <c r="D459" s="7" t="s">
        <v>213</v>
      </c>
      <c r="E459" s="184">
        <v>64</v>
      </c>
      <c r="F459" s="184">
        <v>34</v>
      </c>
      <c r="G459" s="8">
        <f t="shared" si="14"/>
        <v>0</v>
      </c>
    </row>
    <row r="460" spans="1:7" x14ac:dyDescent="0.2">
      <c r="A460" s="32"/>
      <c r="B460" s="3">
        <v>392</v>
      </c>
      <c r="D460" s="7" t="s">
        <v>213</v>
      </c>
      <c r="E460" s="184">
        <v>65</v>
      </c>
      <c r="F460" s="184">
        <v>34</v>
      </c>
      <c r="G460" s="8">
        <f t="shared" si="14"/>
        <v>0</v>
      </c>
    </row>
    <row r="461" spans="1:7" x14ac:dyDescent="0.2">
      <c r="A461" s="32"/>
      <c r="B461" s="3">
        <v>393</v>
      </c>
      <c r="D461" s="7" t="s">
        <v>213</v>
      </c>
      <c r="E461" s="184">
        <v>66</v>
      </c>
      <c r="F461" s="184">
        <v>34</v>
      </c>
      <c r="G461" s="8">
        <f t="shared" si="14"/>
        <v>0</v>
      </c>
    </row>
    <row r="462" spans="1:7" x14ac:dyDescent="0.2">
      <c r="A462" s="32"/>
      <c r="B462" s="3">
        <v>394</v>
      </c>
      <c r="D462" s="7" t="s">
        <v>213</v>
      </c>
      <c r="E462" s="184">
        <v>67</v>
      </c>
      <c r="F462" s="184">
        <v>34</v>
      </c>
      <c r="G462" s="8">
        <f t="shared" si="14"/>
        <v>0</v>
      </c>
    </row>
    <row r="463" spans="1:7" x14ac:dyDescent="0.2">
      <c r="A463" s="32"/>
      <c r="B463" s="3">
        <v>395</v>
      </c>
      <c r="D463" s="7" t="s">
        <v>213</v>
      </c>
      <c r="E463" s="184">
        <v>68</v>
      </c>
      <c r="F463" s="184">
        <v>34</v>
      </c>
      <c r="G463" s="8">
        <f t="shared" si="14"/>
        <v>0</v>
      </c>
    </row>
    <row r="464" spans="1:7" x14ac:dyDescent="0.2">
      <c r="A464" s="32"/>
      <c r="B464" s="3">
        <v>396</v>
      </c>
      <c r="D464" s="7" t="s">
        <v>213</v>
      </c>
      <c r="E464" s="184">
        <v>69</v>
      </c>
      <c r="F464" s="184">
        <v>34</v>
      </c>
      <c r="G464" s="8">
        <f t="shared" si="14"/>
        <v>0</v>
      </c>
    </row>
    <row r="465" spans="1:7" x14ac:dyDescent="0.2">
      <c r="A465" s="32"/>
      <c r="B465" s="3">
        <v>397</v>
      </c>
      <c r="D465" s="7" t="s">
        <v>213</v>
      </c>
      <c r="E465" s="184">
        <v>70</v>
      </c>
      <c r="F465" s="184">
        <v>34</v>
      </c>
      <c r="G465" s="8">
        <f t="shared" si="14"/>
        <v>0</v>
      </c>
    </row>
    <row r="466" spans="1:7" x14ac:dyDescent="0.2">
      <c r="A466" s="32"/>
      <c r="B466" s="3">
        <v>398</v>
      </c>
      <c r="D466" s="7" t="s">
        <v>213</v>
      </c>
      <c r="E466" s="184">
        <v>71</v>
      </c>
      <c r="F466" s="184">
        <v>34</v>
      </c>
      <c r="G466" s="8">
        <f t="shared" si="14"/>
        <v>0</v>
      </c>
    </row>
    <row r="467" spans="1:7" x14ac:dyDescent="0.2">
      <c r="A467" s="32"/>
      <c r="B467" s="3">
        <v>399</v>
      </c>
      <c r="D467" s="7" t="s">
        <v>213</v>
      </c>
      <c r="E467" s="184">
        <v>72</v>
      </c>
      <c r="F467" s="184">
        <v>34</v>
      </c>
      <c r="G467" s="8">
        <f t="shared" si="14"/>
        <v>0</v>
      </c>
    </row>
    <row r="468" spans="1:7" x14ac:dyDescent="0.2">
      <c r="A468" s="32"/>
      <c r="B468" s="3">
        <v>400</v>
      </c>
      <c r="D468" s="7" t="s">
        <v>213</v>
      </c>
      <c r="E468" s="184">
        <v>75</v>
      </c>
      <c r="F468" s="184">
        <v>34</v>
      </c>
      <c r="G468" s="8">
        <f t="shared" si="14"/>
        <v>0</v>
      </c>
    </row>
    <row r="469" spans="1:7" x14ac:dyDescent="0.2">
      <c r="A469" s="32"/>
      <c r="B469" s="3">
        <v>401</v>
      </c>
      <c r="D469" s="7" t="s">
        <v>213</v>
      </c>
      <c r="E469" s="184">
        <v>76</v>
      </c>
      <c r="F469" s="184">
        <v>34</v>
      </c>
      <c r="G469" s="8">
        <f t="shared" si="14"/>
        <v>0</v>
      </c>
    </row>
    <row r="470" spans="1:7" x14ac:dyDescent="0.2">
      <c r="A470" s="32"/>
      <c r="B470" s="3">
        <v>402</v>
      </c>
      <c r="D470" s="7" t="s">
        <v>213</v>
      </c>
      <c r="E470" s="184">
        <v>79</v>
      </c>
      <c r="F470" s="184">
        <v>34</v>
      </c>
      <c r="G470" s="8">
        <f t="shared" si="14"/>
        <v>0</v>
      </c>
    </row>
    <row r="471" spans="1:7" ht="13.5" thickBot="1" x14ac:dyDescent="0.25">
      <c r="A471" s="32"/>
      <c r="B471" s="3">
        <v>403</v>
      </c>
      <c r="D471" s="582" t="s">
        <v>222</v>
      </c>
      <c r="E471" s="584"/>
      <c r="F471" s="584"/>
      <c r="G471" s="585">
        <f>SUM(G64:G470)</f>
        <v>0</v>
      </c>
    </row>
    <row r="472" spans="1:7" ht="13.5" thickTop="1" x14ac:dyDescent="0.2">
      <c r="A472" s="32"/>
      <c r="B472" s="3">
        <v>404</v>
      </c>
      <c r="D472" t="s">
        <v>222</v>
      </c>
    </row>
    <row r="473" spans="1:7" x14ac:dyDescent="0.2">
      <c r="A473" s="32"/>
      <c r="B473" s="3">
        <v>405</v>
      </c>
      <c r="D473" t="s">
        <v>222</v>
      </c>
    </row>
    <row r="474" spans="1:7" x14ac:dyDescent="0.2">
      <c r="A474" s="32"/>
      <c r="B474" s="3">
        <v>406</v>
      </c>
    </row>
    <row r="475" spans="1:7" x14ac:dyDescent="0.2">
      <c r="A475" s="32"/>
      <c r="B475" s="3">
        <v>407</v>
      </c>
    </row>
    <row r="476" spans="1:7" x14ac:dyDescent="0.2">
      <c r="A476" s="32"/>
      <c r="B476" s="3">
        <v>408</v>
      </c>
    </row>
    <row r="477" spans="1:7" x14ac:dyDescent="0.2">
      <c r="A477" s="32"/>
      <c r="B477" s="3">
        <v>409</v>
      </c>
    </row>
    <row r="478" spans="1:7" x14ac:dyDescent="0.2">
      <c r="A478" s="32"/>
      <c r="B478" s="3">
        <v>410</v>
      </c>
    </row>
    <row r="479" spans="1:7" x14ac:dyDescent="0.2">
      <c r="A479" s="32"/>
      <c r="B479" s="3">
        <v>411</v>
      </c>
    </row>
    <row r="480" spans="1:7" x14ac:dyDescent="0.2">
      <c r="A480" s="32"/>
      <c r="B480" s="3">
        <v>412</v>
      </c>
    </row>
    <row r="481" spans="1:2" x14ac:dyDescent="0.2">
      <c r="A481" s="32"/>
      <c r="B481" s="3">
        <v>413</v>
      </c>
    </row>
    <row r="482" spans="1:2" x14ac:dyDescent="0.2">
      <c r="A482" s="32"/>
      <c r="B482" s="3">
        <v>414</v>
      </c>
    </row>
    <row r="483" spans="1:2" x14ac:dyDescent="0.2">
      <c r="A483" s="32"/>
      <c r="B483" s="3">
        <v>415</v>
      </c>
    </row>
    <row r="484" spans="1:2" x14ac:dyDescent="0.2">
      <c r="A484" s="32"/>
      <c r="B484" s="3">
        <v>416</v>
      </c>
    </row>
    <row r="485" spans="1:2" x14ac:dyDescent="0.2">
      <c r="A485" s="32"/>
      <c r="B485" s="3">
        <v>417</v>
      </c>
    </row>
    <row r="486" spans="1:2" x14ac:dyDescent="0.2">
      <c r="A486" s="32"/>
      <c r="B486" s="3">
        <v>418</v>
      </c>
    </row>
    <row r="487" spans="1:2" x14ac:dyDescent="0.2">
      <c r="A487" s="32"/>
      <c r="B487" s="3">
        <v>419</v>
      </c>
    </row>
    <row r="488" spans="1:2" x14ac:dyDescent="0.2">
      <c r="A488" s="32"/>
      <c r="B488" s="3">
        <v>420</v>
      </c>
    </row>
    <row r="489" spans="1:2" x14ac:dyDescent="0.2">
      <c r="A489" s="32"/>
      <c r="B489" s="3">
        <v>421</v>
      </c>
    </row>
    <row r="490" spans="1:2" x14ac:dyDescent="0.2">
      <c r="A490" s="32"/>
      <c r="B490" s="3">
        <v>422</v>
      </c>
    </row>
    <row r="491" spans="1:2" x14ac:dyDescent="0.2">
      <c r="A491" s="32"/>
      <c r="B491" s="3">
        <v>423</v>
      </c>
    </row>
    <row r="492" spans="1:2" x14ac:dyDescent="0.2">
      <c r="A492" s="32"/>
      <c r="B492" s="3">
        <v>424</v>
      </c>
    </row>
    <row r="493" spans="1:2" x14ac:dyDescent="0.2">
      <c r="A493" s="32"/>
      <c r="B493" s="3">
        <v>425</v>
      </c>
    </row>
    <row r="494" spans="1:2" x14ac:dyDescent="0.2">
      <c r="A494" s="32"/>
      <c r="B494" s="3">
        <v>426</v>
      </c>
    </row>
    <row r="495" spans="1:2" x14ac:dyDescent="0.2">
      <c r="A495" s="32"/>
      <c r="B495" s="3">
        <v>427</v>
      </c>
    </row>
    <row r="496" spans="1:2" x14ac:dyDescent="0.2">
      <c r="A496" s="32"/>
      <c r="B496" s="3">
        <v>428</v>
      </c>
    </row>
    <row r="497" spans="1:2" x14ac:dyDescent="0.2">
      <c r="A497" s="32"/>
      <c r="B497" s="3">
        <v>429</v>
      </c>
    </row>
    <row r="498" spans="1:2" x14ac:dyDescent="0.2">
      <c r="A498" s="32"/>
      <c r="B498" s="3">
        <v>430</v>
      </c>
    </row>
    <row r="499" spans="1:2" x14ac:dyDescent="0.2">
      <c r="A499" s="32"/>
      <c r="B499" s="3">
        <v>431</v>
      </c>
    </row>
    <row r="500" spans="1:2" x14ac:dyDescent="0.2">
      <c r="A500" s="32"/>
      <c r="B500" s="3">
        <v>432</v>
      </c>
    </row>
    <row r="501" spans="1:2" x14ac:dyDescent="0.2">
      <c r="A501" s="32"/>
      <c r="B501" s="3">
        <v>433</v>
      </c>
    </row>
    <row r="502" spans="1:2" x14ac:dyDescent="0.2">
      <c r="A502" s="32"/>
      <c r="B502" s="3">
        <v>434</v>
      </c>
    </row>
    <row r="503" spans="1:2" x14ac:dyDescent="0.2">
      <c r="A503" s="32"/>
      <c r="B503" s="3">
        <v>435</v>
      </c>
    </row>
    <row r="504" spans="1:2" x14ac:dyDescent="0.2">
      <c r="A504" s="32"/>
      <c r="B504" s="3">
        <v>436</v>
      </c>
    </row>
    <row r="505" spans="1:2" x14ac:dyDescent="0.2">
      <c r="A505" s="32"/>
      <c r="B505" s="3">
        <v>437</v>
      </c>
    </row>
    <row r="506" spans="1:2" x14ac:dyDescent="0.2">
      <c r="A506" s="32"/>
      <c r="B506" s="3">
        <v>438</v>
      </c>
    </row>
    <row r="507" spans="1:2" x14ac:dyDescent="0.2">
      <c r="A507" s="32"/>
      <c r="B507" s="3">
        <v>439</v>
      </c>
    </row>
    <row r="508" spans="1:2" x14ac:dyDescent="0.2">
      <c r="A508" s="32"/>
      <c r="B508" s="3">
        <v>440</v>
      </c>
    </row>
    <row r="509" spans="1:2" x14ac:dyDescent="0.2">
      <c r="A509" s="32"/>
      <c r="B509" s="3">
        <v>441</v>
      </c>
    </row>
    <row r="510" spans="1:2" x14ac:dyDescent="0.2">
      <c r="A510" s="32"/>
      <c r="B510" s="3">
        <v>442</v>
      </c>
    </row>
    <row r="511" spans="1:2" x14ac:dyDescent="0.2">
      <c r="A511" s="32"/>
      <c r="B511" s="3">
        <v>443</v>
      </c>
    </row>
    <row r="512" spans="1:2" x14ac:dyDescent="0.2">
      <c r="A512" s="32"/>
      <c r="B512" s="3">
        <v>444</v>
      </c>
    </row>
    <row r="513" spans="1:2" x14ac:dyDescent="0.2">
      <c r="A513" s="32"/>
      <c r="B513" s="3">
        <v>445</v>
      </c>
    </row>
    <row r="514" spans="1:2" x14ac:dyDescent="0.2">
      <c r="A514" s="32"/>
      <c r="B514" s="3">
        <v>446</v>
      </c>
    </row>
    <row r="515" spans="1:2" x14ac:dyDescent="0.2">
      <c r="A515" s="32"/>
      <c r="B515" s="3">
        <v>447</v>
      </c>
    </row>
    <row r="516" spans="1:2" x14ac:dyDescent="0.2">
      <c r="A516" s="32"/>
      <c r="B516" s="3">
        <v>448</v>
      </c>
    </row>
    <row r="517" spans="1:2" x14ac:dyDescent="0.2">
      <c r="A517" s="32"/>
      <c r="B517" s="3">
        <v>449</v>
      </c>
    </row>
    <row r="518" spans="1:2" x14ac:dyDescent="0.2">
      <c r="A518" s="32"/>
      <c r="B518" s="3">
        <v>450</v>
      </c>
    </row>
    <row r="519" spans="1:2" x14ac:dyDescent="0.2">
      <c r="A519" s="32"/>
      <c r="B519" s="3">
        <v>451</v>
      </c>
    </row>
    <row r="520" spans="1:2" x14ac:dyDescent="0.2">
      <c r="A520" s="32"/>
      <c r="B520" s="3">
        <v>452</v>
      </c>
    </row>
    <row r="521" spans="1:2" x14ac:dyDescent="0.2">
      <c r="A521" s="32"/>
      <c r="B521" s="3">
        <v>453</v>
      </c>
    </row>
    <row r="522" spans="1:2" x14ac:dyDescent="0.2">
      <c r="A522" s="32"/>
      <c r="B522" s="3">
        <v>454</v>
      </c>
    </row>
    <row r="523" spans="1:2" x14ac:dyDescent="0.2">
      <c r="A523" s="32"/>
      <c r="B523" s="3">
        <v>455</v>
      </c>
    </row>
    <row r="524" spans="1:2" x14ac:dyDescent="0.2">
      <c r="A524" s="32"/>
      <c r="B524" s="3">
        <v>456</v>
      </c>
    </row>
    <row r="525" spans="1:2" x14ac:dyDescent="0.2">
      <c r="A525" s="32"/>
      <c r="B525" s="3">
        <v>457</v>
      </c>
    </row>
    <row r="526" spans="1:2" x14ac:dyDescent="0.2">
      <c r="A526" s="32"/>
      <c r="B526" s="3">
        <v>458</v>
      </c>
    </row>
    <row r="527" spans="1:2" x14ac:dyDescent="0.2">
      <c r="A527" s="32"/>
      <c r="B527" s="3">
        <v>459</v>
      </c>
    </row>
    <row r="528" spans="1:2" x14ac:dyDescent="0.2">
      <c r="A528" s="32"/>
      <c r="B528" s="3">
        <v>460</v>
      </c>
    </row>
    <row r="529" spans="1:2" x14ac:dyDescent="0.2">
      <c r="A529" s="32"/>
      <c r="B529" s="3">
        <v>461</v>
      </c>
    </row>
    <row r="530" spans="1:2" x14ac:dyDescent="0.2">
      <c r="A530" s="32"/>
      <c r="B530" s="3">
        <v>462</v>
      </c>
    </row>
    <row r="531" spans="1:2" x14ac:dyDescent="0.2">
      <c r="A531" s="32"/>
      <c r="B531" s="3">
        <v>463</v>
      </c>
    </row>
    <row r="532" spans="1:2" x14ac:dyDescent="0.2">
      <c r="A532" s="32"/>
      <c r="B532" s="3">
        <v>464</v>
      </c>
    </row>
    <row r="533" spans="1:2" x14ac:dyDescent="0.2">
      <c r="A533" s="32"/>
      <c r="B533" s="3">
        <v>465</v>
      </c>
    </row>
    <row r="534" spans="1:2" x14ac:dyDescent="0.2">
      <c r="A534" s="32"/>
      <c r="B534" s="3">
        <v>466</v>
      </c>
    </row>
    <row r="535" spans="1:2" x14ac:dyDescent="0.2">
      <c r="A535" s="32"/>
      <c r="B535" s="3">
        <v>467</v>
      </c>
    </row>
    <row r="536" spans="1:2" x14ac:dyDescent="0.2">
      <c r="A536" s="32"/>
      <c r="B536" s="3">
        <v>468</v>
      </c>
    </row>
    <row r="537" spans="1:2" x14ac:dyDescent="0.2">
      <c r="A537" s="32"/>
      <c r="B537" s="3">
        <v>469</v>
      </c>
    </row>
    <row r="538" spans="1:2" x14ac:dyDescent="0.2">
      <c r="A538" s="32"/>
      <c r="B538" s="3">
        <v>470</v>
      </c>
    </row>
    <row r="539" spans="1:2" x14ac:dyDescent="0.2">
      <c r="A539" s="32"/>
      <c r="B539" s="3">
        <v>471</v>
      </c>
    </row>
    <row r="540" spans="1:2" x14ac:dyDescent="0.2">
      <c r="A540" s="32"/>
      <c r="B540" s="3">
        <v>472</v>
      </c>
    </row>
    <row r="541" spans="1:2" x14ac:dyDescent="0.2">
      <c r="A541" s="32"/>
      <c r="B541" s="3">
        <v>473</v>
      </c>
    </row>
    <row r="542" spans="1:2" x14ac:dyDescent="0.2">
      <c r="A542" s="32"/>
      <c r="B542" s="3">
        <v>474</v>
      </c>
    </row>
    <row r="543" spans="1:2" x14ac:dyDescent="0.2">
      <c r="A543" s="32"/>
      <c r="B543" s="3">
        <v>475</v>
      </c>
    </row>
    <row r="544" spans="1:2" x14ac:dyDescent="0.2">
      <c r="A544" s="32"/>
      <c r="B544" s="3">
        <v>476</v>
      </c>
    </row>
    <row r="545" spans="1:2" x14ac:dyDescent="0.2">
      <c r="A545" s="32"/>
      <c r="B545" s="3">
        <v>477</v>
      </c>
    </row>
    <row r="546" spans="1:2" x14ac:dyDescent="0.2">
      <c r="A546" s="32"/>
      <c r="B546" s="3">
        <v>478</v>
      </c>
    </row>
    <row r="547" spans="1:2" x14ac:dyDescent="0.2">
      <c r="A547" s="32"/>
      <c r="B547" s="3">
        <v>479</v>
      </c>
    </row>
    <row r="548" spans="1:2" x14ac:dyDescent="0.2">
      <c r="A548" s="32"/>
      <c r="B548" s="3">
        <v>480</v>
      </c>
    </row>
    <row r="549" spans="1:2" x14ac:dyDescent="0.2">
      <c r="A549" s="32"/>
      <c r="B549" s="3">
        <v>481</v>
      </c>
    </row>
    <row r="550" spans="1:2" x14ac:dyDescent="0.2">
      <c r="A550" s="32"/>
      <c r="B550" s="3">
        <v>482</v>
      </c>
    </row>
    <row r="551" spans="1:2" x14ac:dyDescent="0.2">
      <c r="A551" s="32"/>
      <c r="B551" s="3">
        <v>483</v>
      </c>
    </row>
    <row r="552" spans="1:2" x14ac:dyDescent="0.2">
      <c r="A552" s="32"/>
      <c r="B552" s="3">
        <v>484</v>
      </c>
    </row>
    <row r="553" spans="1:2" x14ac:dyDescent="0.2">
      <c r="A553" s="32"/>
      <c r="B553" s="3">
        <v>485</v>
      </c>
    </row>
    <row r="554" spans="1:2" x14ac:dyDescent="0.2">
      <c r="A554" s="32"/>
      <c r="B554" s="3">
        <v>486</v>
      </c>
    </row>
    <row r="555" spans="1:2" x14ac:dyDescent="0.2">
      <c r="A555" s="32"/>
      <c r="B555" s="3">
        <v>487</v>
      </c>
    </row>
    <row r="556" spans="1:2" x14ac:dyDescent="0.2">
      <c r="A556" s="32"/>
      <c r="B556" s="3">
        <v>488</v>
      </c>
    </row>
    <row r="557" spans="1:2" x14ac:dyDescent="0.2">
      <c r="A557" s="32"/>
      <c r="B557" s="3">
        <v>489</v>
      </c>
    </row>
    <row r="558" spans="1:2" x14ac:dyDescent="0.2">
      <c r="A558" s="32"/>
      <c r="B558" s="3">
        <v>490</v>
      </c>
    </row>
    <row r="559" spans="1:2" x14ac:dyDescent="0.2">
      <c r="A559" s="32"/>
      <c r="B559" s="3">
        <v>491</v>
      </c>
    </row>
    <row r="560" spans="1:2" x14ac:dyDescent="0.2">
      <c r="A560" s="32"/>
      <c r="B560" s="3">
        <v>492</v>
      </c>
    </row>
    <row r="561" spans="1:2" x14ac:dyDescent="0.2">
      <c r="A561" s="32"/>
      <c r="B561" s="3">
        <v>493</v>
      </c>
    </row>
    <row r="562" spans="1:2" x14ac:dyDescent="0.2">
      <c r="A562" s="32"/>
      <c r="B562" s="3">
        <v>494</v>
      </c>
    </row>
    <row r="563" spans="1:2" x14ac:dyDescent="0.2">
      <c r="A563" s="32"/>
      <c r="B563" s="3">
        <v>495</v>
      </c>
    </row>
    <row r="564" spans="1:2" x14ac:dyDescent="0.2">
      <c r="A564" s="32"/>
      <c r="B564" s="3">
        <v>496</v>
      </c>
    </row>
    <row r="565" spans="1:2" x14ac:dyDescent="0.2">
      <c r="A565" s="32"/>
      <c r="B565" s="3">
        <v>497</v>
      </c>
    </row>
    <row r="566" spans="1:2" x14ac:dyDescent="0.2">
      <c r="A566" s="32"/>
      <c r="B566" s="3">
        <v>498</v>
      </c>
    </row>
    <row r="567" spans="1:2" x14ac:dyDescent="0.2">
      <c r="A567" s="32"/>
      <c r="B567" s="3">
        <v>499</v>
      </c>
    </row>
    <row r="568" spans="1:2" x14ac:dyDescent="0.2">
      <c r="A568" s="32"/>
      <c r="B568" s="3">
        <v>500</v>
      </c>
    </row>
    <row r="569" spans="1:2" x14ac:dyDescent="0.2">
      <c r="A569" s="32"/>
      <c r="B569" s="3">
        <v>501</v>
      </c>
    </row>
    <row r="570" spans="1:2" x14ac:dyDescent="0.2">
      <c r="A570" s="32"/>
      <c r="B570" s="3">
        <v>502</v>
      </c>
    </row>
    <row r="571" spans="1:2" x14ac:dyDescent="0.2">
      <c r="A571" s="32"/>
      <c r="B571" s="3">
        <v>503</v>
      </c>
    </row>
    <row r="572" spans="1:2" x14ac:dyDescent="0.2">
      <c r="A572" s="32"/>
      <c r="B572" s="3">
        <v>504</v>
      </c>
    </row>
    <row r="573" spans="1:2" x14ac:dyDescent="0.2">
      <c r="A573" s="32"/>
      <c r="B573" s="3">
        <v>505</v>
      </c>
    </row>
    <row r="574" spans="1:2" x14ac:dyDescent="0.2">
      <c r="A574" s="32"/>
      <c r="B574" s="3">
        <v>506</v>
      </c>
    </row>
    <row r="575" spans="1:2" x14ac:dyDescent="0.2">
      <c r="A575" s="32"/>
      <c r="B575" s="3">
        <v>507</v>
      </c>
    </row>
    <row r="576" spans="1:2" x14ac:dyDescent="0.2">
      <c r="A576" s="32"/>
      <c r="B576" s="3">
        <v>508</v>
      </c>
    </row>
    <row r="577" spans="1:2" x14ac:dyDescent="0.2">
      <c r="A577" s="32"/>
      <c r="B577" s="3">
        <v>509</v>
      </c>
    </row>
    <row r="578" spans="1:2" x14ac:dyDescent="0.2">
      <c r="A578" s="32"/>
      <c r="B578" s="3">
        <v>510</v>
      </c>
    </row>
    <row r="579" spans="1:2" x14ac:dyDescent="0.2">
      <c r="A579" s="32"/>
      <c r="B579" s="3">
        <v>511</v>
      </c>
    </row>
    <row r="580" spans="1:2" x14ac:dyDescent="0.2">
      <c r="A580" s="32"/>
      <c r="B580" s="3">
        <v>512</v>
      </c>
    </row>
    <row r="581" spans="1:2" x14ac:dyDescent="0.2">
      <c r="A581" s="32"/>
      <c r="B581" s="3">
        <v>513</v>
      </c>
    </row>
    <row r="582" spans="1:2" x14ac:dyDescent="0.2">
      <c r="A582" s="32"/>
      <c r="B582" s="3">
        <v>514</v>
      </c>
    </row>
    <row r="583" spans="1:2" x14ac:dyDescent="0.2">
      <c r="A583" s="32"/>
      <c r="B583" s="3">
        <v>515</v>
      </c>
    </row>
    <row r="584" spans="1:2" x14ac:dyDescent="0.2">
      <c r="A584" s="32"/>
      <c r="B584" s="3">
        <v>516</v>
      </c>
    </row>
    <row r="585" spans="1:2" x14ac:dyDescent="0.2">
      <c r="A585" s="32"/>
      <c r="B585" s="3">
        <v>517</v>
      </c>
    </row>
    <row r="586" spans="1:2" x14ac:dyDescent="0.2">
      <c r="A586" s="32"/>
      <c r="B586" s="3">
        <v>518</v>
      </c>
    </row>
    <row r="587" spans="1:2" x14ac:dyDescent="0.2">
      <c r="A587" s="32"/>
      <c r="B587" s="3">
        <v>519</v>
      </c>
    </row>
    <row r="588" spans="1:2" x14ac:dyDescent="0.2">
      <c r="A588" s="32"/>
      <c r="B588" s="3">
        <v>520</v>
      </c>
    </row>
    <row r="589" spans="1:2" x14ac:dyDescent="0.2">
      <c r="A589" s="32"/>
      <c r="B589" s="3">
        <v>521</v>
      </c>
    </row>
    <row r="590" spans="1:2" x14ac:dyDescent="0.2">
      <c r="A590" s="32"/>
      <c r="B590" s="3">
        <v>522</v>
      </c>
    </row>
    <row r="591" spans="1:2" x14ac:dyDescent="0.2">
      <c r="A591" s="32"/>
      <c r="B591" s="3">
        <v>523</v>
      </c>
    </row>
    <row r="592" spans="1:2" x14ac:dyDescent="0.2">
      <c r="A592" s="32"/>
      <c r="B592" s="3">
        <v>524</v>
      </c>
    </row>
    <row r="593" spans="1:2" x14ac:dyDescent="0.2">
      <c r="A593" s="32"/>
      <c r="B593" s="3">
        <v>525</v>
      </c>
    </row>
    <row r="594" spans="1:2" x14ac:dyDescent="0.2">
      <c r="A594" s="32"/>
      <c r="B594" s="3">
        <v>526</v>
      </c>
    </row>
    <row r="595" spans="1:2" x14ac:dyDescent="0.2">
      <c r="A595" s="32"/>
      <c r="B595" s="3">
        <v>527</v>
      </c>
    </row>
    <row r="596" spans="1:2" x14ac:dyDescent="0.2">
      <c r="A596" s="32"/>
      <c r="B596" s="3">
        <v>528</v>
      </c>
    </row>
    <row r="597" spans="1:2" x14ac:dyDescent="0.2">
      <c r="A597" s="32"/>
      <c r="B597" s="3">
        <v>529</v>
      </c>
    </row>
    <row r="598" spans="1:2" x14ac:dyDescent="0.2">
      <c r="A598" s="32"/>
      <c r="B598" s="3">
        <v>530</v>
      </c>
    </row>
    <row r="599" spans="1:2" x14ac:dyDescent="0.2">
      <c r="A599" s="32"/>
      <c r="B599" s="3">
        <v>531</v>
      </c>
    </row>
    <row r="600" spans="1:2" x14ac:dyDescent="0.2">
      <c r="A600" s="32"/>
      <c r="B600" s="3">
        <v>532</v>
      </c>
    </row>
    <row r="601" spans="1:2" x14ac:dyDescent="0.2">
      <c r="A601" s="32"/>
      <c r="B601" s="3">
        <v>533</v>
      </c>
    </row>
    <row r="602" spans="1:2" x14ac:dyDescent="0.2">
      <c r="A602" s="32"/>
      <c r="B602" s="3">
        <v>534</v>
      </c>
    </row>
    <row r="603" spans="1:2" x14ac:dyDescent="0.2">
      <c r="A603" s="32"/>
      <c r="B603" s="3">
        <v>535</v>
      </c>
    </row>
    <row r="604" spans="1:2" x14ac:dyDescent="0.2">
      <c r="A604" s="32"/>
      <c r="B604" s="3">
        <v>536</v>
      </c>
    </row>
    <row r="605" spans="1:2" x14ac:dyDescent="0.2">
      <c r="A605" s="32"/>
      <c r="B605" s="3">
        <v>537</v>
      </c>
    </row>
    <row r="606" spans="1:2" x14ac:dyDescent="0.2">
      <c r="A606" s="32"/>
      <c r="B606" s="3">
        <v>538</v>
      </c>
    </row>
    <row r="607" spans="1:2" x14ac:dyDescent="0.2">
      <c r="A607" s="32"/>
      <c r="B607" s="3">
        <v>539</v>
      </c>
    </row>
    <row r="608" spans="1:2" x14ac:dyDescent="0.2">
      <c r="A608" s="32"/>
      <c r="B608" s="3">
        <v>540</v>
      </c>
    </row>
    <row r="609" spans="1:2" x14ac:dyDescent="0.2">
      <c r="A609" s="32"/>
      <c r="B609" s="3">
        <v>541</v>
      </c>
    </row>
    <row r="610" spans="1:2" x14ac:dyDescent="0.2">
      <c r="A610" s="32"/>
      <c r="B610" s="3">
        <v>542</v>
      </c>
    </row>
    <row r="611" spans="1:2" x14ac:dyDescent="0.2">
      <c r="A611" s="32"/>
      <c r="B611" s="3">
        <v>543</v>
      </c>
    </row>
    <row r="612" spans="1:2" x14ac:dyDescent="0.2">
      <c r="A612" s="32"/>
      <c r="B612" s="3">
        <v>544</v>
      </c>
    </row>
    <row r="613" spans="1:2" x14ac:dyDescent="0.2">
      <c r="A613" s="32"/>
      <c r="B613" s="3">
        <v>545</v>
      </c>
    </row>
    <row r="614" spans="1:2" x14ac:dyDescent="0.2">
      <c r="A614" s="32"/>
      <c r="B614" s="3">
        <v>546</v>
      </c>
    </row>
    <row r="615" spans="1:2" x14ac:dyDescent="0.2">
      <c r="A615" s="32"/>
      <c r="B615" s="3">
        <v>547</v>
      </c>
    </row>
    <row r="616" spans="1:2" x14ac:dyDescent="0.2">
      <c r="A616" s="32"/>
      <c r="B616" s="3">
        <v>548</v>
      </c>
    </row>
    <row r="617" spans="1:2" x14ac:dyDescent="0.2">
      <c r="A617" s="32"/>
      <c r="B617" s="3">
        <v>549</v>
      </c>
    </row>
    <row r="618" spans="1:2" x14ac:dyDescent="0.2">
      <c r="A618" s="32"/>
      <c r="B618" s="3">
        <v>550</v>
      </c>
    </row>
    <row r="619" spans="1:2" x14ac:dyDescent="0.2">
      <c r="A619" s="32"/>
      <c r="B619" s="3">
        <v>551</v>
      </c>
    </row>
    <row r="620" spans="1:2" x14ac:dyDescent="0.2">
      <c r="A620" s="32"/>
      <c r="B620" s="3">
        <v>552</v>
      </c>
    </row>
    <row r="621" spans="1:2" x14ac:dyDescent="0.2">
      <c r="A621" s="32"/>
      <c r="B621" s="3">
        <v>553</v>
      </c>
    </row>
    <row r="622" spans="1:2" x14ac:dyDescent="0.2">
      <c r="A622" s="32"/>
      <c r="B622" s="3">
        <v>554</v>
      </c>
    </row>
    <row r="623" spans="1:2" x14ac:dyDescent="0.2">
      <c r="A623" s="32"/>
      <c r="B623" s="3">
        <v>555</v>
      </c>
    </row>
    <row r="624" spans="1:2" x14ac:dyDescent="0.2">
      <c r="A624" s="32"/>
      <c r="B624" s="3">
        <v>556</v>
      </c>
    </row>
    <row r="625" spans="1:2" x14ac:dyDescent="0.2">
      <c r="A625" s="32"/>
      <c r="B625" s="3">
        <v>557</v>
      </c>
    </row>
    <row r="626" spans="1:2" x14ac:dyDescent="0.2">
      <c r="A626" s="32"/>
      <c r="B626" s="3">
        <v>558</v>
      </c>
    </row>
    <row r="627" spans="1:2" x14ac:dyDescent="0.2">
      <c r="A627" s="32"/>
      <c r="B627" s="3">
        <v>559</v>
      </c>
    </row>
    <row r="628" spans="1:2" x14ac:dyDescent="0.2">
      <c r="A628" s="32"/>
      <c r="B628" s="3">
        <v>560</v>
      </c>
    </row>
    <row r="629" spans="1:2" x14ac:dyDescent="0.2">
      <c r="A629" s="32"/>
      <c r="B629" s="3">
        <v>561</v>
      </c>
    </row>
    <row r="630" spans="1:2" x14ac:dyDescent="0.2">
      <c r="A630" s="32"/>
      <c r="B630" s="3">
        <v>562</v>
      </c>
    </row>
    <row r="631" spans="1:2" x14ac:dyDescent="0.2">
      <c r="A631" s="32"/>
      <c r="B631" s="3">
        <v>563</v>
      </c>
    </row>
    <row r="632" spans="1:2" x14ac:dyDescent="0.2">
      <c r="A632" s="32"/>
      <c r="B632" s="3">
        <v>564</v>
      </c>
    </row>
    <row r="633" spans="1:2" x14ac:dyDescent="0.2">
      <c r="A633" s="32"/>
      <c r="B633" s="3">
        <v>565</v>
      </c>
    </row>
    <row r="634" spans="1:2" x14ac:dyDescent="0.2">
      <c r="A634" s="32"/>
      <c r="B634" s="3">
        <v>566</v>
      </c>
    </row>
    <row r="635" spans="1:2" x14ac:dyDescent="0.2">
      <c r="A635" s="32"/>
      <c r="B635" s="3">
        <v>567</v>
      </c>
    </row>
    <row r="636" spans="1:2" x14ac:dyDescent="0.2">
      <c r="A636" s="32"/>
      <c r="B636" s="3">
        <v>568</v>
      </c>
    </row>
    <row r="637" spans="1:2" x14ac:dyDescent="0.2">
      <c r="A637" s="32"/>
      <c r="B637" s="3">
        <v>569</v>
      </c>
    </row>
    <row r="638" spans="1:2" x14ac:dyDescent="0.2">
      <c r="A638" s="32"/>
      <c r="B638" s="3">
        <v>570</v>
      </c>
    </row>
    <row r="639" spans="1:2" x14ac:dyDescent="0.2">
      <c r="A639" s="32"/>
      <c r="B639" s="3">
        <v>571</v>
      </c>
    </row>
    <row r="640" spans="1:2" x14ac:dyDescent="0.2">
      <c r="A640" s="32"/>
      <c r="B640" s="3">
        <v>572</v>
      </c>
    </row>
    <row r="641" spans="1:2" x14ac:dyDescent="0.2">
      <c r="A641" s="32"/>
      <c r="B641" s="3">
        <v>573</v>
      </c>
    </row>
    <row r="642" spans="1:2" x14ac:dyDescent="0.2">
      <c r="A642" s="32"/>
      <c r="B642" s="3">
        <v>574</v>
      </c>
    </row>
    <row r="643" spans="1:2" x14ac:dyDescent="0.2">
      <c r="A643" s="32"/>
      <c r="B643" s="3">
        <v>575</v>
      </c>
    </row>
    <row r="644" spans="1:2" x14ac:dyDescent="0.2">
      <c r="A644" s="32"/>
      <c r="B644" s="3">
        <v>576</v>
      </c>
    </row>
    <row r="645" spans="1:2" x14ac:dyDescent="0.2">
      <c r="A645" s="32"/>
      <c r="B645" s="3">
        <v>577</v>
      </c>
    </row>
    <row r="646" spans="1:2" x14ac:dyDescent="0.2">
      <c r="A646" s="32"/>
      <c r="B646" s="3">
        <v>578</v>
      </c>
    </row>
    <row r="647" spans="1:2" x14ac:dyDescent="0.2">
      <c r="A647" s="32"/>
      <c r="B647" s="3">
        <v>579</v>
      </c>
    </row>
    <row r="648" spans="1:2" x14ac:dyDescent="0.2">
      <c r="A648" s="32"/>
      <c r="B648" s="3">
        <v>580</v>
      </c>
    </row>
    <row r="649" spans="1:2" x14ac:dyDescent="0.2">
      <c r="A649" s="32"/>
      <c r="B649" s="3">
        <v>581</v>
      </c>
    </row>
    <row r="650" spans="1:2" x14ac:dyDescent="0.2">
      <c r="A650" s="32"/>
      <c r="B650" s="3">
        <v>582</v>
      </c>
    </row>
    <row r="651" spans="1:2" x14ac:dyDescent="0.2">
      <c r="A651" s="32"/>
      <c r="B651" s="3">
        <v>583</v>
      </c>
    </row>
    <row r="652" spans="1:2" x14ac:dyDescent="0.2">
      <c r="A652" s="32"/>
      <c r="B652" s="3">
        <v>584</v>
      </c>
    </row>
    <row r="653" spans="1:2" x14ac:dyDescent="0.2">
      <c r="A653" s="32"/>
      <c r="B653" s="3">
        <v>585</v>
      </c>
    </row>
    <row r="654" spans="1:2" x14ac:dyDescent="0.2">
      <c r="A654" s="32"/>
      <c r="B654" s="3">
        <v>586</v>
      </c>
    </row>
    <row r="655" spans="1:2" x14ac:dyDescent="0.2">
      <c r="A655" s="32"/>
      <c r="B655" s="3">
        <v>587</v>
      </c>
    </row>
    <row r="656" spans="1:2" x14ac:dyDescent="0.2">
      <c r="A656" s="32"/>
      <c r="B656" s="3">
        <v>588</v>
      </c>
    </row>
    <row r="657" spans="1:2" x14ac:dyDescent="0.2">
      <c r="A657" s="32"/>
      <c r="B657" s="3">
        <v>589</v>
      </c>
    </row>
    <row r="658" spans="1:2" x14ac:dyDescent="0.2">
      <c r="A658" s="32"/>
      <c r="B658" s="3">
        <v>590</v>
      </c>
    </row>
    <row r="659" spans="1:2" x14ac:dyDescent="0.2">
      <c r="A659" s="32"/>
      <c r="B659" s="3">
        <v>591</v>
      </c>
    </row>
    <row r="660" spans="1:2" x14ac:dyDescent="0.2">
      <c r="A660" s="32"/>
      <c r="B660" s="3">
        <v>592</v>
      </c>
    </row>
    <row r="661" spans="1:2" x14ac:dyDescent="0.2">
      <c r="A661" s="32"/>
      <c r="B661" s="3">
        <v>593</v>
      </c>
    </row>
    <row r="662" spans="1:2" x14ac:dyDescent="0.2">
      <c r="A662" s="32"/>
      <c r="B662" s="3">
        <v>594</v>
      </c>
    </row>
    <row r="663" spans="1:2" x14ac:dyDescent="0.2">
      <c r="A663" s="32"/>
      <c r="B663" s="3">
        <v>595</v>
      </c>
    </row>
    <row r="664" spans="1:2" x14ac:dyDescent="0.2">
      <c r="A664" s="32"/>
      <c r="B664" s="3">
        <v>596</v>
      </c>
    </row>
    <row r="665" spans="1:2" x14ac:dyDescent="0.2">
      <c r="A665" s="32"/>
      <c r="B665" s="3">
        <v>597</v>
      </c>
    </row>
    <row r="666" spans="1:2" x14ac:dyDescent="0.2">
      <c r="A666" s="32"/>
      <c r="B666" s="3">
        <v>598</v>
      </c>
    </row>
    <row r="667" spans="1:2" x14ac:dyDescent="0.2">
      <c r="A667" s="32"/>
      <c r="B667" s="3">
        <v>599</v>
      </c>
    </row>
    <row r="668" spans="1:2" x14ac:dyDescent="0.2">
      <c r="A668" s="32"/>
      <c r="B668" s="3">
        <v>600</v>
      </c>
    </row>
    <row r="669" spans="1:2" x14ac:dyDescent="0.2">
      <c r="A669" s="32"/>
      <c r="B669" s="3">
        <v>601</v>
      </c>
    </row>
    <row r="670" spans="1:2" x14ac:dyDescent="0.2">
      <c r="A670" s="32"/>
      <c r="B670" s="3">
        <v>602</v>
      </c>
    </row>
    <row r="671" spans="1:2" x14ac:dyDescent="0.2">
      <c r="A671" s="32"/>
      <c r="B671" s="3">
        <v>603</v>
      </c>
    </row>
    <row r="672" spans="1:2" x14ac:dyDescent="0.2">
      <c r="A672" s="32"/>
      <c r="B672" s="3">
        <v>604</v>
      </c>
    </row>
    <row r="673" spans="1:2" x14ac:dyDescent="0.2">
      <c r="A673" s="32"/>
      <c r="B673" s="3">
        <v>605</v>
      </c>
    </row>
    <row r="674" spans="1:2" x14ac:dyDescent="0.2">
      <c r="A674" s="32"/>
      <c r="B674" s="3">
        <v>606</v>
      </c>
    </row>
    <row r="675" spans="1:2" x14ac:dyDescent="0.2">
      <c r="A675" s="32"/>
      <c r="B675" s="3">
        <v>607</v>
      </c>
    </row>
    <row r="676" spans="1:2" x14ac:dyDescent="0.2">
      <c r="A676" s="32"/>
      <c r="B676" s="3">
        <v>608</v>
      </c>
    </row>
    <row r="677" spans="1:2" x14ac:dyDescent="0.2">
      <c r="A677" s="32"/>
      <c r="B677" s="3">
        <v>609</v>
      </c>
    </row>
    <row r="678" spans="1:2" x14ac:dyDescent="0.2">
      <c r="A678" s="32"/>
      <c r="B678" s="3">
        <v>610</v>
      </c>
    </row>
    <row r="679" spans="1:2" x14ac:dyDescent="0.2">
      <c r="A679" s="32"/>
      <c r="B679" s="3">
        <v>611</v>
      </c>
    </row>
    <row r="680" spans="1:2" x14ac:dyDescent="0.2">
      <c r="A680" s="32"/>
      <c r="B680" s="3">
        <v>612</v>
      </c>
    </row>
    <row r="681" spans="1:2" x14ac:dyDescent="0.2">
      <c r="A681" s="32"/>
      <c r="B681" s="3">
        <v>613</v>
      </c>
    </row>
    <row r="682" spans="1:2" x14ac:dyDescent="0.2">
      <c r="A682" s="32"/>
      <c r="B682" s="3">
        <v>614</v>
      </c>
    </row>
    <row r="683" spans="1:2" x14ac:dyDescent="0.2">
      <c r="A683" s="32"/>
      <c r="B683" s="3">
        <v>615</v>
      </c>
    </row>
    <row r="684" spans="1:2" x14ac:dyDescent="0.2">
      <c r="A684" s="32"/>
      <c r="B684" s="3">
        <v>616</v>
      </c>
    </row>
    <row r="685" spans="1:2" x14ac:dyDescent="0.2">
      <c r="A685" s="32"/>
      <c r="B685" s="3">
        <v>617</v>
      </c>
    </row>
    <row r="686" spans="1:2" x14ac:dyDescent="0.2">
      <c r="A686" s="32"/>
      <c r="B686" s="3">
        <v>618</v>
      </c>
    </row>
    <row r="687" spans="1:2" x14ac:dyDescent="0.2">
      <c r="A687" s="32"/>
      <c r="B687" s="3">
        <v>619</v>
      </c>
    </row>
    <row r="688" spans="1:2" x14ac:dyDescent="0.2">
      <c r="A688" s="32"/>
      <c r="B688" s="3">
        <v>620</v>
      </c>
    </row>
    <row r="689" spans="1:2" x14ac:dyDescent="0.2">
      <c r="A689" s="32"/>
      <c r="B689" s="3">
        <v>621</v>
      </c>
    </row>
    <row r="690" spans="1:2" x14ac:dyDescent="0.2">
      <c r="A690" s="32"/>
      <c r="B690" s="3">
        <v>622</v>
      </c>
    </row>
    <row r="691" spans="1:2" x14ac:dyDescent="0.2">
      <c r="A691" s="32"/>
      <c r="B691" s="3">
        <v>623</v>
      </c>
    </row>
    <row r="692" spans="1:2" x14ac:dyDescent="0.2">
      <c r="A692" s="32"/>
      <c r="B692" s="3">
        <v>624</v>
      </c>
    </row>
    <row r="693" spans="1:2" x14ac:dyDescent="0.2">
      <c r="A693" s="32"/>
      <c r="B693" s="3">
        <v>625</v>
      </c>
    </row>
    <row r="694" spans="1:2" x14ac:dyDescent="0.2">
      <c r="A694" s="32"/>
      <c r="B694" s="3">
        <v>626</v>
      </c>
    </row>
    <row r="695" spans="1:2" x14ac:dyDescent="0.2">
      <c r="A695" s="32"/>
      <c r="B695" s="3">
        <v>627</v>
      </c>
    </row>
    <row r="696" spans="1:2" x14ac:dyDescent="0.2">
      <c r="A696" s="32"/>
      <c r="B696" s="3">
        <v>628</v>
      </c>
    </row>
    <row r="697" spans="1:2" x14ac:dyDescent="0.2">
      <c r="A697" s="32"/>
      <c r="B697" s="3">
        <v>629</v>
      </c>
    </row>
    <row r="698" spans="1:2" x14ac:dyDescent="0.2">
      <c r="A698" s="32"/>
      <c r="B698" s="3">
        <v>630</v>
      </c>
    </row>
    <row r="699" spans="1:2" x14ac:dyDescent="0.2">
      <c r="A699" s="32"/>
      <c r="B699" s="3">
        <v>631</v>
      </c>
    </row>
    <row r="700" spans="1:2" x14ac:dyDescent="0.2">
      <c r="A700" s="32"/>
      <c r="B700" s="3">
        <v>632</v>
      </c>
    </row>
    <row r="701" spans="1:2" x14ac:dyDescent="0.2">
      <c r="A701" s="32"/>
      <c r="B701" s="3">
        <v>633</v>
      </c>
    </row>
    <row r="702" spans="1:2" x14ac:dyDescent="0.2">
      <c r="A702" s="32"/>
      <c r="B702" s="3">
        <v>634</v>
      </c>
    </row>
    <row r="703" spans="1:2" x14ac:dyDescent="0.2">
      <c r="A703" s="32"/>
      <c r="B703" s="3">
        <v>635</v>
      </c>
    </row>
    <row r="704" spans="1:2" x14ac:dyDescent="0.2">
      <c r="A704" s="32"/>
      <c r="B704" s="3">
        <v>636</v>
      </c>
    </row>
    <row r="705" spans="1:2" x14ac:dyDescent="0.2">
      <c r="A705" s="32"/>
      <c r="B705" s="3">
        <v>637</v>
      </c>
    </row>
    <row r="706" spans="1:2" x14ac:dyDescent="0.2">
      <c r="A706" s="32"/>
      <c r="B706" s="3">
        <v>638</v>
      </c>
    </row>
    <row r="707" spans="1:2" x14ac:dyDescent="0.2">
      <c r="A707" s="32"/>
      <c r="B707" s="3">
        <v>639</v>
      </c>
    </row>
    <row r="708" spans="1:2" x14ac:dyDescent="0.2">
      <c r="A708" s="32"/>
      <c r="B708" s="3">
        <v>640</v>
      </c>
    </row>
    <row r="709" spans="1:2" x14ac:dyDescent="0.2">
      <c r="A709" s="32"/>
      <c r="B709" s="3">
        <v>641</v>
      </c>
    </row>
    <row r="710" spans="1:2" x14ac:dyDescent="0.2">
      <c r="A710" s="32"/>
      <c r="B710" s="3">
        <v>642</v>
      </c>
    </row>
    <row r="711" spans="1:2" x14ac:dyDescent="0.2">
      <c r="A711" s="32"/>
      <c r="B711" s="3">
        <v>643</v>
      </c>
    </row>
    <row r="712" spans="1:2" x14ac:dyDescent="0.2">
      <c r="A712" s="32"/>
      <c r="B712" s="3">
        <v>644</v>
      </c>
    </row>
    <row r="713" spans="1:2" x14ac:dyDescent="0.2">
      <c r="A713" s="32"/>
      <c r="B713" s="3">
        <v>645</v>
      </c>
    </row>
    <row r="714" spans="1:2" x14ac:dyDescent="0.2">
      <c r="A714" s="32"/>
      <c r="B714" s="3">
        <v>646</v>
      </c>
    </row>
    <row r="715" spans="1:2" x14ac:dyDescent="0.2">
      <c r="A715" s="32"/>
      <c r="B715" s="3">
        <v>647</v>
      </c>
    </row>
    <row r="716" spans="1:2" x14ac:dyDescent="0.2">
      <c r="A716" s="32"/>
      <c r="B716" s="3">
        <v>648</v>
      </c>
    </row>
    <row r="717" spans="1:2" x14ac:dyDescent="0.2">
      <c r="A717" s="32"/>
      <c r="B717" s="3">
        <v>649</v>
      </c>
    </row>
    <row r="718" spans="1:2" x14ac:dyDescent="0.2">
      <c r="A718" s="32"/>
      <c r="B718" s="3">
        <v>650</v>
      </c>
    </row>
    <row r="719" spans="1:2" x14ac:dyDescent="0.2">
      <c r="A719" s="32"/>
      <c r="B719" s="3">
        <v>651</v>
      </c>
    </row>
    <row r="720" spans="1:2" x14ac:dyDescent="0.2">
      <c r="A720" s="32"/>
      <c r="B720" s="3">
        <v>652</v>
      </c>
    </row>
    <row r="721" spans="1:2" x14ac:dyDescent="0.2">
      <c r="A721" s="32"/>
      <c r="B721" s="3">
        <v>653</v>
      </c>
    </row>
    <row r="722" spans="1:2" x14ac:dyDescent="0.2">
      <c r="A722" s="32"/>
      <c r="B722" s="3">
        <v>654</v>
      </c>
    </row>
    <row r="723" spans="1:2" x14ac:dyDescent="0.2">
      <c r="A723" s="32"/>
      <c r="B723" s="3">
        <v>655</v>
      </c>
    </row>
    <row r="724" spans="1:2" x14ac:dyDescent="0.2">
      <c r="A724" s="32"/>
      <c r="B724" s="3">
        <v>656</v>
      </c>
    </row>
    <row r="725" spans="1:2" x14ac:dyDescent="0.2">
      <c r="A725" s="32"/>
      <c r="B725" s="3">
        <v>657</v>
      </c>
    </row>
    <row r="726" spans="1:2" x14ac:dyDescent="0.2">
      <c r="A726" s="32"/>
      <c r="B726" s="3">
        <v>658</v>
      </c>
    </row>
    <row r="727" spans="1:2" x14ac:dyDescent="0.2">
      <c r="A727" s="32"/>
      <c r="B727" s="3">
        <v>659</v>
      </c>
    </row>
    <row r="728" spans="1:2" x14ac:dyDescent="0.2">
      <c r="A728" s="32"/>
      <c r="B728" s="3">
        <v>660</v>
      </c>
    </row>
    <row r="729" spans="1:2" x14ac:dyDescent="0.2">
      <c r="A729" s="32"/>
      <c r="B729" s="3">
        <v>661</v>
      </c>
    </row>
    <row r="730" spans="1:2" x14ac:dyDescent="0.2">
      <c r="A730" s="32"/>
      <c r="B730" s="3">
        <v>662</v>
      </c>
    </row>
    <row r="731" spans="1:2" x14ac:dyDescent="0.2">
      <c r="A731" s="32"/>
      <c r="B731" s="3">
        <v>663</v>
      </c>
    </row>
    <row r="732" spans="1:2" x14ac:dyDescent="0.2">
      <c r="A732" s="32"/>
      <c r="B732" s="3">
        <v>664</v>
      </c>
    </row>
    <row r="733" spans="1:2" x14ac:dyDescent="0.2">
      <c r="A733" s="32"/>
      <c r="B733" s="3">
        <v>665</v>
      </c>
    </row>
    <row r="734" spans="1:2" x14ac:dyDescent="0.2">
      <c r="A734" s="32"/>
      <c r="B734" s="3">
        <v>666</v>
      </c>
    </row>
    <row r="735" spans="1:2" x14ac:dyDescent="0.2">
      <c r="A735" s="32"/>
      <c r="B735" s="3">
        <v>667</v>
      </c>
    </row>
    <row r="736" spans="1:2" x14ac:dyDescent="0.2">
      <c r="A736" s="32"/>
      <c r="B736" s="3">
        <v>668</v>
      </c>
    </row>
    <row r="737" spans="1:2" x14ac:dyDescent="0.2">
      <c r="A737" s="32"/>
      <c r="B737" s="3">
        <v>669</v>
      </c>
    </row>
    <row r="738" spans="1:2" x14ac:dyDescent="0.2">
      <c r="A738" s="32"/>
      <c r="B738" s="3">
        <v>670</v>
      </c>
    </row>
    <row r="739" spans="1:2" x14ac:dyDescent="0.2">
      <c r="A739" s="32"/>
      <c r="B739" s="3">
        <v>671</v>
      </c>
    </row>
    <row r="740" spans="1:2" x14ac:dyDescent="0.2">
      <c r="A740" s="32"/>
      <c r="B740" s="3">
        <v>672</v>
      </c>
    </row>
    <row r="741" spans="1:2" x14ac:dyDescent="0.2">
      <c r="A741" s="32"/>
      <c r="B741" s="3">
        <v>673</v>
      </c>
    </row>
    <row r="742" spans="1:2" x14ac:dyDescent="0.2">
      <c r="A742" s="32"/>
      <c r="B742" s="3">
        <v>674</v>
      </c>
    </row>
    <row r="743" spans="1:2" x14ac:dyDescent="0.2">
      <c r="A743" s="32"/>
      <c r="B743" s="3">
        <v>675</v>
      </c>
    </row>
    <row r="744" spans="1:2" x14ac:dyDescent="0.2">
      <c r="A744" s="32"/>
      <c r="B744" s="3">
        <v>676</v>
      </c>
    </row>
    <row r="745" spans="1:2" x14ac:dyDescent="0.2">
      <c r="A745" s="32"/>
      <c r="B745" s="3">
        <v>677</v>
      </c>
    </row>
    <row r="746" spans="1:2" x14ac:dyDescent="0.2">
      <c r="A746" s="32"/>
      <c r="B746" s="3">
        <v>678</v>
      </c>
    </row>
    <row r="747" spans="1:2" x14ac:dyDescent="0.2">
      <c r="A747" s="32"/>
      <c r="B747" s="3">
        <v>679</v>
      </c>
    </row>
    <row r="748" spans="1:2" x14ac:dyDescent="0.2">
      <c r="A748" s="32"/>
      <c r="B748" s="3">
        <v>680</v>
      </c>
    </row>
    <row r="749" spans="1:2" x14ac:dyDescent="0.2">
      <c r="A749" s="32"/>
      <c r="B749" s="3">
        <v>681</v>
      </c>
    </row>
    <row r="750" spans="1:2" x14ac:dyDescent="0.2">
      <c r="A750" s="32"/>
      <c r="B750" s="3">
        <v>682</v>
      </c>
    </row>
    <row r="751" spans="1:2" x14ac:dyDescent="0.2">
      <c r="A751" s="32"/>
      <c r="B751" s="3">
        <v>683</v>
      </c>
    </row>
    <row r="752" spans="1:2" x14ac:dyDescent="0.2">
      <c r="A752" s="32"/>
      <c r="B752" s="3">
        <v>684</v>
      </c>
    </row>
    <row r="753" spans="1:2" x14ac:dyDescent="0.2">
      <c r="A753" s="32"/>
      <c r="B753" s="3">
        <v>685</v>
      </c>
    </row>
    <row r="754" spans="1:2" x14ac:dyDescent="0.2">
      <c r="A754" s="32"/>
      <c r="B754" s="3">
        <v>686</v>
      </c>
    </row>
    <row r="755" spans="1:2" x14ac:dyDescent="0.2">
      <c r="A755" s="32"/>
      <c r="B755" s="3">
        <v>687</v>
      </c>
    </row>
    <row r="756" spans="1:2" x14ac:dyDescent="0.2">
      <c r="A756" s="32"/>
      <c r="B756" s="3">
        <v>688</v>
      </c>
    </row>
    <row r="757" spans="1:2" x14ac:dyDescent="0.2">
      <c r="A757" s="32"/>
      <c r="B757" s="3">
        <v>689</v>
      </c>
    </row>
    <row r="758" spans="1:2" x14ac:dyDescent="0.2">
      <c r="A758" s="32"/>
      <c r="B758" s="3">
        <v>690</v>
      </c>
    </row>
    <row r="759" spans="1:2" x14ac:dyDescent="0.2">
      <c r="A759" s="32"/>
      <c r="B759" s="3">
        <v>691</v>
      </c>
    </row>
    <row r="760" spans="1:2" x14ac:dyDescent="0.2">
      <c r="A760" s="32"/>
      <c r="B760" s="3">
        <v>692</v>
      </c>
    </row>
    <row r="761" spans="1:2" x14ac:dyDescent="0.2">
      <c r="A761" s="32"/>
      <c r="B761" s="3">
        <v>693</v>
      </c>
    </row>
    <row r="762" spans="1:2" x14ac:dyDescent="0.2">
      <c r="A762" s="32"/>
      <c r="B762" s="3">
        <v>694</v>
      </c>
    </row>
    <row r="763" spans="1:2" x14ac:dyDescent="0.2">
      <c r="A763" s="32"/>
      <c r="B763" s="3">
        <v>695</v>
      </c>
    </row>
    <row r="764" spans="1:2" x14ac:dyDescent="0.2">
      <c r="A764" s="32"/>
      <c r="B764" s="3">
        <v>696</v>
      </c>
    </row>
    <row r="765" spans="1:2" x14ac:dyDescent="0.2">
      <c r="A765" s="32"/>
      <c r="B765" s="3">
        <v>697</v>
      </c>
    </row>
    <row r="766" spans="1:2" x14ac:dyDescent="0.2">
      <c r="A766" s="32"/>
      <c r="B766" s="3">
        <v>698</v>
      </c>
    </row>
    <row r="767" spans="1:2" x14ac:dyDescent="0.2">
      <c r="A767" s="32"/>
      <c r="B767" s="3">
        <v>699</v>
      </c>
    </row>
    <row r="768" spans="1:2" x14ac:dyDescent="0.2">
      <c r="A768" s="32"/>
      <c r="B768" s="3">
        <v>700</v>
      </c>
    </row>
    <row r="769" spans="1:2" x14ac:dyDescent="0.2">
      <c r="A769" s="32"/>
      <c r="B769" s="3">
        <v>701</v>
      </c>
    </row>
    <row r="770" spans="1:2" x14ac:dyDescent="0.2">
      <c r="A770" s="32"/>
      <c r="B770" s="3">
        <v>702</v>
      </c>
    </row>
    <row r="771" spans="1:2" x14ac:dyDescent="0.2">
      <c r="A771" s="32"/>
      <c r="B771" s="3">
        <v>703</v>
      </c>
    </row>
    <row r="772" spans="1:2" x14ac:dyDescent="0.2">
      <c r="A772" s="32"/>
      <c r="B772" s="3">
        <v>704</v>
      </c>
    </row>
    <row r="773" spans="1:2" x14ac:dyDescent="0.2">
      <c r="A773" s="32"/>
      <c r="B773" s="3">
        <v>705</v>
      </c>
    </row>
    <row r="774" spans="1:2" x14ac:dyDescent="0.2">
      <c r="A774" s="32"/>
      <c r="B774" s="3">
        <v>706</v>
      </c>
    </row>
    <row r="775" spans="1:2" x14ac:dyDescent="0.2">
      <c r="A775" s="32"/>
      <c r="B775" s="3">
        <v>707</v>
      </c>
    </row>
    <row r="776" spans="1:2" x14ac:dyDescent="0.2">
      <c r="A776" s="32"/>
      <c r="B776" s="3">
        <v>708</v>
      </c>
    </row>
    <row r="777" spans="1:2" x14ac:dyDescent="0.2">
      <c r="A777" s="32"/>
      <c r="B777" s="3">
        <v>709</v>
      </c>
    </row>
    <row r="778" spans="1:2" x14ac:dyDescent="0.2">
      <c r="A778" s="32"/>
      <c r="B778" s="3">
        <v>710</v>
      </c>
    </row>
    <row r="779" spans="1:2" x14ac:dyDescent="0.2">
      <c r="A779" s="32"/>
      <c r="B779" s="3">
        <v>711</v>
      </c>
    </row>
    <row r="780" spans="1:2" x14ac:dyDescent="0.2">
      <c r="A780" s="32"/>
      <c r="B780" s="3">
        <v>712</v>
      </c>
    </row>
    <row r="781" spans="1:2" x14ac:dyDescent="0.2">
      <c r="A781" s="32"/>
      <c r="B781" s="3">
        <v>713</v>
      </c>
    </row>
    <row r="782" spans="1:2" x14ac:dyDescent="0.2">
      <c r="A782" s="32"/>
      <c r="B782" s="3">
        <v>714</v>
      </c>
    </row>
    <row r="783" spans="1:2" x14ac:dyDescent="0.2">
      <c r="A783" s="32"/>
      <c r="B783" s="3">
        <v>715</v>
      </c>
    </row>
    <row r="784" spans="1:2" x14ac:dyDescent="0.2">
      <c r="A784" s="32"/>
      <c r="B784" s="3">
        <v>716</v>
      </c>
    </row>
    <row r="785" spans="1:2" x14ac:dyDescent="0.2">
      <c r="A785" s="32"/>
      <c r="B785" s="3">
        <v>717</v>
      </c>
    </row>
    <row r="786" spans="1:2" x14ac:dyDescent="0.2">
      <c r="A786" s="32"/>
      <c r="B786" s="3">
        <v>718</v>
      </c>
    </row>
    <row r="787" spans="1:2" x14ac:dyDescent="0.2">
      <c r="A787" s="32"/>
      <c r="B787" s="3">
        <v>719</v>
      </c>
    </row>
    <row r="788" spans="1:2" x14ac:dyDescent="0.2">
      <c r="A788" s="32"/>
      <c r="B788" s="3">
        <v>720</v>
      </c>
    </row>
    <row r="789" spans="1:2" x14ac:dyDescent="0.2">
      <c r="A789" s="32"/>
      <c r="B789" s="3">
        <v>721</v>
      </c>
    </row>
    <row r="790" spans="1:2" x14ac:dyDescent="0.2">
      <c r="A790" s="32"/>
      <c r="B790" s="3">
        <v>722</v>
      </c>
    </row>
    <row r="791" spans="1:2" x14ac:dyDescent="0.2">
      <c r="A791" s="32"/>
      <c r="B791" s="3">
        <v>723</v>
      </c>
    </row>
    <row r="792" spans="1:2" x14ac:dyDescent="0.2">
      <c r="A792" s="32"/>
      <c r="B792" s="3">
        <v>724</v>
      </c>
    </row>
    <row r="793" spans="1:2" x14ac:dyDescent="0.2">
      <c r="A793" s="32"/>
      <c r="B793" s="3">
        <v>725</v>
      </c>
    </row>
    <row r="794" spans="1:2" x14ac:dyDescent="0.2">
      <c r="A794" s="32"/>
      <c r="B794" s="3">
        <v>726</v>
      </c>
    </row>
    <row r="795" spans="1:2" x14ac:dyDescent="0.2">
      <c r="A795" s="32"/>
      <c r="B795" s="3">
        <v>727</v>
      </c>
    </row>
    <row r="796" spans="1:2" x14ac:dyDescent="0.2">
      <c r="A796" s="32"/>
      <c r="B796" s="3">
        <v>728</v>
      </c>
    </row>
    <row r="797" spans="1:2" x14ac:dyDescent="0.2">
      <c r="A797" s="32"/>
      <c r="B797" s="3">
        <v>729</v>
      </c>
    </row>
    <row r="798" spans="1:2" x14ac:dyDescent="0.2">
      <c r="A798" s="32"/>
      <c r="B798" s="3">
        <v>730</v>
      </c>
    </row>
    <row r="799" spans="1:2" x14ac:dyDescent="0.2">
      <c r="A799" s="32"/>
      <c r="B799" s="3">
        <v>731</v>
      </c>
    </row>
    <row r="800" spans="1:2" x14ac:dyDescent="0.2">
      <c r="A800" s="32"/>
      <c r="B800" s="3">
        <v>732</v>
      </c>
    </row>
    <row r="801" spans="1:2" x14ac:dyDescent="0.2">
      <c r="A801" s="32"/>
      <c r="B801" s="3">
        <v>733</v>
      </c>
    </row>
    <row r="802" spans="1:2" x14ac:dyDescent="0.2">
      <c r="A802" s="32"/>
      <c r="B802" s="3">
        <v>734</v>
      </c>
    </row>
    <row r="803" spans="1:2" x14ac:dyDescent="0.2">
      <c r="A803" s="32"/>
      <c r="B803" s="3">
        <v>735</v>
      </c>
    </row>
    <row r="804" spans="1:2" x14ac:dyDescent="0.2">
      <c r="A804" s="32"/>
      <c r="B804" s="3">
        <v>736</v>
      </c>
    </row>
    <row r="805" spans="1:2" x14ac:dyDescent="0.2">
      <c r="A805" s="32"/>
      <c r="B805" s="3">
        <v>737</v>
      </c>
    </row>
    <row r="806" spans="1:2" x14ac:dyDescent="0.2">
      <c r="A806" s="32"/>
      <c r="B806" s="3">
        <v>738</v>
      </c>
    </row>
    <row r="807" spans="1:2" x14ac:dyDescent="0.2">
      <c r="A807" s="32"/>
      <c r="B807" s="3">
        <v>739</v>
      </c>
    </row>
    <row r="808" spans="1:2" x14ac:dyDescent="0.2">
      <c r="A808" s="32"/>
      <c r="B808" s="3">
        <v>740</v>
      </c>
    </row>
    <row r="809" spans="1:2" x14ac:dyDescent="0.2">
      <c r="A809" s="32"/>
      <c r="B809" s="3">
        <v>741</v>
      </c>
    </row>
    <row r="810" spans="1:2" x14ac:dyDescent="0.2">
      <c r="A810" s="32"/>
      <c r="B810" s="3">
        <v>742</v>
      </c>
    </row>
    <row r="811" spans="1:2" x14ac:dyDescent="0.2">
      <c r="A811" s="32"/>
      <c r="B811" s="3">
        <v>743</v>
      </c>
    </row>
    <row r="812" spans="1:2" x14ac:dyDescent="0.2">
      <c r="A812" s="32"/>
      <c r="B812" s="3">
        <v>744</v>
      </c>
    </row>
    <row r="813" spans="1:2" x14ac:dyDescent="0.2">
      <c r="A813" s="32"/>
      <c r="B813" s="3">
        <v>745</v>
      </c>
    </row>
    <row r="814" spans="1:2" x14ac:dyDescent="0.2">
      <c r="A814" s="32"/>
      <c r="B814" s="3">
        <v>746</v>
      </c>
    </row>
    <row r="815" spans="1:2" x14ac:dyDescent="0.2">
      <c r="A815" s="32"/>
      <c r="B815" s="3">
        <v>747</v>
      </c>
    </row>
    <row r="816" spans="1:2" x14ac:dyDescent="0.2">
      <c r="A816" s="32"/>
      <c r="B816" s="3">
        <v>748</v>
      </c>
    </row>
    <row r="817" spans="1:2" x14ac:dyDescent="0.2">
      <c r="A817" s="32"/>
      <c r="B817" s="3">
        <v>749</v>
      </c>
    </row>
    <row r="818" spans="1:2" x14ac:dyDescent="0.2">
      <c r="A818" s="32"/>
      <c r="B818" s="3">
        <v>750</v>
      </c>
    </row>
    <row r="819" spans="1:2" x14ac:dyDescent="0.2">
      <c r="A819" s="32"/>
      <c r="B819" s="3">
        <v>751</v>
      </c>
    </row>
    <row r="820" spans="1:2" x14ac:dyDescent="0.2">
      <c r="A820" s="32"/>
      <c r="B820" s="3">
        <v>752</v>
      </c>
    </row>
    <row r="821" spans="1:2" x14ac:dyDescent="0.2">
      <c r="A821" s="32"/>
      <c r="B821" s="3">
        <v>753</v>
      </c>
    </row>
    <row r="822" spans="1:2" x14ac:dyDescent="0.2">
      <c r="A822" s="32"/>
      <c r="B822" s="3">
        <v>754</v>
      </c>
    </row>
    <row r="823" spans="1:2" x14ac:dyDescent="0.2">
      <c r="A823" s="32"/>
      <c r="B823" s="3">
        <v>755</v>
      </c>
    </row>
    <row r="824" spans="1:2" x14ac:dyDescent="0.2">
      <c r="A824" s="32"/>
      <c r="B824" s="3">
        <v>756</v>
      </c>
    </row>
    <row r="825" spans="1:2" x14ac:dyDescent="0.2">
      <c r="A825" s="32"/>
      <c r="B825" s="3">
        <v>757</v>
      </c>
    </row>
    <row r="826" spans="1:2" x14ac:dyDescent="0.2">
      <c r="A826" s="32"/>
      <c r="B826" s="3">
        <v>758</v>
      </c>
    </row>
    <row r="827" spans="1:2" x14ac:dyDescent="0.2">
      <c r="A827" s="32"/>
      <c r="B827" s="3">
        <v>759</v>
      </c>
    </row>
    <row r="828" spans="1:2" x14ac:dyDescent="0.2">
      <c r="A828" s="32"/>
      <c r="B828" s="3">
        <v>760</v>
      </c>
    </row>
    <row r="829" spans="1:2" x14ac:dyDescent="0.2">
      <c r="A829" s="32"/>
      <c r="B829" s="3">
        <v>761</v>
      </c>
    </row>
    <row r="830" spans="1:2" x14ac:dyDescent="0.2">
      <c r="A830" s="32"/>
      <c r="B830" s="3">
        <v>762</v>
      </c>
    </row>
    <row r="831" spans="1:2" x14ac:dyDescent="0.2">
      <c r="A831" s="32"/>
      <c r="B831" s="3">
        <v>763</v>
      </c>
    </row>
    <row r="832" spans="1:2" x14ac:dyDescent="0.2">
      <c r="A832" s="32"/>
      <c r="B832" s="3">
        <v>764</v>
      </c>
    </row>
    <row r="833" spans="1:2" x14ac:dyDescent="0.2">
      <c r="A833" s="32"/>
      <c r="B833" s="3">
        <v>765</v>
      </c>
    </row>
    <row r="834" spans="1:2" x14ac:dyDescent="0.2">
      <c r="A834" s="32"/>
      <c r="B834" s="3">
        <v>766</v>
      </c>
    </row>
    <row r="835" spans="1:2" x14ac:dyDescent="0.2">
      <c r="A835" s="32"/>
      <c r="B835" s="3">
        <v>767</v>
      </c>
    </row>
    <row r="836" spans="1:2" x14ac:dyDescent="0.2">
      <c r="A836" s="32"/>
      <c r="B836" s="3">
        <v>768</v>
      </c>
    </row>
    <row r="837" spans="1:2" x14ac:dyDescent="0.2">
      <c r="A837" s="32"/>
      <c r="B837" s="3">
        <v>769</v>
      </c>
    </row>
    <row r="838" spans="1:2" x14ac:dyDescent="0.2">
      <c r="A838" s="32"/>
      <c r="B838" s="3">
        <v>770</v>
      </c>
    </row>
    <row r="839" spans="1:2" x14ac:dyDescent="0.2">
      <c r="A839" s="32"/>
      <c r="B839" s="3">
        <v>771</v>
      </c>
    </row>
    <row r="840" spans="1:2" x14ac:dyDescent="0.2">
      <c r="A840" s="32"/>
      <c r="B840" s="3">
        <v>772</v>
      </c>
    </row>
    <row r="841" spans="1:2" x14ac:dyDescent="0.2">
      <c r="A841" s="32"/>
      <c r="B841" s="3">
        <v>773</v>
      </c>
    </row>
    <row r="842" spans="1:2" x14ac:dyDescent="0.2">
      <c r="A842" s="32"/>
      <c r="B842" s="3">
        <v>774</v>
      </c>
    </row>
    <row r="843" spans="1:2" x14ac:dyDescent="0.2">
      <c r="A843" s="32"/>
      <c r="B843" s="3">
        <v>775</v>
      </c>
    </row>
    <row r="844" spans="1:2" x14ac:dyDescent="0.2">
      <c r="A844" s="32"/>
      <c r="B844" s="3">
        <v>776</v>
      </c>
    </row>
    <row r="845" spans="1:2" x14ac:dyDescent="0.2">
      <c r="A845" s="32"/>
      <c r="B845" s="3">
        <v>777</v>
      </c>
    </row>
    <row r="846" spans="1:2" x14ac:dyDescent="0.2">
      <c r="A846" s="32"/>
      <c r="B846" s="3">
        <v>778</v>
      </c>
    </row>
    <row r="847" spans="1:2" x14ac:dyDescent="0.2">
      <c r="A847" s="32"/>
      <c r="B847" s="3">
        <v>779</v>
      </c>
    </row>
    <row r="848" spans="1:2" x14ac:dyDescent="0.2">
      <c r="A848" s="32"/>
      <c r="B848" s="3">
        <v>780</v>
      </c>
    </row>
    <row r="849" spans="1:2" x14ac:dyDescent="0.2">
      <c r="A849" s="32"/>
      <c r="B849" s="3">
        <v>781</v>
      </c>
    </row>
    <row r="850" spans="1:2" x14ac:dyDescent="0.2">
      <c r="A850" s="32"/>
      <c r="B850" s="3">
        <v>782</v>
      </c>
    </row>
    <row r="851" spans="1:2" x14ac:dyDescent="0.2">
      <c r="A851" s="32"/>
      <c r="B851" s="3">
        <v>783</v>
      </c>
    </row>
    <row r="852" spans="1:2" x14ac:dyDescent="0.2">
      <c r="A852" s="32"/>
      <c r="B852" s="3">
        <v>784</v>
      </c>
    </row>
    <row r="853" spans="1:2" x14ac:dyDescent="0.2">
      <c r="A853" s="32"/>
      <c r="B853" s="3">
        <v>785</v>
      </c>
    </row>
    <row r="854" spans="1:2" x14ac:dyDescent="0.2">
      <c r="A854" s="32"/>
      <c r="B854" s="3">
        <v>786</v>
      </c>
    </row>
    <row r="855" spans="1:2" x14ac:dyDescent="0.2">
      <c r="A855" s="32"/>
      <c r="B855" s="3">
        <v>787</v>
      </c>
    </row>
    <row r="856" spans="1:2" x14ac:dyDescent="0.2">
      <c r="A856" s="32"/>
      <c r="B856" s="3">
        <v>788</v>
      </c>
    </row>
    <row r="857" spans="1:2" x14ac:dyDescent="0.2">
      <c r="A857" s="32"/>
      <c r="B857" s="3">
        <v>789</v>
      </c>
    </row>
    <row r="858" spans="1:2" x14ac:dyDescent="0.2">
      <c r="A858" s="32"/>
      <c r="B858" s="3">
        <v>790</v>
      </c>
    </row>
    <row r="859" spans="1:2" x14ac:dyDescent="0.2">
      <c r="A859" s="32"/>
      <c r="B859" s="3">
        <v>791</v>
      </c>
    </row>
    <row r="860" spans="1:2" x14ac:dyDescent="0.2">
      <c r="A860" s="32"/>
      <c r="B860" s="3">
        <v>792</v>
      </c>
    </row>
    <row r="861" spans="1:2" x14ac:dyDescent="0.2">
      <c r="A861" s="32"/>
      <c r="B861" s="3">
        <v>793</v>
      </c>
    </row>
    <row r="862" spans="1:2" x14ac:dyDescent="0.2">
      <c r="A862" s="32"/>
      <c r="B862" s="3">
        <v>794</v>
      </c>
    </row>
    <row r="863" spans="1:2" x14ac:dyDescent="0.2">
      <c r="A863" s="32"/>
      <c r="B863" s="3">
        <v>795</v>
      </c>
    </row>
    <row r="864" spans="1:2" x14ac:dyDescent="0.2">
      <c r="A864" s="32"/>
      <c r="B864" s="3">
        <v>796</v>
      </c>
    </row>
    <row r="865" spans="1:2" x14ac:dyDescent="0.2">
      <c r="A865" s="32"/>
      <c r="B865" s="3">
        <v>797</v>
      </c>
    </row>
    <row r="866" spans="1:2" x14ac:dyDescent="0.2">
      <c r="A866" s="32"/>
      <c r="B866" s="3">
        <v>798</v>
      </c>
    </row>
    <row r="867" spans="1:2" x14ac:dyDescent="0.2">
      <c r="A867" s="32"/>
      <c r="B867" s="3">
        <v>799</v>
      </c>
    </row>
    <row r="868" spans="1:2" x14ac:dyDescent="0.2">
      <c r="A868" s="32"/>
      <c r="B868" s="3">
        <v>800</v>
      </c>
    </row>
    <row r="869" spans="1:2" x14ac:dyDescent="0.2">
      <c r="A869" s="32"/>
      <c r="B869" s="3">
        <v>801</v>
      </c>
    </row>
    <row r="870" spans="1:2" x14ac:dyDescent="0.2">
      <c r="A870" s="32"/>
      <c r="B870" s="3">
        <v>802</v>
      </c>
    </row>
    <row r="871" spans="1:2" x14ac:dyDescent="0.2">
      <c r="A871" s="32"/>
      <c r="B871" s="3">
        <v>803</v>
      </c>
    </row>
    <row r="872" spans="1:2" x14ac:dyDescent="0.2">
      <c r="A872" s="32"/>
      <c r="B872" s="3">
        <v>804</v>
      </c>
    </row>
    <row r="873" spans="1:2" x14ac:dyDescent="0.2">
      <c r="A873" s="32"/>
      <c r="B873" s="3">
        <v>805</v>
      </c>
    </row>
    <row r="874" spans="1:2" x14ac:dyDescent="0.2">
      <c r="A874" s="32"/>
      <c r="B874" s="3">
        <v>806</v>
      </c>
    </row>
    <row r="875" spans="1:2" x14ac:dyDescent="0.2">
      <c r="A875" s="32"/>
      <c r="B875" s="3">
        <v>807</v>
      </c>
    </row>
    <row r="876" spans="1:2" x14ac:dyDescent="0.2">
      <c r="A876" s="32"/>
      <c r="B876" s="3">
        <v>808</v>
      </c>
    </row>
    <row r="877" spans="1:2" x14ac:dyDescent="0.2">
      <c r="A877" s="32"/>
      <c r="B877" s="3">
        <v>809</v>
      </c>
    </row>
    <row r="878" spans="1:2" x14ac:dyDescent="0.2">
      <c r="A878" s="32"/>
      <c r="B878" s="3">
        <v>810</v>
      </c>
    </row>
    <row r="879" spans="1:2" x14ac:dyDescent="0.2">
      <c r="A879" s="32"/>
      <c r="B879" s="3">
        <v>811</v>
      </c>
    </row>
    <row r="880" spans="1:2" x14ac:dyDescent="0.2">
      <c r="A880" s="32"/>
      <c r="B880" s="3">
        <v>812</v>
      </c>
    </row>
    <row r="881" spans="1:2" x14ac:dyDescent="0.2">
      <c r="A881" s="32"/>
      <c r="B881" s="3">
        <v>813</v>
      </c>
    </row>
    <row r="882" spans="1:2" x14ac:dyDescent="0.2">
      <c r="A882" s="32"/>
      <c r="B882" s="3">
        <v>814</v>
      </c>
    </row>
    <row r="883" spans="1:2" x14ac:dyDescent="0.2">
      <c r="A883" s="32"/>
      <c r="B883" s="3">
        <v>815</v>
      </c>
    </row>
    <row r="884" spans="1:2" x14ac:dyDescent="0.2">
      <c r="A884" s="32"/>
      <c r="B884" s="3">
        <v>816</v>
      </c>
    </row>
    <row r="885" spans="1:2" x14ac:dyDescent="0.2">
      <c r="A885" s="32"/>
      <c r="B885" s="3">
        <v>817</v>
      </c>
    </row>
    <row r="886" spans="1:2" x14ac:dyDescent="0.2">
      <c r="A886" s="32"/>
      <c r="B886" s="3">
        <v>818</v>
      </c>
    </row>
    <row r="887" spans="1:2" x14ac:dyDescent="0.2">
      <c r="A887" s="32"/>
      <c r="B887" s="3">
        <v>819</v>
      </c>
    </row>
    <row r="888" spans="1:2" x14ac:dyDescent="0.2">
      <c r="A888" s="32"/>
      <c r="B888" s="3">
        <v>820</v>
      </c>
    </row>
    <row r="889" spans="1:2" x14ac:dyDescent="0.2">
      <c r="A889" s="32"/>
      <c r="B889" s="3">
        <v>821</v>
      </c>
    </row>
    <row r="890" spans="1:2" x14ac:dyDescent="0.2">
      <c r="A890" s="32"/>
      <c r="B890" s="3">
        <v>822</v>
      </c>
    </row>
    <row r="891" spans="1:2" x14ac:dyDescent="0.2">
      <c r="A891" s="32"/>
      <c r="B891" s="3">
        <v>823</v>
      </c>
    </row>
    <row r="892" spans="1:2" x14ac:dyDescent="0.2">
      <c r="A892" s="32"/>
      <c r="B892" s="3">
        <v>824</v>
      </c>
    </row>
    <row r="893" spans="1:2" x14ac:dyDescent="0.2">
      <c r="A893" s="32"/>
      <c r="B893" s="3">
        <v>825</v>
      </c>
    </row>
    <row r="894" spans="1:2" x14ac:dyDescent="0.2">
      <c r="A894" s="32"/>
      <c r="B894" s="3">
        <v>826</v>
      </c>
    </row>
    <row r="895" spans="1:2" x14ac:dyDescent="0.2">
      <c r="A895" s="32"/>
      <c r="B895" s="3">
        <v>827</v>
      </c>
    </row>
    <row r="896" spans="1:2" x14ac:dyDescent="0.2">
      <c r="A896" s="32"/>
      <c r="B896" s="3">
        <v>828</v>
      </c>
    </row>
    <row r="897" spans="1:2" x14ac:dyDescent="0.2">
      <c r="A897" s="32"/>
      <c r="B897" s="3">
        <v>829</v>
      </c>
    </row>
    <row r="898" spans="1:2" x14ac:dyDescent="0.2">
      <c r="A898" s="32"/>
      <c r="B898" s="3">
        <v>830</v>
      </c>
    </row>
    <row r="899" spans="1:2" x14ac:dyDescent="0.2">
      <c r="A899" s="32"/>
      <c r="B899" s="3">
        <v>831</v>
      </c>
    </row>
    <row r="900" spans="1:2" x14ac:dyDescent="0.2">
      <c r="A900" s="32"/>
      <c r="B900" s="3">
        <v>832</v>
      </c>
    </row>
    <row r="901" spans="1:2" x14ac:dyDescent="0.2">
      <c r="A901" s="32"/>
      <c r="B901" s="3">
        <v>833</v>
      </c>
    </row>
    <row r="902" spans="1:2" x14ac:dyDescent="0.2">
      <c r="A902" s="32"/>
      <c r="B902" s="3">
        <v>834</v>
      </c>
    </row>
    <row r="903" spans="1:2" x14ac:dyDescent="0.2">
      <c r="A903" s="32"/>
      <c r="B903" s="3">
        <v>835</v>
      </c>
    </row>
    <row r="904" spans="1:2" x14ac:dyDescent="0.2">
      <c r="A904" s="32"/>
      <c r="B904" s="3">
        <v>836</v>
      </c>
    </row>
    <row r="905" spans="1:2" x14ac:dyDescent="0.2">
      <c r="A905" s="32"/>
      <c r="B905" s="3">
        <v>837</v>
      </c>
    </row>
    <row r="906" spans="1:2" x14ac:dyDescent="0.2">
      <c r="A906" s="32"/>
      <c r="B906" s="3">
        <v>838</v>
      </c>
    </row>
    <row r="907" spans="1:2" x14ac:dyDescent="0.2">
      <c r="A907" s="32"/>
      <c r="B907" s="3">
        <v>839</v>
      </c>
    </row>
    <row r="908" spans="1:2" x14ac:dyDescent="0.2">
      <c r="A908" s="32"/>
      <c r="B908" s="3">
        <v>840</v>
      </c>
    </row>
    <row r="909" spans="1:2" x14ac:dyDescent="0.2">
      <c r="A909" s="32"/>
      <c r="B909" s="3">
        <v>841</v>
      </c>
    </row>
    <row r="910" spans="1:2" x14ac:dyDescent="0.2">
      <c r="A910" s="32"/>
      <c r="B910" s="3">
        <v>842</v>
      </c>
    </row>
    <row r="911" spans="1:2" x14ac:dyDescent="0.2">
      <c r="A911" s="32"/>
      <c r="B911" s="3">
        <v>843</v>
      </c>
    </row>
    <row r="912" spans="1:2" x14ac:dyDescent="0.2">
      <c r="A912" s="32"/>
      <c r="B912" s="3">
        <v>844</v>
      </c>
    </row>
    <row r="913" spans="1:2" x14ac:dyDescent="0.2">
      <c r="A913" s="32"/>
      <c r="B913" s="3">
        <v>845</v>
      </c>
    </row>
    <row r="914" spans="1:2" x14ac:dyDescent="0.2">
      <c r="A914" s="32"/>
      <c r="B914" s="3">
        <v>846</v>
      </c>
    </row>
    <row r="915" spans="1:2" x14ac:dyDescent="0.2">
      <c r="A915" s="32"/>
      <c r="B915" s="3">
        <v>847</v>
      </c>
    </row>
    <row r="916" spans="1:2" x14ac:dyDescent="0.2">
      <c r="A916" s="32"/>
      <c r="B916" s="3">
        <v>848</v>
      </c>
    </row>
    <row r="917" spans="1:2" x14ac:dyDescent="0.2">
      <c r="A917" s="32"/>
      <c r="B917" s="3">
        <v>849</v>
      </c>
    </row>
    <row r="918" spans="1:2" x14ac:dyDescent="0.2">
      <c r="A918" s="32"/>
      <c r="B918" s="3">
        <v>850</v>
      </c>
    </row>
    <row r="919" spans="1:2" x14ac:dyDescent="0.2">
      <c r="A919" s="32"/>
      <c r="B919" s="3">
        <v>851</v>
      </c>
    </row>
    <row r="920" spans="1:2" x14ac:dyDescent="0.2">
      <c r="A920" s="32"/>
      <c r="B920" s="3">
        <v>852</v>
      </c>
    </row>
    <row r="921" spans="1:2" x14ac:dyDescent="0.2">
      <c r="A921" s="32"/>
      <c r="B921" s="3">
        <v>853</v>
      </c>
    </row>
    <row r="922" spans="1:2" x14ac:dyDescent="0.2">
      <c r="A922" s="32"/>
      <c r="B922" s="3">
        <v>854</v>
      </c>
    </row>
    <row r="923" spans="1:2" x14ac:dyDescent="0.2">
      <c r="A923" s="32"/>
      <c r="B923" s="3">
        <v>855</v>
      </c>
    </row>
    <row r="924" spans="1:2" x14ac:dyDescent="0.2">
      <c r="A924" s="32"/>
      <c r="B924" s="3">
        <v>856</v>
      </c>
    </row>
    <row r="925" spans="1:2" x14ac:dyDescent="0.2">
      <c r="A925" s="32"/>
      <c r="B925" s="3">
        <v>857</v>
      </c>
    </row>
    <row r="926" spans="1:2" x14ac:dyDescent="0.2">
      <c r="A926" s="32"/>
      <c r="B926" s="3">
        <v>858</v>
      </c>
    </row>
    <row r="927" spans="1:2" x14ac:dyDescent="0.2">
      <c r="A927" s="32"/>
      <c r="B927" s="3">
        <v>859</v>
      </c>
    </row>
    <row r="928" spans="1:2" x14ac:dyDescent="0.2">
      <c r="A928" s="32"/>
      <c r="B928" s="3">
        <v>860</v>
      </c>
    </row>
    <row r="929" spans="1:2" x14ac:dyDescent="0.2">
      <c r="A929" s="32"/>
      <c r="B929" s="3">
        <v>861</v>
      </c>
    </row>
    <row r="930" spans="1:2" x14ac:dyDescent="0.2">
      <c r="A930" s="32"/>
      <c r="B930" s="3">
        <v>862</v>
      </c>
    </row>
    <row r="931" spans="1:2" x14ac:dyDescent="0.2">
      <c r="A931" s="32"/>
      <c r="B931" s="3">
        <v>863</v>
      </c>
    </row>
    <row r="932" spans="1:2" x14ac:dyDescent="0.2">
      <c r="A932" s="32"/>
      <c r="B932" s="3">
        <v>864</v>
      </c>
    </row>
    <row r="933" spans="1:2" x14ac:dyDescent="0.2">
      <c r="A933" s="32"/>
      <c r="B933" s="3">
        <v>865</v>
      </c>
    </row>
    <row r="934" spans="1:2" x14ac:dyDescent="0.2">
      <c r="A934" s="32"/>
      <c r="B934" s="3">
        <v>866</v>
      </c>
    </row>
    <row r="935" spans="1:2" x14ac:dyDescent="0.2">
      <c r="A935" s="32"/>
      <c r="B935" s="3">
        <v>867</v>
      </c>
    </row>
    <row r="936" spans="1:2" x14ac:dyDescent="0.2">
      <c r="A936" s="32"/>
      <c r="B936" s="3">
        <v>868</v>
      </c>
    </row>
    <row r="937" spans="1:2" x14ac:dyDescent="0.2">
      <c r="A937" s="32"/>
      <c r="B937" s="3">
        <v>869</v>
      </c>
    </row>
    <row r="938" spans="1:2" x14ac:dyDescent="0.2">
      <c r="A938" s="32"/>
      <c r="B938" s="3">
        <v>870</v>
      </c>
    </row>
    <row r="939" spans="1:2" x14ac:dyDescent="0.2">
      <c r="A939" s="32"/>
      <c r="B939" s="3">
        <v>871</v>
      </c>
    </row>
    <row r="940" spans="1:2" x14ac:dyDescent="0.2">
      <c r="A940" s="32"/>
      <c r="B940" s="3">
        <v>872</v>
      </c>
    </row>
    <row r="941" spans="1:2" x14ac:dyDescent="0.2">
      <c r="A941" s="32"/>
      <c r="B941" s="3">
        <v>873</v>
      </c>
    </row>
    <row r="942" spans="1:2" x14ac:dyDescent="0.2">
      <c r="A942" s="32"/>
      <c r="B942" s="3">
        <v>874</v>
      </c>
    </row>
    <row r="943" spans="1:2" x14ac:dyDescent="0.2">
      <c r="A943" s="32"/>
      <c r="B943" s="3">
        <v>875</v>
      </c>
    </row>
    <row r="944" spans="1:2" x14ac:dyDescent="0.2">
      <c r="A944" s="32"/>
      <c r="B944" s="3">
        <v>876</v>
      </c>
    </row>
    <row r="945" spans="1:2" x14ac:dyDescent="0.2">
      <c r="A945" s="32"/>
      <c r="B945" s="3">
        <v>877</v>
      </c>
    </row>
    <row r="946" spans="1:2" x14ac:dyDescent="0.2">
      <c r="A946" s="32"/>
      <c r="B946" s="3">
        <v>878</v>
      </c>
    </row>
    <row r="947" spans="1:2" x14ac:dyDescent="0.2">
      <c r="A947" s="32"/>
      <c r="B947" s="3">
        <v>879</v>
      </c>
    </row>
    <row r="948" spans="1:2" x14ac:dyDescent="0.2">
      <c r="A948" s="32"/>
      <c r="B948" s="3">
        <v>880</v>
      </c>
    </row>
    <row r="949" spans="1:2" x14ac:dyDescent="0.2">
      <c r="A949" s="32"/>
      <c r="B949" s="3">
        <v>881</v>
      </c>
    </row>
    <row r="950" spans="1:2" x14ac:dyDescent="0.2">
      <c r="A950" s="32"/>
      <c r="B950" s="3">
        <v>882</v>
      </c>
    </row>
    <row r="951" spans="1:2" x14ac:dyDescent="0.2">
      <c r="A951" s="32"/>
      <c r="B951" s="3">
        <v>883</v>
      </c>
    </row>
    <row r="952" spans="1:2" x14ac:dyDescent="0.2">
      <c r="A952" s="32"/>
      <c r="B952" s="3">
        <v>884</v>
      </c>
    </row>
    <row r="953" spans="1:2" x14ac:dyDescent="0.2">
      <c r="A953" s="32"/>
      <c r="B953" s="3">
        <v>885</v>
      </c>
    </row>
    <row r="954" spans="1:2" x14ac:dyDescent="0.2">
      <c r="A954" s="32"/>
      <c r="B954" s="3">
        <v>886</v>
      </c>
    </row>
    <row r="955" spans="1:2" x14ac:dyDescent="0.2">
      <c r="A955" s="32"/>
      <c r="B955" s="3">
        <v>887</v>
      </c>
    </row>
    <row r="956" spans="1:2" x14ac:dyDescent="0.2">
      <c r="A956" s="32"/>
      <c r="B956" s="3">
        <v>888</v>
      </c>
    </row>
    <row r="957" spans="1:2" x14ac:dyDescent="0.2">
      <c r="A957" s="32"/>
      <c r="B957" s="3">
        <v>889</v>
      </c>
    </row>
    <row r="958" spans="1:2" x14ac:dyDescent="0.2">
      <c r="A958" s="32"/>
      <c r="B958" s="3">
        <v>890</v>
      </c>
    </row>
    <row r="959" spans="1:2" x14ac:dyDescent="0.2">
      <c r="A959" s="32"/>
      <c r="B959" s="3">
        <v>891</v>
      </c>
    </row>
    <row r="960" spans="1:2" x14ac:dyDescent="0.2">
      <c r="A960" s="32"/>
      <c r="B960" s="3">
        <v>892</v>
      </c>
    </row>
    <row r="961" spans="1:2" x14ac:dyDescent="0.2">
      <c r="A961" s="32"/>
      <c r="B961" s="3">
        <v>893</v>
      </c>
    </row>
    <row r="962" spans="1:2" x14ac:dyDescent="0.2">
      <c r="A962" s="32"/>
      <c r="B962" s="3">
        <v>894</v>
      </c>
    </row>
    <row r="963" spans="1:2" x14ac:dyDescent="0.2">
      <c r="A963" s="32"/>
      <c r="B963" s="3">
        <v>895</v>
      </c>
    </row>
    <row r="964" spans="1:2" x14ac:dyDescent="0.2">
      <c r="A964" s="32"/>
      <c r="B964" s="3">
        <v>896</v>
      </c>
    </row>
    <row r="965" spans="1:2" x14ac:dyDescent="0.2">
      <c r="A965" s="32"/>
      <c r="B965" s="3">
        <v>897</v>
      </c>
    </row>
    <row r="966" spans="1:2" x14ac:dyDescent="0.2">
      <c r="A966" s="32"/>
      <c r="B966" s="3">
        <v>898</v>
      </c>
    </row>
    <row r="967" spans="1:2" x14ac:dyDescent="0.2">
      <c r="A967" s="32"/>
      <c r="B967" s="3">
        <v>899</v>
      </c>
    </row>
    <row r="968" spans="1:2" x14ac:dyDescent="0.2">
      <c r="A968" s="32"/>
      <c r="B968" s="3">
        <v>900</v>
      </c>
    </row>
    <row r="969" spans="1:2" x14ac:dyDescent="0.2">
      <c r="A969" s="32"/>
      <c r="B969" s="3">
        <v>901</v>
      </c>
    </row>
    <row r="970" spans="1:2" x14ac:dyDescent="0.2">
      <c r="A970" s="32"/>
      <c r="B970" s="3">
        <v>902</v>
      </c>
    </row>
    <row r="971" spans="1:2" x14ac:dyDescent="0.2">
      <c r="A971" s="32"/>
      <c r="B971" s="3">
        <v>903</v>
      </c>
    </row>
    <row r="972" spans="1:2" x14ac:dyDescent="0.2">
      <c r="A972" s="32"/>
      <c r="B972" s="3">
        <v>904</v>
      </c>
    </row>
    <row r="973" spans="1:2" x14ac:dyDescent="0.2">
      <c r="A973" s="32"/>
      <c r="B973" s="3">
        <v>905</v>
      </c>
    </row>
    <row r="974" spans="1:2" x14ac:dyDescent="0.2">
      <c r="A974" s="32"/>
      <c r="B974" s="3">
        <v>906</v>
      </c>
    </row>
    <row r="975" spans="1:2" x14ac:dyDescent="0.2">
      <c r="A975" s="32"/>
      <c r="B975" s="3">
        <v>907</v>
      </c>
    </row>
    <row r="976" spans="1:2" x14ac:dyDescent="0.2">
      <c r="A976" s="32"/>
      <c r="B976" s="3">
        <v>908</v>
      </c>
    </row>
    <row r="977" spans="1:2" x14ac:dyDescent="0.2">
      <c r="A977" s="32"/>
      <c r="B977" s="3">
        <v>909</v>
      </c>
    </row>
    <row r="978" spans="1:2" x14ac:dyDescent="0.2">
      <c r="A978" s="32"/>
      <c r="B978" s="3">
        <v>910</v>
      </c>
    </row>
    <row r="979" spans="1:2" x14ac:dyDescent="0.2">
      <c r="A979" s="32"/>
      <c r="B979" s="3">
        <v>911</v>
      </c>
    </row>
    <row r="980" spans="1:2" x14ac:dyDescent="0.2">
      <c r="A980" s="32"/>
      <c r="B980" s="3">
        <v>912</v>
      </c>
    </row>
    <row r="981" spans="1:2" x14ac:dyDescent="0.2">
      <c r="A981" s="32"/>
      <c r="B981" s="3">
        <v>913</v>
      </c>
    </row>
    <row r="982" spans="1:2" x14ac:dyDescent="0.2">
      <c r="A982" s="32"/>
      <c r="B982" s="3">
        <v>914</v>
      </c>
    </row>
    <row r="983" spans="1:2" x14ac:dyDescent="0.2">
      <c r="A983" s="32"/>
      <c r="B983" s="3">
        <v>915</v>
      </c>
    </row>
    <row r="984" spans="1:2" x14ac:dyDescent="0.2">
      <c r="A984" s="32"/>
      <c r="B984" s="3">
        <v>916</v>
      </c>
    </row>
    <row r="985" spans="1:2" x14ac:dyDescent="0.2">
      <c r="A985" s="32"/>
      <c r="B985" s="3">
        <v>917</v>
      </c>
    </row>
    <row r="986" spans="1:2" x14ac:dyDescent="0.2">
      <c r="A986" s="32"/>
      <c r="B986" s="3">
        <v>918</v>
      </c>
    </row>
    <row r="987" spans="1:2" ht="13.5" thickBot="1" x14ac:dyDescent="0.25">
      <c r="A987" s="33"/>
      <c r="B987" s="2">
        <v>919</v>
      </c>
    </row>
    <row r="988" spans="1:2" ht="13.5" thickTop="1" x14ac:dyDescent="0.2"/>
  </sheetData>
  <sheetProtection password="83AF" sheet="1" objects="1" scenarios="1" formatRows="0"/>
  <mergeCells count="3">
    <mergeCell ref="AI3:AT3"/>
    <mergeCell ref="AI31:AK31"/>
    <mergeCell ref="AD1:AE1"/>
  </mergeCells>
  <phoneticPr fontId="4" type="noConversion"/>
  <conditionalFormatting sqref="AW36">
    <cfRule type="cellIs" dxfId="1" priority="1" stopIfTrue="1" operator="equal">
      <formula>"caution"</formula>
    </cfRule>
    <cfRule type="cellIs" dxfId="0" priority="2" stopIfTrue="1" operator="equal">
      <formula>""</formula>
    </cfRule>
  </conditionalFormatting>
  <hyperlinks>
    <hyperlink ref="G471" r:id="rId1" display="=@sum(G63:G469"/>
  </hyperlinks>
  <printOptions gridLines="1"/>
  <pageMargins left="0.75" right="0.75" top="0.6" bottom="0.5" header="0.5" footer="0.5"/>
  <pageSetup scale="70" orientation="landscape" horizontalDpi="1200" verticalDpi="12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TITLE PAGE</vt:lpstr>
      <vt:lpstr>LOCATION</vt:lpstr>
      <vt:lpstr>LEASEHOLDER Provided Data</vt:lpstr>
      <vt:lpstr>METOCEAN</vt:lpstr>
      <vt:lpstr>GEOTECH</vt:lpstr>
      <vt:lpstr>STRUCTURE</vt:lpstr>
      <vt:lpstr>OPTIONAL NTL INFO</vt:lpstr>
      <vt:lpstr>ASSESSMENT RESULTS</vt:lpstr>
      <vt:lpstr>Factors</vt:lpstr>
      <vt:lpstr>Equations</vt:lpstr>
      <vt:lpstr>Zone Wind Speeds</vt:lpstr>
      <vt:lpstr>'ASSESSMENT RESULTS'!Print_Area</vt:lpstr>
      <vt:lpstr>Equations!Print_Area</vt:lpstr>
      <vt:lpstr>GEOTECH!Print_Area</vt:lpstr>
      <vt:lpstr>'LEASEHOLDER Provided Data'!Print_Area</vt:lpstr>
      <vt:lpstr>LOCATION!Print_Area</vt:lpstr>
      <vt:lpstr>METOCEAN!Print_Area</vt:lpstr>
      <vt:lpstr>'OPTIONAL NTL INFO'!Print_Area</vt:lpstr>
      <vt:lpstr>STRUCTURE!Print_Area</vt:lpstr>
      <vt:lpstr>'TITLE PAGE'!Print_Area</vt:lpstr>
      <vt:lpstr>'ASSESSMENT RESULTS'!Print_Titles</vt:lpstr>
      <vt:lpstr>GEOTECH!Print_Titles</vt:lpstr>
      <vt:lpstr>'LEASEHOLDER Provided Data'!Print_Titles</vt:lpstr>
    </vt:vector>
  </TitlesOfParts>
  <Company>Frontier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Malcolm Sharples</dc:creator>
  <cp:lastModifiedBy>Reibeling, Richard J</cp:lastModifiedBy>
  <cp:lastPrinted>2009-03-24T23:05:09Z</cp:lastPrinted>
  <dcterms:created xsi:type="dcterms:W3CDTF">2008-08-02T18:24:10Z</dcterms:created>
  <dcterms:modified xsi:type="dcterms:W3CDTF">2017-02-06T15:42:07Z</dcterms:modified>
</cp:coreProperties>
</file>