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30" windowWidth="11460" windowHeight="5505" tabRatio="811"/>
  </bookViews>
  <sheets>
    <sheet name="TITLE PAGE" sheetId="13" r:id="rId1"/>
    <sheet name="LOCATION" sheetId="4" r:id="rId2"/>
    <sheet name="LEASEHOLDER Provided Data" sheetId="12" r:id="rId3"/>
    <sheet name="METOCEAN" sheetId="6" r:id="rId4"/>
    <sheet name="GEOTECH" sheetId="7" r:id="rId5"/>
    <sheet name="STRUCTURE" sheetId="9" r:id="rId6"/>
    <sheet name="OPTIONAL NTL INFO" sheetId="14" r:id="rId7"/>
    <sheet name="ASSESSMENT RESULTS" sheetId="8" r:id="rId8"/>
    <sheet name="Factors" sheetId="5" r:id="rId9"/>
    <sheet name="Equations" sheetId="11" r:id="rId10"/>
    <sheet name="Zone Wind Speeds" sheetId="10" r:id="rId11"/>
  </sheets>
  <definedNames>
    <definedName name="_xlnm.Print_Area" localSheetId="7">'ASSESSMENT RESULTS'!$A$1:$C$83</definedName>
    <definedName name="_xlnm.Print_Area" localSheetId="9">Equations!$A$1:$I$50</definedName>
    <definedName name="_xlnm.Print_Area" localSheetId="4">GEOTECH!$A$1:$D$37</definedName>
    <definedName name="_xlnm.Print_Area" localSheetId="2">'LEASEHOLDER Provided Data'!$A$1:$I$62</definedName>
    <definedName name="_xlnm.Print_Area" localSheetId="1">LOCATION!$A$1:$I$51</definedName>
    <definedName name="_xlnm.Print_Area" localSheetId="3">METOCEAN!$A$1:$G$58</definedName>
    <definedName name="_xlnm.Print_Area" localSheetId="6">'OPTIONAL NTL INFO'!$A$1:$G$12</definedName>
    <definedName name="_xlnm.Print_Area" localSheetId="5">STRUCTURE!$A$1:$H$41</definedName>
    <definedName name="_xlnm.Print_Area" localSheetId="0">'TITLE PAGE'!$A$1:$G$29</definedName>
    <definedName name="_xlnm.Print_Titles" localSheetId="7">'ASSESSMENT RESULTS'!$2:$2</definedName>
    <definedName name="_xlnm.Print_Titles" localSheetId="8">Factors!#REF!</definedName>
    <definedName name="_xlnm.Print_Titles" localSheetId="4">GEOTECH!$2:$4</definedName>
    <definedName name="_xlnm.Print_Titles" localSheetId="2">'LEASEHOLDER Provided Data'!$1:$2</definedName>
  </definedNames>
  <calcPr calcId="145621" fullCalcOnLoad="1"/>
</workbook>
</file>

<file path=xl/calcChain.xml><?xml version="1.0" encoding="utf-8"?>
<calcChain xmlns="http://schemas.openxmlformats.org/spreadsheetml/2006/main">
  <c r="G26" i="9" l="1"/>
  <c r="G32" i="9"/>
  <c r="G31" i="9"/>
  <c r="G29" i="9"/>
  <c r="G28" i="9"/>
  <c r="A29" i="7"/>
  <c r="B48" i="4"/>
  <c r="B45" i="4"/>
  <c r="B39" i="8"/>
  <c r="C27" i="6"/>
  <c r="G36" i="5"/>
  <c r="H36" i="5" s="1"/>
  <c r="F40" i="5"/>
  <c r="F45" i="5"/>
  <c r="G37" i="5"/>
  <c r="H37" i="5" s="1"/>
  <c r="E21" i="12"/>
  <c r="D36" i="12" s="1"/>
  <c r="B57" i="8"/>
  <c r="C23" i="8"/>
  <c r="B23" i="8"/>
  <c r="C44" i="8"/>
  <c r="G48" i="4"/>
  <c r="C78" i="8"/>
  <c r="D33" i="7"/>
  <c r="C77" i="8"/>
  <c r="C75" i="8"/>
  <c r="C74" i="8"/>
  <c r="C73" i="8"/>
  <c r="C72" i="8"/>
  <c r="C71" i="8"/>
  <c r="C68" i="8"/>
  <c r="D18" i="7"/>
  <c r="C67" i="8" s="1"/>
  <c r="C66" i="8"/>
  <c r="C65" i="8"/>
  <c r="C64" i="8"/>
  <c r="C63" i="8"/>
  <c r="C62" i="8"/>
  <c r="D16" i="7"/>
  <c r="C61" i="8" s="1"/>
  <c r="D15" i="7"/>
  <c r="C60" i="8"/>
  <c r="F34" i="4"/>
  <c r="C4" i="6"/>
  <c r="B12" i="11"/>
  <c r="B13" i="11" s="1"/>
  <c r="B14" i="11"/>
  <c r="C14" i="6"/>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C11" i="6" s="1"/>
  <c r="C7" i="6"/>
  <c r="C8" i="6"/>
  <c r="E12" i="4"/>
  <c r="F11" i="11"/>
  <c r="H15" i="11"/>
  <c r="I15" i="11"/>
  <c r="H17" i="11"/>
  <c r="I17" i="11" s="1"/>
  <c r="H19" i="11"/>
  <c r="I19" i="11"/>
  <c r="D19" i="7"/>
  <c r="D25" i="7"/>
  <c r="D24" i="7"/>
  <c r="D36" i="7"/>
  <c r="D30" i="7"/>
  <c r="C4" i="10"/>
  <c r="C5" i="10"/>
  <c r="C6" i="10"/>
  <c r="C10" i="10"/>
  <c r="C11" i="10"/>
  <c r="C12" i="10"/>
  <c r="C16" i="10"/>
  <c r="C17" i="10"/>
  <c r="C18" i="10"/>
  <c r="C22" i="10"/>
  <c r="C23" i="10"/>
  <c r="C24" i="10"/>
  <c r="B4" i="11"/>
  <c r="B5" i="11"/>
  <c r="B6" i="11"/>
  <c r="B8" i="11"/>
  <c r="B9" i="11"/>
  <c r="B10" i="11"/>
  <c r="B21" i="11"/>
  <c r="B22" i="11"/>
  <c r="B23" i="11"/>
  <c r="N4" i="5"/>
  <c r="N5" i="5"/>
  <c r="P5" i="5"/>
  <c r="N6" i="5"/>
  <c r="N152" i="5" s="1"/>
  <c r="N7" i="5"/>
  <c r="P7" i="5"/>
  <c r="N8" i="5"/>
  <c r="P8" i="5"/>
  <c r="C9" i="6" s="1"/>
  <c r="N9" i="5"/>
  <c r="N10" i="5"/>
  <c r="N11" i="5"/>
  <c r="N12" i="5"/>
  <c r="N13" i="5"/>
  <c r="N14" i="5"/>
  <c r="N15" i="5"/>
  <c r="T18" i="5"/>
  <c r="V15" i="5" s="1"/>
  <c r="V19" i="5"/>
  <c r="N16" i="5"/>
  <c r="N17" i="5"/>
  <c r="N18" i="5"/>
  <c r="N19" i="5"/>
  <c r="P19" i="5"/>
  <c r="N20" i="5"/>
  <c r="P20" i="5"/>
  <c r="N21" i="5"/>
  <c r="P21" i="5"/>
  <c r="V21" i="5"/>
  <c r="G48" i="6" s="1"/>
  <c r="N22" i="5"/>
  <c r="P22" i="5"/>
  <c r="N23" i="5"/>
  <c r="P23" i="5"/>
  <c r="N24" i="5"/>
  <c r="P24" i="5"/>
  <c r="N25" i="5"/>
  <c r="P25" i="5"/>
  <c r="N26" i="5"/>
  <c r="N27" i="5"/>
  <c r="N28" i="5"/>
  <c r="N29" i="5"/>
  <c r="N30" i="5"/>
  <c r="N31" i="5"/>
  <c r="N32" i="5"/>
  <c r="N33" i="5"/>
  <c r="N34" i="5"/>
  <c r="N35" i="5"/>
  <c r="N36" i="5"/>
  <c r="N37" i="5"/>
  <c r="N38" i="5"/>
  <c r="N39" i="5"/>
  <c r="N40" i="5"/>
  <c r="F41" i="5"/>
  <c r="N41" i="5"/>
  <c r="F42" i="5"/>
  <c r="N42" i="5"/>
  <c r="F43" i="5"/>
  <c r="N43" i="5"/>
  <c r="F44"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L152" i="5"/>
  <c r="L153" i="5"/>
  <c r="B4" i="8"/>
  <c r="B5" i="8"/>
  <c r="B6" i="8"/>
  <c r="B7" i="8"/>
  <c r="B8" i="8"/>
  <c r="B9" i="8"/>
  <c r="B10" i="8"/>
  <c r="B11" i="8"/>
  <c r="B12" i="8"/>
  <c r="B13" i="8"/>
  <c r="B14" i="8"/>
  <c r="B15" i="8"/>
  <c r="D25" i="4"/>
  <c r="B16" i="8"/>
  <c r="C21" i="8"/>
  <c r="C24" i="8"/>
  <c r="G9" i="9"/>
  <c r="G7" i="9"/>
  <c r="G5" i="9" s="1"/>
  <c r="G6" i="9"/>
  <c r="G8" i="9"/>
  <c r="B21" i="7"/>
  <c r="G10" i="9"/>
  <c r="B26" i="8"/>
  <c r="C26" i="8"/>
  <c r="B27" i="8"/>
  <c r="C27" i="8"/>
  <c r="B28" i="8"/>
  <c r="C9" i="7"/>
  <c r="B29" i="8"/>
  <c r="C29" i="8"/>
  <c r="B30" i="8"/>
  <c r="B31" i="8"/>
  <c r="C31" i="8"/>
  <c r="B32" i="8"/>
  <c r="C32" i="8"/>
  <c r="A35" i="8"/>
  <c r="B35" i="8"/>
  <c r="C35" i="8"/>
  <c r="A36" i="8"/>
  <c r="B36" i="8"/>
  <c r="C36" i="8"/>
  <c r="A37" i="8"/>
  <c r="B37" i="8"/>
  <c r="C37" i="8"/>
  <c r="A38" i="8"/>
  <c r="B38" i="8"/>
  <c r="C38" i="8"/>
  <c r="A39" i="8"/>
  <c r="C39" i="8"/>
  <c r="C40" i="8"/>
  <c r="A43" i="8"/>
  <c r="A44" i="8"/>
  <c r="B44" i="8"/>
  <c r="B46" i="8"/>
  <c r="B47" i="8"/>
  <c r="C29" i="6"/>
  <c r="B48" i="8"/>
  <c r="B52" i="8"/>
  <c r="A56" i="8"/>
  <c r="B56" i="8"/>
  <c r="C56" i="8"/>
  <c r="C57" i="8"/>
  <c r="B15" i="7"/>
  <c r="A60" i="8" s="1"/>
  <c r="B60" i="8"/>
  <c r="A61" i="8"/>
  <c r="A62" i="8"/>
  <c r="B62" i="8"/>
  <c r="A63" i="8"/>
  <c r="B63" i="8"/>
  <c r="A64" i="8"/>
  <c r="A65" i="8"/>
  <c r="B65" i="8"/>
  <c r="A66" i="8"/>
  <c r="B66" i="8"/>
  <c r="A67" i="8"/>
  <c r="C18" i="7"/>
  <c r="B67" i="8" s="1"/>
  <c r="A68" i="8"/>
  <c r="B28" i="7"/>
  <c r="A71" i="8"/>
  <c r="B71" i="8"/>
  <c r="A72" i="8"/>
  <c r="C29" i="7"/>
  <c r="A73" i="8"/>
  <c r="B73" i="8"/>
  <c r="A74" i="8"/>
  <c r="B74" i="8"/>
  <c r="A75" i="8"/>
  <c r="B75" i="8"/>
  <c r="A76" i="8"/>
  <c r="A77" i="8"/>
  <c r="F49" i="4"/>
  <c r="B77" i="8"/>
  <c r="A78" i="8"/>
  <c r="B81" i="8"/>
  <c r="C81" i="8"/>
  <c r="C82" i="8"/>
  <c r="C83" i="8"/>
  <c r="F9" i="14"/>
  <c r="E6" i="9"/>
  <c r="E10" i="9"/>
  <c r="F12" i="9"/>
  <c r="A13" i="9"/>
  <c r="A14" i="9"/>
  <c r="A15" i="9"/>
  <c r="A16" i="9"/>
  <c r="B17" i="9"/>
  <c r="C20" i="9"/>
  <c r="A22" i="9"/>
  <c r="E22" i="9"/>
  <c r="G22" i="9"/>
  <c r="G25" i="9"/>
  <c r="H25" i="9"/>
  <c r="H26" i="9"/>
  <c r="E27" i="9"/>
  <c r="F27" i="9"/>
  <c r="G27" i="9"/>
  <c r="H27" i="9"/>
  <c r="C40" i="6"/>
  <c r="E28" i="9"/>
  <c r="C39" i="6"/>
  <c r="F28" i="9"/>
  <c r="C33" i="6"/>
  <c r="E29" i="9"/>
  <c r="C32" i="6"/>
  <c r="F29" i="9"/>
  <c r="E33" i="9"/>
  <c r="F33" i="9"/>
  <c r="G33" i="9"/>
  <c r="H33" i="9"/>
  <c r="C52" i="6"/>
  <c r="E34" i="9"/>
  <c r="C48" i="6"/>
  <c r="F34" i="9"/>
  <c r="G35" i="9"/>
  <c r="H35" i="9"/>
  <c r="G37" i="9"/>
  <c r="B5" i="7"/>
  <c r="B7" i="7"/>
  <c r="B10" i="7"/>
  <c r="C10" i="7"/>
  <c r="D10" i="7"/>
  <c r="C11" i="7"/>
  <c r="A13" i="7"/>
  <c r="A15" i="7"/>
  <c r="C15" i="7"/>
  <c r="A16" i="7"/>
  <c r="C16" i="7"/>
  <c r="A17" i="7"/>
  <c r="B17" i="7"/>
  <c r="A18" i="7"/>
  <c r="A19" i="7"/>
  <c r="B19" i="7"/>
  <c r="A21" i="7"/>
  <c r="A22" i="7"/>
  <c r="A23" i="7"/>
  <c r="C23" i="7"/>
  <c r="E23" i="7" s="1"/>
  <c r="A24" i="7"/>
  <c r="C24" i="7"/>
  <c r="A25" i="7"/>
  <c r="C25" i="7"/>
  <c r="A26" i="7"/>
  <c r="A28" i="7"/>
  <c r="C28" i="7"/>
  <c r="A30" i="7"/>
  <c r="A31" i="7"/>
  <c r="C31" i="7"/>
  <c r="A32" i="7"/>
  <c r="C32" i="7"/>
  <c r="A33" i="7"/>
  <c r="B33" i="7"/>
  <c r="A34" i="7"/>
  <c r="B34" i="7"/>
  <c r="A35" i="7"/>
  <c r="A36" i="7"/>
  <c r="B36" i="7"/>
  <c r="C36" i="7"/>
  <c r="A37" i="7"/>
  <c r="C37" i="7"/>
  <c r="C6" i="6"/>
  <c r="C15" i="6"/>
  <c r="F18" i="6"/>
  <c r="B19" i="6"/>
  <c r="E19" i="6"/>
  <c r="F19" i="6"/>
  <c r="B20" i="6"/>
  <c r="E20" i="6"/>
  <c r="F20" i="6"/>
  <c r="B21" i="6"/>
  <c r="E21" i="6"/>
  <c r="F21" i="6"/>
  <c r="C34" i="6"/>
  <c r="E39" i="6"/>
  <c r="E40" i="6"/>
  <c r="C41" i="6"/>
  <c r="E41" i="6"/>
  <c r="E42" i="6"/>
  <c r="F42" i="6"/>
  <c r="E43" i="6"/>
  <c r="F43" i="6"/>
  <c r="E44" i="6"/>
  <c r="F44" i="6"/>
  <c r="C49" i="6"/>
  <c r="C50" i="6"/>
  <c r="C51" i="6"/>
  <c r="G51" i="6"/>
  <c r="G52" i="6"/>
  <c r="C53" i="6"/>
  <c r="C54" i="6"/>
  <c r="G54" i="6"/>
  <c r="C55" i="6"/>
  <c r="G55" i="6"/>
  <c r="C56" i="6"/>
  <c r="G56" i="6"/>
  <c r="C57" i="6"/>
  <c r="C58" i="6"/>
  <c r="G58" i="6"/>
  <c r="C59" i="6"/>
  <c r="G59" i="6"/>
  <c r="C17" i="4"/>
  <c r="F32" i="4"/>
  <c r="F33" i="4"/>
  <c r="F37" i="4"/>
  <c r="F38" i="4"/>
  <c r="B39" i="4"/>
  <c r="E39" i="4"/>
  <c r="F39" i="4"/>
  <c r="G39" i="4"/>
  <c r="D42" i="4"/>
  <c r="F42" i="4"/>
  <c r="D43" i="4"/>
  <c r="F43" i="4"/>
  <c r="B44" i="4"/>
  <c r="F44" i="4"/>
  <c r="F45" i="4"/>
  <c r="F48" i="4"/>
  <c r="D49" i="4"/>
  <c r="H6" i="12"/>
  <c r="I6" i="12"/>
  <c r="H8" i="12"/>
  <c r="H9" i="12"/>
  <c r="E29" i="12"/>
  <c r="F37" i="12"/>
  <c r="E41" i="12"/>
  <c r="F41" i="12" s="1"/>
  <c r="F42" i="12"/>
  <c r="F43" i="12"/>
  <c r="F44" i="12"/>
  <c r="D49" i="12"/>
  <c r="F49" i="12" s="1"/>
  <c r="F53" i="12"/>
  <c r="B58" i="12"/>
  <c r="F58" i="12"/>
  <c r="C10" i="6" l="1"/>
  <c r="C12" i="6"/>
  <c r="B50" i="8" s="1"/>
  <c r="B49" i="8"/>
  <c r="B22" i="8"/>
  <c r="D24" i="4"/>
  <c r="H37" i="9"/>
  <c r="C22" i="8"/>
  <c r="B6" i="7"/>
  <c r="F50" i="5"/>
  <c r="G50" i="5" s="1"/>
  <c r="F49" i="5"/>
  <c r="G49" i="5" s="1"/>
  <c r="F47" i="5"/>
  <c r="F52" i="5"/>
  <c r="G52" i="5" s="1"/>
  <c r="F51" i="5"/>
  <c r="G51" i="5" s="1"/>
  <c r="F59" i="5" s="1"/>
  <c r="E9" i="12" s="1"/>
  <c r="B25" i="8"/>
  <c r="B53" i="8"/>
  <c r="E29" i="4"/>
  <c r="A25" i="8"/>
  <c r="D6" i="7"/>
  <c r="D23" i="4"/>
  <c r="F53" i="5"/>
  <c r="G53" i="5" s="1"/>
  <c r="F48" i="5"/>
  <c r="F55" i="5"/>
  <c r="G55" i="5" s="1"/>
  <c r="F54" i="5"/>
  <c r="G54" i="5" s="1"/>
  <c r="E7" i="12"/>
  <c r="F56" i="5"/>
  <c r="G56" i="5" s="1"/>
  <c r="I21" i="11"/>
  <c r="B43" i="11"/>
  <c r="B34" i="11"/>
  <c r="B29" i="11"/>
  <c r="B39" i="11"/>
  <c r="B31" i="11"/>
  <c r="B40" i="11"/>
  <c r="B17" i="11" s="1"/>
  <c r="B35" i="11"/>
  <c r="B30" i="11"/>
  <c r="B46" i="11"/>
  <c r="B45" i="11"/>
  <c r="B37" i="11"/>
  <c r="B41" i="11"/>
  <c r="B18" i="11" s="1"/>
  <c r="F25" i="6" s="1"/>
  <c r="B36" i="11"/>
  <c r="B27" i="11"/>
  <c r="B47" i="11"/>
  <c r="B28" i="11"/>
  <c r="B42" i="11"/>
  <c r="B19" i="11" s="1"/>
  <c r="F26" i="6" s="1"/>
  <c r="B33" i="11"/>
  <c r="B48" i="11"/>
  <c r="B49" i="11"/>
  <c r="G49" i="6"/>
  <c r="F24" i="6"/>
  <c r="G57" i="6"/>
  <c r="G53" i="6"/>
  <c r="G50" i="6"/>
  <c r="B16" i="11"/>
  <c r="F29" i="6" s="1"/>
  <c r="C13" i="6" s="1"/>
  <c r="B51" i="8" s="1"/>
  <c r="B20" i="11"/>
  <c r="F35" i="6" s="1"/>
  <c r="B58" i="8" l="1"/>
  <c r="A24" i="8"/>
  <c r="B24" i="8" s="1"/>
  <c r="B12" i="12"/>
  <c r="B18" i="8" s="1"/>
  <c r="E12" i="12"/>
  <c r="B17" i="8"/>
  <c r="B21" i="8"/>
  <c r="F23" i="4"/>
  <c r="A21" i="8"/>
  <c r="F58" i="5"/>
  <c r="E8" i="12" s="1"/>
</calcChain>
</file>

<file path=xl/sharedStrings.xml><?xml version="1.0" encoding="utf-8"?>
<sst xmlns="http://schemas.openxmlformats.org/spreadsheetml/2006/main" count="1667" uniqueCount="782">
  <si>
    <t xml:space="preserve">The suitability may be best evaluated based on the characterization of the information.  Pile driving records are of minimal use for a mat rig; surface samples have limited use for independent leg units and new records give more confidence than old records. </t>
  </si>
  <si>
    <t xml:space="preserve">The rig type is important since Independent leg rigs are treated somewhat differently particularly wrt foundations, punchthru questions, settlement, risk etc. Flag is set here and used throughout. </t>
  </si>
  <si>
    <t>Explanation may be required or Explanation from another worksheet</t>
  </si>
  <si>
    <t>If range of Penetration is given - take the deepest penetration. Although this is not always conservative it generally gives worse results.</t>
  </si>
  <si>
    <t xml:space="preserve">Loc 3:  </t>
  </si>
  <si>
    <t xml:space="preserve">Loc 4:  </t>
  </si>
  <si>
    <t xml:space="preserve">How Many Major Pipelines = or &gt;12"  , 200 yards of the jack-up? </t>
  </si>
  <si>
    <t xml:space="preserve">How Many Major Hub Structures (throughput &gt;10,000 bopd or equivalent) are within 2 miles? </t>
  </si>
  <si>
    <t>How Many Critical Facilities (production &gt;50,000 bopd or equivalent) within 2 miles?</t>
  </si>
  <si>
    <t>How Many Major Hub Structures (throughput &gt;50,000 bopd or equivalent) are within 2 miles?</t>
  </si>
  <si>
    <t xml:space="preserve">The GoM Annex alls for the stakeholders to agree a Survival Case. Since the Leaseholder provided information may be filled in at a different time: the Leaseholder's minimum requirements are recorded (and transferred to the Location and Assessment Results worksheets - to provide the results of the minimum accepted return period for the Drilling Contractor and Leaseholder Survival Case. </t>
  </si>
  <si>
    <t xml:space="preserve">Is the Location in the area that Int-Met requires Site-Specific Data? </t>
  </si>
  <si>
    <t xml:space="preserve">Year in which Geotech data was obtained at site?  Explanation if appropriate: </t>
  </si>
  <si>
    <t xml:space="preserve">Loc 1: Mudslide:  </t>
  </si>
  <si>
    <t>Airgap Compliance with Int-Met incl 3% and 4 ft settlement</t>
  </si>
  <si>
    <t>Loc 2:</t>
  </si>
  <si>
    <t>Loc 5:</t>
  </si>
  <si>
    <t xml:space="preserve">Loc 6: </t>
  </si>
  <si>
    <t xml:space="preserve">Loc 7: </t>
  </si>
  <si>
    <t xml:space="preserve">Loc 8: </t>
  </si>
  <si>
    <t xml:space="preserve">Loc 9: </t>
  </si>
  <si>
    <t xml:space="preserve">Leaseholder 3 :  </t>
  </si>
  <si>
    <t xml:space="preserve">Leaseholder 4: </t>
  </si>
  <si>
    <t>Leaseholder 5:</t>
  </si>
  <si>
    <t xml:space="preserve">Leaseholder 6: </t>
  </si>
  <si>
    <t>Leaseholder 7:</t>
  </si>
  <si>
    <t>Leaseholder 8:</t>
  </si>
  <si>
    <t>Leaseholder 9:</t>
  </si>
  <si>
    <t xml:space="preserve">Geotech 1:   </t>
  </si>
  <si>
    <t>Geotech 2:</t>
  </si>
  <si>
    <t xml:space="preserve">Geotech 6: </t>
  </si>
  <si>
    <t xml:space="preserve">Consequence of movement is important if there is not a reliable downhole storm packer or if there is a high consequence that has not been detailed in the other questions. </t>
  </si>
  <si>
    <t>Leaseholder/Operator Provided Information Worksheet incl.
Infrastructure Proximity Information
Survivability Assumptions</t>
  </si>
  <si>
    <t xml:space="preserve">This information is considered appropriate by soils analysts to calculate the overturning safety factor. </t>
  </si>
  <si>
    <t xml:space="preserve">This screening criteria for scour was arrived at in discussion with drilling contractors: it only serves as an initial screening gate to draw attention to the problem. Explanations may change any concerns. </t>
  </si>
  <si>
    <t>The information required in this section is an obligation of the NTL.</t>
  </si>
  <si>
    <t xml:space="preserve">Geotech information may be valid at a greater distance than 1000 ft if tied back with shallow seismic information. </t>
  </si>
  <si>
    <t>Airgap based on Site Specific data  Total (ft)</t>
  </si>
  <si>
    <t>Contingency Case (ft)</t>
  </si>
  <si>
    <t>Assessment Case (ft)</t>
  </si>
  <si>
    <t>Winter Storm Case (ft)</t>
  </si>
  <si>
    <t>Contingency  1-min mean (kts)</t>
  </si>
  <si>
    <t>Designation</t>
  </si>
  <si>
    <t>The data for the GOM Annex cases is also reported together with the winter data from reference OTC 17879</t>
  </si>
  <si>
    <t xml:space="preserve">This is the airgap specified for the operation on the Location Worksheet. </t>
  </si>
  <si>
    <t xml:space="preserve">Penetration was input in the Location worksheet. </t>
  </si>
  <si>
    <t xml:space="preserve">An explanation space is offered. </t>
  </si>
  <si>
    <t xml:space="preserve">The McClelland Reference: is a useful set of charts showing the GoM soils. While site-specific data is much more relevant this can occasionally be a useful reference and is used on occasion by Marine Warranty Surveyors when no other info is available.  It is very old data and should not be relied upon. </t>
  </si>
  <si>
    <t>The screening is currently set at 1000 ft. This is not suggested as a safe target for soils information which is properly directly on the site specific location, however, it is a useful indicator.</t>
  </si>
  <si>
    <t>(See Leaseholder Provided Data  worksheet)</t>
  </si>
  <si>
    <t>Optional Questions</t>
  </si>
  <si>
    <t xml:space="preserve">The value selected on the Leaseholder Data worksheet transfers to this location and  the Assessment Results to state the Leaseholder's Survival Case.  This and above question are asked independently because 2 different responders are filling out the sheet and GOM Annex requires an agreed minimum between stakeholders. </t>
  </si>
  <si>
    <t>Note: Estimates and Calculations are subject to many variable factors. The stated "Structural Factor" is intended to be an inexact comparison of chosen storm to adjusted MOM storm conditions by those with sufficient experience to make an engineering judgement about the values.</t>
  </si>
  <si>
    <t>(See Location worksheet)</t>
  </si>
  <si>
    <t>Provided for information only</t>
  </si>
  <si>
    <t>Selected Airgap Compliance Method</t>
  </si>
  <si>
    <t>Drilling Contractor</t>
  </si>
  <si>
    <t>Note: Below Yellow area is for OPTIONAL Comments</t>
  </si>
  <si>
    <t xml:space="preserve"> Proposed Air Gap:</t>
  </si>
  <si>
    <t>API 2 Int- Met 1st Edition, May 2007</t>
  </si>
  <si>
    <t>API RP 95J 1st Edition June 2006</t>
  </si>
  <si>
    <t>OTC 17879 - Metocean Criteria for Jack-ups in the Gulf of Mexico - 2006</t>
  </si>
  <si>
    <t xml:space="preserve">Incorporated References: </t>
  </si>
  <si>
    <t>LEASE  Area</t>
  </si>
  <si>
    <t>Block No</t>
  </si>
  <si>
    <t>Location Area</t>
  </si>
  <si>
    <t>Location</t>
  </si>
  <si>
    <t>Lease Area #</t>
  </si>
  <si>
    <t>Potential Mudslide Area</t>
  </si>
  <si>
    <t>Waterdepth</t>
  </si>
  <si>
    <t>Airgap</t>
  </si>
  <si>
    <t>Zone</t>
  </si>
  <si>
    <t>Degrees (decimal)</t>
  </si>
  <si>
    <t>95-97</t>
  </si>
  <si>
    <t>90.5-94</t>
  </si>
  <si>
    <t>86.5-89.5</t>
  </si>
  <si>
    <t>82.4-85.5</t>
  </si>
  <si>
    <t>Transition East-Central</t>
  </si>
  <si>
    <t>85.5-86.5</t>
  </si>
  <si>
    <t>89.5-90.5</t>
  </si>
  <si>
    <t>Transition WestCentral-West</t>
  </si>
  <si>
    <t>Transition Central-WestCentral</t>
  </si>
  <si>
    <t>Decision of Zone Below</t>
  </si>
  <si>
    <t>94-95</t>
  </si>
  <si>
    <t>Distance Over Guides</t>
  </si>
  <si>
    <t>Arrangements at Location</t>
  </si>
  <si>
    <t xml:space="preserve">Table For API Int-Met Data for Applicable Region - </t>
  </si>
  <si>
    <t>API INT-MET Region</t>
  </si>
  <si>
    <t>1-Min Mean Wind (knots)</t>
  </si>
  <si>
    <t xml:space="preserve">Alaminos Canyon </t>
  </si>
  <si>
    <t xml:space="preserve">Mississippi Canyon </t>
  </si>
  <si>
    <t xml:space="preserve">Amery Terrace </t>
  </si>
  <si>
    <t xml:space="preserve">Eugene Island </t>
  </si>
  <si>
    <t xml:space="preserve">Apalachicola </t>
  </si>
  <si>
    <t xml:space="preserve">Green Canyon </t>
  </si>
  <si>
    <t xml:space="preserve">Atwater Valley </t>
  </si>
  <si>
    <t xml:space="preserve">Garden Banks </t>
  </si>
  <si>
    <t xml:space="preserve">Bay Marchand </t>
  </si>
  <si>
    <t xml:space="preserve">East Breaks </t>
  </si>
  <si>
    <t xml:space="preserve">Brazos </t>
  </si>
  <si>
    <t xml:space="preserve">West Cameron </t>
  </si>
  <si>
    <t xml:space="preserve">Breton Sound </t>
  </si>
  <si>
    <t xml:space="preserve">South Timbalier </t>
  </si>
  <si>
    <t xml:space="preserve">Campeche Escarpment </t>
  </si>
  <si>
    <t xml:space="preserve">High Island </t>
  </si>
  <si>
    <t xml:space="preserve">Chandeleur </t>
  </si>
  <si>
    <t xml:space="preserve">Ship Shoal </t>
  </si>
  <si>
    <t xml:space="preserve">Charlotte Harbor </t>
  </si>
  <si>
    <t xml:space="preserve">Viosca Knoll </t>
  </si>
  <si>
    <t xml:space="preserve">Corpus Christi </t>
  </si>
  <si>
    <t xml:space="preserve">South Marsh Island </t>
  </si>
  <si>
    <t xml:space="preserve">DeSoto Canyon </t>
  </si>
  <si>
    <t xml:space="preserve">Vermilion </t>
  </si>
  <si>
    <t xml:space="preserve">Destin Dome </t>
  </si>
  <si>
    <t xml:space="preserve">Main Pass </t>
  </si>
  <si>
    <t xml:space="preserve">Dry Tortugas </t>
  </si>
  <si>
    <t xml:space="preserve">East Cameron </t>
  </si>
  <si>
    <t xml:space="preserve">West Delta </t>
  </si>
  <si>
    <t xml:space="preserve">South Pass </t>
  </si>
  <si>
    <t xml:space="preserve">Grand Isle </t>
  </si>
  <si>
    <t xml:space="preserve">Ewing Bank </t>
  </si>
  <si>
    <t xml:space="preserve">Florida Middle Ground </t>
  </si>
  <si>
    <t xml:space="preserve">Florida Plain </t>
  </si>
  <si>
    <t xml:space="preserve">Galveston </t>
  </si>
  <si>
    <t xml:space="preserve">Gainesville </t>
  </si>
  <si>
    <t xml:space="preserve">Matagorda Island </t>
  </si>
  <si>
    <t xml:space="preserve">South Pelto </t>
  </si>
  <si>
    <t xml:space="preserve">Mustang Island </t>
  </si>
  <si>
    <t xml:space="preserve">North Padre Island </t>
  </si>
  <si>
    <t xml:space="preserve">Henderson </t>
  </si>
  <si>
    <t xml:space="preserve">Sabine Pass (LA) </t>
  </si>
  <si>
    <t xml:space="preserve">Howell Hook </t>
  </si>
  <si>
    <t xml:space="preserve">Mobile </t>
  </si>
  <si>
    <t xml:space="preserve">Keathley Canyon </t>
  </si>
  <si>
    <t xml:space="preserve">Key West </t>
  </si>
  <si>
    <t xml:space="preserve">Sabine Pass (TX) </t>
  </si>
  <si>
    <t xml:space="preserve">Lloyd Ridge </t>
  </si>
  <si>
    <t xml:space="preserve">Lund </t>
  </si>
  <si>
    <t xml:space="preserve">Lund South </t>
  </si>
  <si>
    <t xml:space="preserve">Miami </t>
  </si>
  <si>
    <t xml:space="preserve">Pensacola </t>
  </si>
  <si>
    <t xml:space="preserve">Port Isabel </t>
  </si>
  <si>
    <t xml:space="preserve">Pulley Ridge </t>
  </si>
  <si>
    <t xml:space="preserve">Rankin </t>
  </si>
  <si>
    <t xml:space="preserve">Sigsbee Escarpment </t>
  </si>
  <si>
    <t xml:space="preserve">South Padre Island </t>
  </si>
  <si>
    <t xml:space="preserve">St. Petersburg </t>
  </si>
  <si>
    <t xml:space="preserve">Tarpon Springs </t>
  </si>
  <si>
    <t xml:space="preserve">The Elbow </t>
  </si>
  <si>
    <t xml:space="preserve">Tortugas Valley </t>
  </si>
  <si>
    <t xml:space="preserve">Vernon Basin </t>
  </si>
  <si>
    <t xml:space="preserve">Walker Ridge </t>
  </si>
  <si>
    <t>Feet</t>
  </si>
  <si>
    <t>January</t>
  </si>
  <si>
    <t>February</t>
  </si>
  <si>
    <t>March</t>
  </si>
  <si>
    <t>June</t>
  </si>
  <si>
    <t>July</t>
  </si>
  <si>
    <t>August</t>
  </si>
  <si>
    <t>September</t>
  </si>
  <si>
    <t>October</t>
  </si>
  <si>
    <t>November</t>
  </si>
  <si>
    <t>December</t>
  </si>
  <si>
    <t>Days</t>
  </si>
  <si>
    <t>Location Assessment Worksheet</t>
  </si>
  <si>
    <t xml:space="preserve">Location Name: </t>
  </si>
  <si>
    <t>Water Depth:</t>
  </si>
  <si>
    <t>Latitude</t>
  </si>
  <si>
    <t>Longitude</t>
  </si>
  <si>
    <t>UTM-N (Grid)</t>
  </si>
  <si>
    <t>UTM-E (Grid)</t>
  </si>
  <si>
    <t>Planned date for Arrival at Location</t>
  </si>
  <si>
    <t>Month</t>
  </si>
  <si>
    <t>#</t>
  </si>
  <si>
    <t xml:space="preserve">April </t>
  </si>
  <si>
    <t xml:space="preserve">May </t>
  </si>
  <si>
    <t>1st</t>
  </si>
  <si>
    <t>2nd</t>
  </si>
  <si>
    <t>3rd</t>
  </si>
  <si>
    <t>4th</t>
  </si>
  <si>
    <t>5th</t>
  </si>
  <si>
    <t>6th</t>
  </si>
  <si>
    <t>7th</t>
  </si>
  <si>
    <t>8th</t>
  </si>
  <si>
    <t>9th</t>
  </si>
  <si>
    <t>10th</t>
  </si>
  <si>
    <t>11th</t>
  </si>
  <si>
    <t>12th</t>
  </si>
  <si>
    <t>13th</t>
  </si>
  <si>
    <t>14th</t>
  </si>
  <si>
    <t>15th</t>
  </si>
  <si>
    <t>16th</t>
  </si>
  <si>
    <t>17th</t>
  </si>
  <si>
    <t>18th</t>
  </si>
  <si>
    <t>19th</t>
  </si>
  <si>
    <t>20th</t>
  </si>
  <si>
    <t>21th</t>
  </si>
  <si>
    <t>22th</t>
  </si>
  <si>
    <t>23th</t>
  </si>
  <si>
    <t>24th</t>
  </si>
  <si>
    <t>25th</t>
  </si>
  <si>
    <t>26th</t>
  </si>
  <si>
    <t>27th</t>
  </si>
  <si>
    <t>28th</t>
  </si>
  <si>
    <t>29th</t>
  </si>
  <si>
    <t>30th</t>
  </si>
  <si>
    <t>31th</t>
  </si>
  <si>
    <t>Planned date for Departure from Location</t>
  </si>
  <si>
    <t xml:space="preserve">Rig Type: </t>
  </si>
  <si>
    <t>Rig Type</t>
  </si>
  <si>
    <t>Independent Leg</t>
  </si>
  <si>
    <t>Mat Supported</t>
  </si>
  <si>
    <t>Mudslide</t>
  </si>
  <si>
    <t>Main Pass</t>
  </si>
  <si>
    <t>South Pass</t>
  </si>
  <si>
    <t>West Delta</t>
  </si>
  <si>
    <t>Mississippi Canyon</t>
  </si>
  <si>
    <t>Viosca Knoll</t>
  </si>
  <si>
    <t>1 Hr</t>
  </si>
  <si>
    <t>1 Min mean</t>
  </si>
  <si>
    <t>meters/sec</t>
  </si>
  <si>
    <t>Yes</t>
  </si>
  <si>
    <t xml:space="preserve"> </t>
  </si>
  <si>
    <t>Return Period</t>
  </si>
  <si>
    <t>Wind Speed</t>
  </si>
  <si>
    <t>Wind Speed Types</t>
  </si>
  <si>
    <t>knots</t>
  </si>
  <si>
    <t>feet/sec</t>
  </si>
  <si>
    <t>Value</t>
  </si>
  <si>
    <t>Operator:</t>
  </si>
  <si>
    <t>[deg-Grid]</t>
  </si>
  <si>
    <t>OCS Designation:</t>
  </si>
  <si>
    <t>West</t>
  </si>
  <si>
    <t>West Central</t>
  </si>
  <si>
    <t>Central</t>
  </si>
  <si>
    <t>East</t>
  </si>
  <si>
    <t>Wind/Current Speed Units</t>
  </si>
  <si>
    <t>Factor for Current</t>
  </si>
  <si>
    <t>Factor to get knots</t>
  </si>
  <si>
    <t>Multiplier to get to 1 min wind</t>
  </si>
  <si>
    <t>How Many Critical Facilities within 2 miles = or &gt;10,000 bopd going through facility?</t>
  </si>
  <si>
    <t>Factor for Wind to get knots</t>
  </si>
  <si>
    <t>Waterdepth (ft)</t>
  </si>
  <si>
    <t>Current Speed - Assessment Level</t>
  </si>
  <si>
    <t>Current Speed - Winter Storm</t>
  </si>
  <si>
    <t>Current Speed - Contingency Study</t>
  </si>
  <si>
    <t>Surface (kts)</t>
  </si>
  <si>
    <t>Mid-Depth (kts)</t>
  </si>
  <si>
    <t>Bottom of Profile (kts)</t>
  </si>
  <si>
    <t>Elevation above Mudline (ft)</t>
  </si>
  <si>
    <t>Note: See OTC 17879 for Explanation</t>
  </si>
  <si>
    <t>Contingency- Surface</t>
  </si>
  <si>
    <t>Contingency- MidDepth</t>
  </si>
  <si>
    <t>Assessment- MidDepth</t>
  </si>
  <si>
    <t>Winter-MidDepth</t>
  </si>
  <si>
    <t>Winter-Off Bottom</t>
  </si>
  <si>
    <t>Winter Storm- Surface</t>
  </si>
  <si>
    <t>Assessment- Off Bottom</t>
  </si>
  <si>
    <t>Contingency- Off Bottom</t>
  </si>
  <si>
    <t>Off Bottom Distance</t>
  </si>
  <si>
    <t>Result</t>
  </si>
  <si>
    <t>API RP95J Airgap Compliant?</t>
  </si>
  <si>
    <t>10 Yr - Surface</t>
  </si>
  <si>
    <t>10 Yr - MidDepth</t>
  </si>
  <si>
    <t>10 Yr- Off-Bottom</t>
  </si>
  <si>
    <t>100 Yr - Surface</t>
  </si>
  <si>
    <t>100 Yr - MidDepth</t>
  </si>
  <si>
    <t>100 Yr- Off-Bottom</t>
  </si>
  <si>
    <t>50 Yr- Off-Bottom</t>
  </si>
  <si>
    <t>50 Yr - MidDepth</t>
  </si>
  <si>
    <t>50 Yr - Surface</t>
  </si>
  <si>
    <t>Central Zone Information</t>
  </si>
  <si>
    <t>Contingency</t>
  </si>
  <si>
    <t>Assessment</t>
  </si>
  <si>
    <t>Winter</t>
  </si>
  <si>
    <t>Int-Met East</t>
  </si>
  <si>
    <t>C.E. 100yr</t>
  </si>
  <si>
    <t>Hmax 100 yr</t>
  </si>
  <si>
    <t>Hmax 50 yr</t>
  </si>
  <si>
    <t>Hmax 25yr</t>
  </si>
  <si>
    <t>Hmax 10yr</t>
  </si>
  <si>
    <t>Int-Met Central</t>
  </si>
  <si>
    <t>Int-Met West Central</t>
  </si>
  <si>
    <t xml:space="preserve">Int-Met West    </t>
  </si>
  <si>
    <t>Summary of Equations</t>
  </si>
  <si>
    <t>West Zone Information</t>
  </si>
  <si>
    <t>West Central Zone Information</t>
  </si>
  <si>
    <t>East Zone Information</t>
  </si>
  <si>
    <t xml:space="preserve">Principal Particulars: </t>
  </si>
  <si>
    <t>No of Legs</t>
  </si>
  <si>
    <t>Model</t>
  </si>
  <si>
    <t>#1</t>
  </si>
  <si>
    <t>#2</t>
  </si>
  <si>
    <t>#3</t>
  </si>
  <si>
    <t>Wind Speed (kts)</t>
  </si>
  <si>
    <t>Wave Height (ft)</t>
  </si>
  <si>
    <t>Wave Period (secs)</t>
  </si>
  <si>
    <t xml:space="preserve">Air Gap (ft) </t>
  </si>
  <si>
    <t>Rig Heading:</t>
  </si>
  <si>
    <t>Surge Ht (ft)</t>
  </si>
  <si>
    <t>Region</t>
  </si>
  <si>
    <t>Block</t>
  </si>
  <si>
    <t>Value (kts)</t>
  </si>
  <si>
    <t>Far West</t>
  </si>
  <si>
    <t>Trans. West West-Central</t>
  </si>
  <si>
    <t>West-Central</t>
  </si>
  <si>
    <t>Trans West-Central Central</t>
  </si>
  <si>
    <t>Trans Central East</t>
  </si>
  <si>
    <t>Transition Modifiers</t>
  </si>
  <si>
    <t>Transition Distances</t>
  </si>
  <si>
    <t>Absolute</t>
  </si>
  <si>
    <t>% of Distance from East</t>
  </si>
  <si>
    <t>Hmax 100 yr (ft)</t>
  </si>
  <si>
    <t>C.E. 100yr (ft)</t>
  </si>
  <si>
    <t>Decides for Transition Zones what % of each answer to take either side.</t>
  </si>
  <si>
    <t xml:space="preserve">Tide (ft) </t>
  </si>
  <si>
    <t>If Other: Describe</t>
  </si>
  <si>
    <t>10-Yr Site Specific (ft)</t>
  </si>
  <si>
    <t>No</t>
  </si>
  <si>
    <t>Incl. in C.E.</t>
  </si>
  <si>
    <t>Surface Current (kts)</t>
  </si>
  <si>
    <t>Anything Else</t>
  </si>
  <si>
    <t>100 Year Crest Elevation (ft) 
Incl (Surge &amp; Tide)</t>
  </si>
  <si>
    <t>Metocean Worksheet</t>
  </si>
  <si>
    <t>Wave Heights</t>
  </si>
  <si>
    <t>No of Chords/leg (1-4)</t>
  </si>
  <si>
    <t>Cantilever         (Yes/No)</t>
  </si>
  <si>
    <t>meters</t>
  </si>
  <si>
    <t>Select from Potential Issues Below:  Note "numeric" to all that apply</t>
  </si>
  <si>
    <t>50 yr Site Specific</t>
  </si>
  <si>
    <t>100 yr Site Specific</t>
  </si>
  <si>
    <t>10 Year Hmax Int-Met (ft)</t>
  </si>
  <si>
    <t>100 Year Hmax Int-Met (ft)</t>
  </si>
  <si>
    <t>Int- Met Values (accounting for transition)</t>
  </si>
  <si>
    <t>1-Min Mean (knots)</t>
  </si>
  <si>
    <t>(ft)</t>
  </si>
  <si>
    <t xml:space="preserve">Value </t>
  </si>
  <si>
    <t xml:space="preserve"> Site Specific Current</t>
  </si>
  <si>
    <t>GOM Annex Current</t>
  </si>
  <si>
    <t>Case</t>
  </si>
  <si>
    <t xml:space="preserve">
Case</t>
  </si>
  <si>
    <t>Waterdepth on Location (ft)</t>
  </si>
  <si>
    <t>10-Yr Int Met</t>
  </si>
  <si>
    <t>50-Yr Int Met</t>
  </si>
  <si>
    <t>100-Yr Int Met</t>
  </si>
  <si>
    <t>10-Yr Site Specific</t>
  </si>
  <si>
    <t>What is the basis of Soils Assumptions</t>
  </si>
  <si>
    <t>Surface Sample</t>
  </si>
  <si>
    <t>Pile Driving Records</t>
  </si>
  <si>
    <t>None</t>
  </si>
  <si>
    <t>Previous Rig Records</t>
  </si>
  <si>
    <t>On Arrival at Location</t>
  </si>
  <si>
    <t>ft</t>
  </si>
  <si>
    <t>See to right</t>
  </si>
  <si>
    <t>Pre-Peak</t>
  </si>
  <si>
    <t>Peak</t>
  </si>
  <si>
    <t>Post Peak</t>
  </si>
  <si>
    <t>Hurricane Season</t>
  </si>
  <si>
    <t xml:space="preserve">Sliding resistance only checked if this is a High or Medium Consequence Location. </t>
  </si>
  <si>
    <t xml:space="preserve">The sliding calculation is only required (for a mat jack-up) if soil shear strength is &lt;100 psf AND this is a High or Medium Consequence location. </t>
  </si>
  <si>
    <t xml:space="preserve">The overturning calculation is only required (for a mat jack-up) if soil shear strength is &lt;100 psf AND this is a High or Medium Consequence location. </t>
  </si>
  <si>
    <t xml:space="preserve">* Note: "Calculated" means a rigorous calculation based on structural model, hydrodynamic model etc.  Medium and High Consequence locations require "Calculated" results be recorded in the Structure Factor of Safety.
* Note: "Estimated" means ratios to known conditions - Suitable only for clearly acceptable conditions based on Engineering judgment. </t>
  </si>
  <si>
    <t>COMPARISON OF Benchmark Information to GoM Annex Cases</t>
  </si>
  <si>
    <t>Estimated/Calculated  Amount of Structural Overload compared to calculated Design Conditions</t>
  </si>
  <si>
    <t xml:space="preserve">Proximity Consequence Summation for this Location and any Mitigating Factors . </t>
  </si>
  <si>
    <t>Rev:  10  Password: "password"</t>
  </si>
  <si>
    <t>Have you supplied USCG with read access to the rig's GPS Tracking Information ?</t>
  </si>
  <si>
    <t>Have you reviewed and updated your USCG Marine Operating Manual to minimize the possibility of adverse consequences of any tropical storm (as suggested in the NTL) ?</t>
  </si>
  <si>
    <t xml:space="preserve">Have you supplied the appropriate bottom survey data (shallow hazards survey and/or bottom Mesotech scan) for best positioning of the jack-up on location to satisfy NTL 2008-G10?    
Note: Guidance to requirements for shallow hazards is in NTL 2008-G05.  </t>
  </si>
  <si>
    <t>Have you supplied Geotech (Soils) data sufficient to determine soil characteristics over depth and foundation strength of the proposed location 
(in satisfaction of the NTL 2008-G10) ?</t>
  </si>
  <si>
    <t>What are your (Leaseholder/Operator) minimum requirements for the Survival Case       
 at this location (GoM Annex) ? .</t>
  </si>
  <si>
    <t xml:space="preserve">What is the basis of Soils Assumptions ?
Has a Borehole Log been Provided?    </t>
  </si>
  <si>
    <t>Optional Explanation of Suitability of the soil data for evaluating fitness for purpose</t>
  </si>
  <si>
    <t>Borehole Information Proviced</t>
  </si>
  <si>
    <t xml:space="preserve">Name of person completing Leaseholder Information: 
Phone:  
Email:  </t>
  </si>
  <si>
    <t xml:space="preserve">Is the Geotech (soil) information supplied sufficient to determine the soil characteristics over depth and also sufficient to determine the foundation strength at the location to satisfy NTL 2008-G10? </t>
  </si>
  <si>
    <t xml:space="preserve">Are you anticipating Punchthru Conditions going onto location?  </t>
  </si>
  <si>
    <t>Were soils supplied good for a L-D curve</t>
  </si>
  <si>
    <r>
      <t xml:space="preserve">API RP 95 J Information:  LEASEHOLDER SUPPLIED INFORMATION - </t>
    </r>
    <r>
      <rPr>
        <b/>
        <sz val="10"/>
        <color indexed="10"/>
        <rFont val="Arial"/>
        <family val="2"/>
      </rPr>
      <t>HAZARD INFORMATION ONLY: NOT AS ONLY PENETRATION DATA</t>
    </r>
  </si>
  <si>
    <t xml:space="preserve">What is the preloading methodology? (Single leg? Multiple leg? etc). </t>
  </si>
  <si>
    <t>What is the minimum holding time after settlement has stopped at maximum preload? (hrs)</t>
  </si>
  <si>
    <t>Classification - In Class?</t>
  </si>
  <si>
    <t xml:space="preserve">Classification? </t>
  </si>
  <si>
    <t>Note 1: Historically, jack-ups in GoM have been shown to survive a Structural factor of &gt;1.5  over the design storm and in many cases &gt;2 when foundations are sufficient.
Note 2: When calculation is required,  the calculation needs to be according to good engineering practice and is not tied to a requirement to the requirements of SNAME 5-5A although this is a good guide. It can be formulated based on "pushover analyses".</t>
  </si>
  <si>
    <t>Report Source: Author/Company</t>
  </si>
  <si>
    <t>1-Min Wind for Site-Specric Return Period (kts)</t>
  </si>
  <si>
    <t>Crest Elevation = or &gt; 100-year (ft)</t>
  </si>
  <si>
    <t xml:space="preserve">Site-Specific Hmax (ft) </t>
  </si>
  <si>
    <t>Tide  = or &gt; 100-year (ft)</t>
  </si>
  <si>
    <t>Surge = or &gt; 100-year (ft)</t>
  </si>
  <si>
    <t>Do your anticipated preloading procedures minimize the potential for further settlement from potential hurricane loading ?</t>
  </si>
  <si>
    <t xml:space="preserve">Date on which Checksheet completed  </t>
  </si>
  <si>
    <t>Green Flag warning - Explanation is probably not required.</t>
  </si>
  <si>
    <t>Generally a response from another "cell" - No input needed</t>
  </si>
  <si>
    <t>Responses for Assessment Results  - from another "cell" - No input needed</t>
  </si>
  <si>
    <t xml:space="preserve"> Checksheet completed by:
Phone:
Email:   </t>
  </si>
  <si>
    <t xml:space="preserve">NOTE: This Checksheet does not constitute a rigorous engineering approach to safety. It merely provides a draft Checksheet for Permitting with whatever benefits/limitations that apply to that process. It in no-way confirms that the jack-up is suitable for the location.  This is a Draft Checksheet and further calculations/information is required after suitable explanations are provided as requested herein.
The User of this document should check accuracy and interpolation of any industry curves (e.g. API 95J, API 2 Int-Met, GoM Annex etc) to verify correctness and accuracy. prior to using. </t>
  </si>
  <si>
    <t>Does the jack-up meet the Structural and Foundation requirements of the SNAME GoM Annex (Assessment and Contingency  cases)?</t>
  </si>
  <si>
    <t>Zone determined based on Longitude; incorporates the transition areas between Zones.</t>
  </si>
  <si>
    <t>This question determines which checks are to be carried out. The cell automatically turns Green if API 95J is to be complied with. The check is made on the Metocean Worksheet and compliance verified.  The alternate methods of compliance are Site specific (data is compared to Int-Met for verification), or Int-Met data including a 4 ft settlement compliance and a 3-5% contingency factor (API 95J).  Site Specific handled on the Metocean worksheet.</t>
  </si>
  <si>
    <t xml:space="preserve"> Punchthrough going on location is considered a major issue when at a High or Medium Consequence location and (for example) the well is not shut in or the platform is significant.  </t>
  </si>
  <si>
    <t xml:space="preserve">Sliding is a consideration for mat units on High or Medium Consequence locations only. Soil expert's Rule of Thumb that if the soil strength is below 100 psf on clay that the rig has a propensity to slide in a storm. Calculations may prove otherwise.  </t>
  </si>
  <si>
    <t xml:space="preserve">Scour is a consideration for mat units on High and Medium Consequence locations only. This flag and requirement for explanation is that if soil is sand and there is high current or a breaking wave there may be a propensity to scour. Calculations may prove otherwise. </t>
  </si>
  <si>
    <t>Note: This information is worksheet is part of the "requirements" of the NTL. The questions are  do not at this time form part of the evaluation process - except to note the answers.</t>
  </si>
  <si>
    <t>Has data been supplied that allows a geotechnical professional to give a high confidence prediction of expected penetration and final soil beneath the spucan 
(e.g. a load-penetration curve)</t>
  </si>
  <si>
    <t xml:space="preserve">Certain areas of the GOM are outside the area of applicability of Bulletin 2 Int-Met. &gt; 86 deg and &lt;89.5 deg in waterdepths &gt;230 ft: are intended to be excluded. Barrier islands and other features may not get checked by this routine. </t>
  </si>
  <si>
    <t>Table For Site Specific Data: Survival Case</t>
  </si>
  <si>
    <t>Return Period for Site-Specific (yrs)</t>
  </si>
  <si>
    <t xml:space="preserve"> (ft)</t>
  </si>
  <si>
    <t>Site-Specific Soils both Mat and Independent Leg Jack-ups</t>
  </si>
  <si>
    <t>Are you Relying on Mc Clelland Reference 1979? Or other similar reference; and Explanation if appropriate</t>
  </si>
  <si>
    <t xml:space="preserve">Consequence &amp; Mudslide Potential: </t>
  </si>
  <si>
    <t>Survivability Selected on Location worksheet</t>
  </si>
  <si>
    <t>( from Location worksheet)</t>
  </si>
  <si>
    <t xml:space="preserve">Is there a plan for the cantilever to be skidded in for a storm?
   Is there a plan for the conductor to be supported during the storm? </t>
  </si>
  <si>
    <t>Well Conductor Support Question</t>
  </si>
  <si>
    <t>Skid Cantilever In Question</t>
  </si>
  <si>
    <r>
      <t xml:space="preserve">Survival Case 
</t>
    </r>
    <r>
      <rPr>
        <b/>
        <sz val="10"/>
        <rFont val="Arial"/>
        <family val="2"/>
      </rPr>
      <t>as defined by GoM Annex</t>
    </r>
  </si>
  <si>
    <t xml:space="preserve">Further Explanation if Needed: </t>
  </si>
  <si>
    <t xml:space="preserve">Analysis Method: </t>
  </si>
  <si>
    <t xml:space="preserve">Airgap Compliance with API Int-Met With 3-5% crest elevation +4ft settlement  </t>
  </si>
  <si>
    <t xml:space="preserve">Max Airgap in Factors!p6 =62 not 62.5; Structures Tab - G26to G34 formula AE11 changed to AE14. Change G36 to a fill in field. </t>
  </si>
  <si>
    <t>Survival Case: Method Used (Calculated/ Estimated) and resulting  % of design allowable to which the jack-up was loaded</t>
  </si>
  <si>
    <t xml:space="preserve">Response to question about Preloading Methodology:   </t>
  </si>
  <si>
    <t xml:space="preserve">Answer to question as to whether the preloading procedures have been reviewed to minimze further settlement in a hurricane: </t>
  </si>
  <si>
    <t>Non-Hurricane</t>
  </si>
  <si>
    <t>Item</t>
  </si>
  <si>
    <t>Old Geotech</t>
  </si>
  <si>
    <t>Recent Geotech</t>
  </si>
  <si>
    <t>Description of Soil at the Location</t>
  </si>
  <si>
    <t>Day</t>
  </si>
  <si>
    <t>Date</t>
  </si>
  <si>
    <t>Day Number</t>
  </si>
  <si>
    <t>Date On</t>
  </si>
  <si>
    <t>Date Off</t>
  </si>
  <si>
    <t>/</t>
  </si>
  <si>
    <t>Pre-Peak End</t>
  </si>
  <si>
    <t>Is start before peak</t>
  </si>
  <si>
    <t>Is start before hurricane season</t>
  </si>
  <si>
    <t>Is end before hurricane season</t>
  </si>
  <si>
    <t>Is end before peak</t>
  </si>
  <si>
    <t>Is start after end of hurricane season</t>
  </si>
  <si>
    <t>Is start after end of peak</t>
  </si>
  <si>
    <t>Is end after end of hurricane season</t>
  </si>
  <si>
    <t>Is in Hurricane season</t>
  </si>
  <si>
    <t>Is in Peak</t>
  </si>
  <si>
    <t>Is end after end of peak</t>
  </si>
  <si>
    <t>Pre-Peak Ramp end</t>
  </si>
  <si>
    <t>Peak end</t>
  </si>
  <si>
    <t>Post-Peak Ramp end</t>
  </si>
  <si>
    <t>Post-Peak end (End season)</t>
  </si>
  <si>
    <t>Pre-Peak start (Season start)</t>
  </si>
  <si>
    <t>Start and End Date</t>
  </si>
  <si>
    <t>JJS Input Data Location</t>
  </si>
  <si>
    <t>Were soils data supplied for the Location?</t>
  </si>
  <si>
    <t>SP Check</t>
  </si>
  <si>
    <t>MP</t>
  </si>
  <si>
    <t>WD</t>
  </si>
  <si>
    <t>MC</t>
  </si>
  <si>
    <t>VK</t>
  </si>
  <si>
    <t>Type of Soil</t>
  </si>
  <si>
    <t>Sand</t>
  </si>
  <si>
    <t>Cohesive (Clay)</t>
  </si>
  <si>
    <t>Is Sand layer strong enough to prevent additional penetration in a storm?</t>
  </si>
  <si>
    <t>Dates on Location</t>
  </si>
  <si>
    <t>High Level Overview of Threat</t>
  </si>
  <si>
    <t>Y</t>
  </si>
  <si>
    <t>NTL 2008-G10 June 1, 2008-Dec 1, 2013 -Guidelines for Jack-Up Drilling Rig Fitness Requirements for Hurricane Season</t>
  </si>
  <si>
    <t>Locations where API 2 Int -Met does not Apply</t>
  </si>
  <si>
    <t>Grand Isle</t>
  </si>
  <si>
    <t>Bay Marchand</t>
  </si>
  <si>
    <t>Breton Sound</t>
  </si>
  <si>
    <t>Mobile</t>
  </si>
  <si>
    <t>Chandeleur Area</t>
  </si>
  <si>
    <t>NTL 2008-G10 Requirements:</t>
  </si>
  <si>
    <t>Have you reviewed and updated your USCG Marine Operating Manual?</t>
  </si>
  <si>
    <t>API RP 95 J Information</t>
  </si>
  <si>
    <t xml:space="preserve">Yes </t>
  </si>
  <si>
    <t>Answer here</t>
  </si>
  <si>
    <t>Airgap Compliance with API 95J?</t>
  </si>
  <si>
    <t>Settlement Amount</t>
  </si>
  <si>
    <t>API 95J</t>
  </si>
  <si>
    <t xml:space="preserve">Site-Specific  </t>
  </si>
  <si>
    <t>Selected Method of Compliance with Airgap</t>
  </si>
  <si>
    <t>Airgap Compliance with Site Specific Values</t>
  </si>
  <si>
    <t>Answer (to the right)</t>
  </si>
  <si>
    <t>Penetration Assumed (ft)</t>
  </si>
  <si>
    <t>Note: 30 CFR 250.417 requires submission of information to show that site-specific soil and oceanographic conditions will support the drilling unit</t>
  </si>
  <si>
    <t>Explanation (if any)</t>
  </si>
  <si>
    <t>To be filled in: Used in Calculating other entries</t>
  </si>
  <si>
    <t>To be filled in for Info only</t>
  </si>
  <si>
    <t>30 CFR 250.417 What must I provide if I plan to use a mobile offshore drilling unit (MODU)? -</t>
  </si>
  <si>
    <t xml:space="preserve">Recommended Practice for Site Specific Assessment of Mobile Jack-up Units - Gulf of Mexico Annex (SNAME 5-5A) Rev 0 August 2006. </t>
  </si>
  <si>
    <t>Note that there is a ramping period from 1 Aug to 14 Aug before the peak and 7 Oct to 21 Oct after the peak.  These ramping periods have been assumed to be within the "Peak Hurricane Season"</t>
  </si>
  <si>
    <t>Explain (if any)</t>
  </si>
  <si>
    <t>Airgap (ft)</t>
  </si>
  <si>
    <t>API 95J Airgap (ft)</t>
  </si>
  <si>
    <t xml:space="preserve">Note: It may be necessary in the future to characterize Offshore Terminals close by, and Offshore Wind farms </t>
  </si>
  <si>
    <t>Airgap compliance</t>
  </si>
  <si>
    <t>General Information</t>
  </si>
  <si>
    <t>Structural Information</t>
  </si>
  <si>
    <t>What is the year  the site Geotechnical Information was obtained at the proposed site?  (YYYY)</t>
  </si>
  <si>
    <t>Soils Information for Mat Rig</t>
  </si>
  <si>
    <t>Total Leg Length:</t>
  </si>
  <si>
    <t>Distance over Guides</t>
  </si>
  <si>
    <t>Leg Length Check</t>
  </si>
  <si>
    <t>Length (ft)</t>
  </si>
  <si>
    <t>Breadth    (ft)</t>
  </si>
  <si>
    <t>Depth   (ft)</t>
  </si>
  <si>
    <t xml:space="preserve">Rig Type (Builder) </t>
  </si>
  <si>
    <t>Zone:</t>
  </si>
  <si>
    <t>GoM Annex</t>
  </si>
  <si>
    <t>Note: 30 CFR 250.417 requires submission of maximum environmental and operating conditions: Fill in Closest match in #1, #2 and/or #3</t>
  </si>
  <si>
    <t xml:space="preserve">GEOTECH (SOILS) WORKSHEET </t>
  </si>
  <si>
    <t>GoM Annex Wind</t>
  </si>
  <si>
    <t>GoM Annex Wave</t>
  </si>
  <si>
    <t>Waterdepth/Region</t>
  </si>
  <si>
    <t>GoM Values</t>
  </si>
  <si>
    <t>50 Year Hmax Int-Met (ft)</t>
  </si>
  <si>
    <t>10 Year - see below</t>
  </si>
  <si>
    <t>Other: Specified</t>
  </si>
  <si>
    <t xml:space="preserve">  </t>
  </si>
  <si>
    <t xml:space="preserve">   </t>
  </si>
  <si>
    <t xml:space="preserve">No </t>
  </si>
  <si>
    <t>Block Area</t>
  </si>
  <si>
    <t>Rig Heading</t>
  </si>
  <si>
    <t>Latitude:</t>
  </si>
  <si>
    <t>Longitude:</t>
  </si>
  <si>
    <t>Rig Name</t>
  </si>
  <si>
    <t>Operator</t>
  </si>
  <si>
    <t>Water Depth</t>
  </si>
  <si>
    <t>Location Name</t>
  </si>
  <si>
    <t>Part of Season</t>
  </si>
  <si>
    <t>Jack-up Owner</t>
  </si>
  <si>
    <t>Hurricane Threat</t>
  </si>
  <si>
    <t>In Class</t>
  </si>
  <si>
    <t>Structural Outstandings</t>
  </si>
  <si>
    <t>Basis of Geotech Assumptions</t>
  </si>
  <si>
    <t>Action/Modification</t>
  </si>
  <si>
    <t>NTL 2008-G10 Requirements</t>
  </si>
  <si>
    <t>Soils information for Independent Leg Units</t>
  </si>
  <si>
    <t>B</t>
  </si>
  <si>
    <t>C</t>
  </si>
  <si>
    <t>D</t>
  </si>
  <si>
    <t>E</t>
  </si>
  <si>
    <t xml:space="preserve">F </t>
  </si>
  <si>
    <t>G</t>
  </si>
  <si>
    <t>H</t>
  </si>
  <si>
    <t>I</t>
  </si>
  <si>
    <t>J</t>
  </si>
  <si>
    <t>K</t>
  </si>
  <si>
    <t>L</t>
  </si>
  <si>
    <t>M</t>
  </si>
  <si>
    <t>N</t>
  </si>
  <si>
    <t>O</t>
  </si>
  <si>
    <t>P</t>
  </si>
  <si>
    <t>Q</t>
  </si>
  <si>
    <t>R</t>
  </si>
  <si>
    <t>S</t>
  </si>
  <si>
    <t>T</t>
  </si>
  <si>
    <t>U</t>
  </si>
  <si>
    <t>W</t>
  </si>
  <si>
    <t xml:space="preserve">V </t>
  </si>
  <si>
    <t>X</t>
  </si>
  <si>
    <t>Z</t>
  </si>
  <si>
    <t>AA</t>
  </si>
  <si>
    <t>AB</t>
  </si>
  <si>
    <t>AC</t>
  </si>
  <si>
    <t>AF</t>
  </si>
  <si>
    <t>AG</t>
  </si>
  <si>
    <t>AK</t>
  </si>
  <si>
    <t>AL</t>
  </si>
  <si>
    <t>AM</t>
  </si>
  <si>
    <t>AN</t>
  </si>
  <si>
    <t>AO</t>
  </si>
  <si>
    <t>AP</t>
  </si>
  <si>
    <t>AQ</t>
  </si>
  <si>
    <t>AR</t>
  </si>
  <si>
    <t>AS</t>
  </si>
  <si>
    <t>AT</t>
  </si>
  <si>
    <t>AU</t>
  </si>
  <si>
    <t>AV</t>
  </si>
  <si>
    <t>AW</t>
  </si>
  <si>
    <t>AX</t>
  </si>
  <si>
    <r>
      <t>The top pull-down boxes will convert   1-hr to 1-min windspeed using: V</t>
    </r>
    <r>
      <rPr>
        <vertAlign val="subscript"/>
        <sz val="10"/>
        <rFont val="Arial"/>
        <family val="2"/>
      </rPr>
      <t>1-min</t>
    </r>
    <r>
      <rPr>
        <sz val="10"/>
        <rFont val="Arial"/>
      </rPr>
      <t>=V</t>
    </r>
    <r>
      <rPr>
        <vertAlign val="subscript"/>
        <sz val="10"/>
        <rFont val="Arial"/>
        <family val="2"/>
      </rPr>
      <t>1-hr</t>
    </r>
    <r>
      <rPr>
        <sz val="10"/>
        <rFont val="Arial"/>
      </rPr>
      <t>((1.007+0.004331 V</t>
    </r>
    <r>
      <rPr>
        <vertAlign val="subscript"/>
        <sz val="10"/>
        <rFont val="Arial"/>
        <family val="2"/>
      </rPr>
      <t>1-hr</t>
    </r>
    <r>
      <rPr>
        <sz val="10"/>
        <rFont val="Arial"/>
      </rPr>
      <t>) where V in m/sec; V</t>
    </r>
    <r>
      <rPr>
        <vertAlign val="subscript"/>
        <sz val="10"/>
        <rFont val="Arial"/>
        <family val="2"/>
      </rPr>
      <t>1-min</t>
    </r>
    <r>
      <rPr>
        <sz val="10"/>
        <rFont val="Arial"/>
      </rPr>
      <t>=V</t>
    </r>
    <r>
      <rPr>
        <vertAlign val="subscript"/>
        <sz val="10"/>
        <rFont val="Arial"/>
        <family val="2"/>
      </rPr>
      <t>1-hr</t>
    </r>
    <r>
      <rPr>
        <sz val="10"/>
        <rFont val="Arial"/>
      </rPr>
      <t>((1.007+0.002228 V</t>
    </r>
    <r>
      <rPr>
        <vertAlign val="subscript"/>
        <sz val="10"/>
        <rFont val="Arial"/>
        <family val="2"/>
      </rPr>
      <t>1-hr)</t>
    </r>
    <r>
      <rPr>
        <sz val="10"/>
        <rFont val="Arial"/>
      </rPr>
      <t xml:space="preserve"> where V in knots; V</t>
    </r>
    <r>
      <rPr>
        <vertAlign val="subscript"/>
        <sz val="10"/>
        <rFont val="Arial"/>
        <family val="2"/>
      </rPr>
      <t>1-min</t>
    </r>
    <r>
      <rPr>
        <sz val="10"/>
        <rFont val="Arial"/>
      </rPr>
      <t>=V</t>
    </r>
    <r>
      <rPr>
        <vertAlign val="subscript"/>
        <sz val="10"/>
        <rFont val="Arial"/>
        <family val="2"/>
      </rPr>
      <t>1-hr</t>
    </r>
    <r>
      <rPr>
        <sz val="10"/>
        <rFont val="Arial"/>
      </rPr>
      <t>(1.007+0.001320 V</t>
    </r>
    <r>
      <rPr>
        <vertAlign val="subscript"/>
        <sz val="10"/>
        <rFont val="Arial"/>
        <family val="2"/>
      </rPr>
      <t>1-hr</t>
    </r>
    <r>
      <rPr>
        <sz val="10"/>
        <rFont val="Arial"/>
      </rPr>
      <t>) where V in ft/sec. This may not always be the appropriate figure but  the user can input the 1-min mean wind speed directly in that case so no conversion will take place.  The bottom figure makes the conversion from ft/sec or meters/sec to knots.</t>
    </r>
  </si>
  <si>
    <t>Leg length is used to ensure sufficient leg at location incl. reserve. For a mat jackup the leg length is measured to the bottom of the mat to ensure leg length calculation is correct on "Structure Worksheet"</t>
  </si>
  <si>
    <t>Reserve of Leg (ft)</t>
  </si>
  <si>
    <t>The location is in the Int-Met boundaries but in non-applicable area of API Int-Met?</t>
  </si>
  <si>
    <t>Critical Facilities are defined as those with production &gt; 50000 bopd. Major Hub Structures have a throughput of &gt;50000 bopd.</t>
  </si>
  <si>
    <t>The value selected here or specified value recorded is transferred to the Assessment Results to state the Drilling Contractor's Survival Case.  Pre-Ivan standards point to an accpetable 10-year return period without consideration of  High or Medium Consequence locations.</t>
  </si>
  <si>
    <t xml:space="preserve">The Consequences from Infrastructure is copied from the Leaseholder Provided data (sheet).  The color is determined Green=Low, Yellow = Medium or  Red= High Consequences. </t>
  </si>
  <si>
    <t xml:space="preserve">                          How will you comply w/ Airgap Requirement?</t>
  </si>
  <si>
    <t>10-Yr Site Seasonal</t>
  </si>
  <si>
    <t>50-Yr Site Seasonal</t>
  </si>
  <si>
    <t>100-Yr Site Seasonal</t>
  </si>
  <si>
    <t>50-Yr Site Specific</t>
  </si>
  <si>
    <t>100-Yr Site Specific</t>
  </si>
  <si>
    <t>HIGH CONSEQUENCE</t>
  </si>
  <si>
    <t xml:space="preserve">If this Number of High Consequence items is =1 or more the location is designated as HIGH Consequence based on the given criteria. </t>
  </si>
  <si>
    <t>Total Number of High Consequence Items</t>
  </si>
  <si>
    <t xml:space="preserve">The leaseholder here may explain how the site should be designated differently than determined by the criteria set out because of mitigating factors.  In order to do that it is required to give the explanation and then ensure that the Total Number of High Consequence Items is set to 0 over-riding the summation in the box. </t>
  </si>
  <si>
    <t>Information on Calculation Requirements for High Consequence</t>
  </si>
  <si>
    <t xml:space="preserve">Note: for Low Consequence locations engineering judgment estimates can be made from previous studies, knowledge of rig design values etc. but for High and Medium Consequence sites a calculation is required for the site conditions. </t>
  </si>
  <si>
    <t>MEDIUM CONSEQUENCE</t>
  </si>
  <si>
    <t>Total Number of Medium Consequence Items</t>
  </si>
  <si>
    <t xml:space="preserve">If this Number of Medium Consequence items is =1 or more the location is designated as MEDIUM Consequence based on the given criteria. </t>
  </si>
  <si>
    <t xml:space="preserve">The leaseholder here may explain how the site was designated differently than determined by the criteria set out because of mitigating factors. In order to do that it is required to give the explanation and then ensure that the Total Number of Medium Consequence Items is set to 0 over-riding the summation in the box. </t>
  </si>
  <si>
    <t>Information on Calculation Requirements for Medium Consequence</t>
  </si>
  <si>
    <t>LOW CONSEQUENCE</t>
  </si>
  <si>
    <t xml:space="preserve">Consequence Summation for this Location from Above and Further Explanation of any consequence of movement </t>
  </si>
  <si>
    <t xml:space="preserve">The results of the foregoing tabulation of high and medium Consequence situations is summarized and an explanation of the consequences of any movement stated: (e.g. Movement could shear conductor but fluids held by SSV; cantilever retracted so no damage to platform valves if live): </t>
  </si>
  <si>
    <t xml:space="preserve">The distance between  the information source and the required site has been set at a max of 1000 ft as a screening tool. Depending on the site and Consequence level, the distance may need to be decreased for the site specific location or for future revisions. </t>
  </si>
  <si>
    <t>Leaseholder: 1</t>
  </si>
  <si>
    <t xml:space="preserve">Drawing #, Revision &amp; Date for Infrastructure Chart (if Submitted)  </t>
  </si>
  <si>
    <t xml:space="preserve">Drawing #,  Revision &amp; Date for Infrastructure Chart (if Submitted)  </t>
  </si>
  <si>
    <t>Description of Critical Items: LEASEHOLDER SUPPLIED INFORMATION</t>
  </si>
  <si>
    <t>SUMMARY INFORMATION: LEASEHOLDER SUPPLIED INFORMATION</t>
  </si>
  <si>
    <t>NTL 2008-G10 Requirements: LEASEHOLDER SUPPLIED INFORMATION</t>
  </si>
  <si>
    <t>Overall Information:  LEASEHOLDER SUPPLIED INFORMATION</t>
  </si>
  <si>
    <t>Overall Information - Independent Leg Units Only:  LEASEHOLDER SUPPLIED INFORMATION</t>
  </si>
  <si>
    <t>Airgap Compliance with Int-Met and no Contingency or Settlement</t>
  </si>
  <si>
    <t>Year the Site Geotechnical Information was obtained at the proposed site  (YYYY)</t>
  </si>
  <si>
    <t xml:space="preserve"> Leaseholder Provided Data sheet</t>
  </si>
  <si>
    <t xml:space="preserve">Scour was previously screened as important if the soil was sand and there is a potential for high currents or a breaking wave.  This may be an insufficient criteria for owners. </t>
  </si>
  <si>
    <t>AY</t>
  </si>
  <si>
    <t>AZ</t>
  </si>
  <si>
    <t>BA</t>
  </si>
  <si>
    <t>BB</t>
  </si>
  <si>
    <t>Criteria Selection Geotech</t>
  </si>
  <si>
    <t>Mesotech Supplied?</t>
  </si>
  <si>
    <t>Jackkup here before</t>
  </si>
  <si>
    <t>Jackup history</t>
  </si>
  <si>
    <t>Airgap Compliance</t>
  </si>
  <si>
    <t>Punchthru going ON</t>
  </si>
  <si>
    <t>Survival Case</t>
  </si>
  <si>
    <t>&lt; 4 ft settlement</t>
  </si>
  <si>
    <t>Tie Seismic?</t>
  </si>
  <si>
    <t>Load -Pen Curve</t>
  </si>
  <si>
    <t>Is Punchthrough expected on  Location during storm?</t>
  </si>
  <si>
    <t>Geotech &gt; mat width</t>
  </si>
  <si>
    <t>Struct. Case#4</t>
  </si>
  <si>
    <t>Str. Case #5</t>
  </si>
  <si>
    <t>Sand under can</t>
  </si>
  <si>
    <t>How many Offshore Terminals or similar structures within 2 miles (e.g. LNG Offloading/ LOOP Facility)?</t>
  </si>
  <si>
    <t xml:space="preserve">NTL 2008-G10 Information:  (Currently Considered Optional) </t>
  </si>
  <si>
    <t>NTL 2008-G10 Optional Information:</t>
  </si>
  <si>
    <t>Assessment- Surface</t>
  </si>
  <si>
    <t>FROM OPTIONAL NTL WORKSHEET</t>
  </si>
  <si>
    <t>Geotech good enough?</t>
  </si>
  <si>
    <t>Overall Information - Independent Leg Units Only</t>
  </si>
  <si>
    <t xml:space="preserve">What is the proposed depth below mudline of your storm packer? (feet) </t>
  </si>
  <si>
    <t xml:space="preserve">Days on Location </t>
  </si>
  <si>
    <t xml:space="preserve">On Location during Hurricane Season? </t>
  </si>
  <si>
    <t xml:space="preserve">On Location during PEAK Hurricane Season? </t>
  </si>
  <si>
    <t xml:space="preserve">Year Jack-Up was built </t>
  </si>
  <si>
    <t xml:space="preserve">Maximum Design Water Depth (feet) </t>
  </si>
  <si>
    <t>McClelland Engineers 1979 - Strength Characteristics of the Near Seafloor Continental Shelf Deposits of Northern Central Gulf of Mexico.</t>
  </si>
  <si>
    <t xml:space="preserve">Max.  Design Water Depth (feet) </t>
  </si>
  <si>
    <t>Don't Know</t>
  </si>
  <si>
    <t>Comments</t>
  </si>
  <si>
    <t>The Waterdepth is used throughout and is used in deriving the metocean values from Int-Met, as well as determining some areas of Int-Met validity; the airgap etc. The lowest waterdepth limit is 40 ft. below which neither API 95J nor Int-Met are valid, though much of the rest of the spreadsheet is useable</t>
  </si>
  <si>
    <t>Calculated</t>
  </si>
  <si>
    <t xml:space="preserve">The OCS location (Location Area and Blockonly - not Longitude) is compared to the mudslide map. If the location is within the mudslide area a flag advises that a mudslide expert report is needed to further determine the Consequence of a mudslide on that location. An Explanation is requested to explain to action / and report. </t>
  </si>
  <si>
    <t>(Results from Structure worksheet)</t>
  </si>
  <si>
    <t xml:space="preserve">Leaseholder Data </t>
  </si>
  <si>
    <t>(Result from Leaseholder Data worksheet)</t>
  </si>
  <si>
    <t xml:space="preserve"> (Result from Longitude value)</t>
  </si>
  <si>
    <t xml:space="preserve">A calculated Load-Penetration curve is a first step to understanding the basis of the potential settlement issue.  The submission of the Load-Penetration curve is to look at the </t>
  </si>
  <si>
    <t>Leaseholder 10:</t>
  </si>
  <si>
    <t>Leaseholder 11:</t>
  </si>
  <si>
    <t xml:space="preserve">Leaseholder 12: </t>
  </si>
  <si>
    <t>Leaseholder 13:</t>
  </si>
  <si>
    <t xml:space="preserve">If Consequence Level was downgraded either from High or Medium to a lower Value, the explanation is as follows: </t>
  </si>
  <si>
    <t>If there are mitigating factors that would downgrade the consequences e.g. 12" pipeline flow is reduced or pipeline is abandoned:   Please Explain : or type NONE</t>
  </si>
  <si>
    <t>NONE</t>
  </si>
  <si>
    <t xml:space="preserve">If there are mitigating factors that would downgrade the consequences e.g. Critical facility is not on line:   Please Explain: or type NONE  </t>
  </si>
  <si>
    <t xml:space="preserve">Geotech 10: </t>
  </si>
  <si>
    <t>Geotech 3:</t>
  </si>
  <si>
    <t>Geotech 4: this is ind leg</t>
  </si>
  <si>
    <t>Geotech 7:</t>
  </si>
  <si>
    <t xml:space="preserve">Geotech 8:  </t>
  </si>
  <si>
    <t xml:space="preserve">Geotech 9: </t>
  </si>
  <si>
    <t xml:space="preserve">    </t>
  </si>
  <si>
    <t>Proposed depth below mudline of storm packer? (feet)</t>
  </si>
  <si>
    <t xml:space="preserve">Airgap Compliance with Site-Specific Data? </t>
  </si>
  <si>
    <t>Optional Worksheet: on NTL G10 Information</t>
  </si>
  <si>
    <t>Dates for  Season</t>
  </si>
  <si>
    <t xml:space="preserve">Coord. </t>
  </si>
  <si>
    <t>Soil&lt;100 psf</t>
  </si>
  <si>
    <t>Overall Information - Mat Units Only</t>
  </si>
  <si>
    <t xml:space="preserve">How Far Away from the Center of the Rig was the geotechnical information?  (ft)        </t>
  </si>
  <si>
    <t xml:space="preserve">Medium Risk </t>
  </si>
  <si>
    <t>Has there been a jack-up operating at this location before?</t>
  </si>
  <si>
    <t>Jack-up Checksheet</t>
  </si>
  <si>
    <t>Jack-up Name:</t>
  </si>
  <si>
    <t>Jack-up Owner:</t>
  </si>
  <si>
    <t xml:space="preserve">                                                Jack-up Checksheet</t>
  </si>
  <si>
    <t>Jack-up Rig Information Worksheet - and Pre-Structural Evaluation</t>
  </si>
  <si>
    <t>Jack-up Checklist</t>
  </si>
  <si>
    <t>Maximum Design Operating Waterdepth  (ft)</t>
  </si>
  <si>
    <t>Jack-up Checksheet: Minerals Management Service</t>
  </si>
  <si>
    <t>Mat Jack-up Only</t>
  </si>
  <si>
    <t>Independent Leg Jack-up Only</t>
  </si>
  <si>
    <t>ASSESSMENT RESULTS</t>
  </si>
  <si>
    <t>NTL 2008-G05 Shallow Hazards Program - April 1, 2008, to  March 31, 2013</t>
  </si>
  <si>
    <t>Criteria Selection Operator</t>
  </si>
  <si>
    <t xml:space="preserve">Date on which Leaseholder Information completed  </t>
  </si>
  <si>
    <t>Approximate Methods not Allowed - Formal Calcuation Required.</t>
  </si>
  <si>
    <t>Sufficient</t>
  </si>
  <si>
    <t>Scour Ind Leg Units</t>
  </si>
  <si>
    <t>Sand &lt;150 ft</t>
  </si>
  <si>
    <t xml:space="preserve">Operator minimum required  Survival Storm (Full Population) was: </t>
  </si>
  <si>
    <t>"Number of Items"</t>
  </si>
  <si>
    <t>Rigorous Calculations Required: Approximate Methods not allowed</t>
  </si>
  <si>
    <t>What Return Period was selected by Drilling Contractor for the  Survival  Case?</t>
  </si>
  <si>
    <t>N/A</t>
  </si>
  <si>
    <t xml:space="preserve">The selected Survival Case used for Calculation (drilling contractor) was:     </t>
  </si>
  <si>
    <t xml:space="preserve">The Soil at location is described as: </t>
  </si>
  <si>
    <t>password</t>
  </si>
  <si>
    <t>Airgap Compliance with API  Int-Met without Contingency</t>
  </si>
  <si>
    <t>Str Method</t>
  </si>
  <si>
    <t xml:space="preserve">Airgap Compliance with Site Specific Data? </t>
  </si>
  <si>
    <t>Structure Factor 1</t>
  </si>
  <si>
    <t>Structure Factor 2</t>
  </si>
  <si>
    <t>Estimated *</t>
  </si>
  <si>
    <t>Calculated *</t>
  </si>
  <si>
    <t>No Info *</t>
  </si>
  <si>
    <t>Description of Soil at Location</t>
  </si>
  <si>
    <t>Strength below Spud Can Sufficient</t>
  </si>
  <si>
    <t xml:space="preserve">Reserve of Leg at this Location </t>
  </si>
  <si>
    <t xml:space="preserve">              Jack-up Checksheet</t>
  </si>
  <si>
    <r>
      <t>If jack-up is working in an area (2 mi) where H</t>
    </r>
    <r>
      <rPr>
        <vertAlign val="subscript"/>
        <sz val="10"/>
        <rFont val="Arial"/>
        <family val="2"/>
      </rPr>
      <t>2</t>
    </r>
    <r>
      <rPr>
        <sz val="10"/>
        <rFont val="Arial"/>
      </rPr>
      <t>S is expected - type "1", otherwise type "0".</t>
    </r>
  </si>
  <si>
    <t xml:space="preserve">How Many Major Pipelines (= or &gt; 10" diam.) are &lt;200 yards of the jack-up? </t>
  </si>
  <si>
    <t>10 yr Site Specific</t>
  </si>
  <si>
    <t>Basis of Soil Information and year obtained. and Suitability</t>
  </si>
  <si>
    <t>Does the Jack-Up meet the requirements of the Contingency curve with NO settlement?</t>
  </si>
  <si>
    <t>Red Flag warning - or requiring Explanation</t>
  </si>
  <si>
    <t>GoM Annex Information  &amp;  Survival Case Selection</t>
  </si>
  <si>
    <t>Maximum Environmental Information:  (may be contained in Marine Operating Manual) referred herein as "Benchmark" Cases (Optional)</t>
  </si>
  <si>
    <t xml:space="preserve">It is important to note who completed the Checksheet /or approved it so that if questions arise there is an opportunity to have further dialog. </t>
  </si>
  <si>
    <t xml:space="preserve">The location (Lot and Block) is used to screen for applicability of Bulletin 2 Int-Met since some areas are excluded; and to check if the jackup is in the Mudslide Zone. </t>
  </si>
  <si>
    <t>The basis of the soil assumption was selected on the Leaseholder Provided Data worksheet and is repeated here for review with the Geotech information.</t>
  </si>
  <si>
    <t>m/sec</t>
  </si>
  <si>
    <t>Wind Speed 1 Min Mean</t>
  </si>
  <si>
    <t>25 Year Hmax Int-Met (ft)</t>
  </si>
  <si>
    <t>1-min Wind 10 Yr (kts)</t>
  </si>
  <si>
    <t>1-min Wind 50 Yr (kts)</t>
  </si>
  <si>
    <t>1-min Wind 100 Yr (kts)</t>
  </si>
  <si>
    <t>Assessment 1-min mean  (kts)</t>
  </si>
  <si>
    <t>Winter Storm 1-min mean  (kts)</t>
  </si>
  <si>
    <t>If input is ft/sec or m/sec the conversion to knots takes place based on this pull-down menu</t>
  </si>
  <si>
    <t>There are 3 possible compliance gates for airgap: API 95J, Int-Met with and without contingencies; and Site Specific data</t>
  </si>
  <si>
    <t xml:space="preserve">Overview of the anticipation that life-safety issues have been complied with. The survivability is for an abandoned jack-up and asked about below. </t>
  </si>
  <si>
    <t>Soil Proviced is sufficient</t>
  </si>
  <si>
    <t>The longitude together with the waterdepth  determines the Int-Met values.  No check is made as to whether the OCS Block is compatible with this value</t>
  </si>
  <si>
    <t>The reserve of leg is calculated on the Structure Worksheet and copied here. Cell is Green if the leg length is sufficient, Red if it is not.  The requirement includes a 6 ft reserve.</t>
  </si>
  <si>
    <t xml:space="preserve">This question determines whether the responder is of the opinion that the information supplied is sufficient for the location.  It may be that the responder intends to take soil measurements on location or there may be other appropriate explanations. </t>
  </si>
  <si>
    <t>It has generally been agreed that more than 4 ft of settlement in a demanning situation is the extreme case. For survivability it has been agreed that more than 6 ft of settlement would likely result in further deterioration and ultimate demise of the jack-up. (6 ft was the reported settlement on the GSF High Island 2 after Hurricane Rita).</t>
  </si>
  <si>
    <t xml:space="preserve">It is important to note who completed the Checksheet / or approved it, so that if questions arise there is an opportunity to have further dialog. </t>
  </si>
  <si>
    <t>API Int-Met w/Contingency</t>
  </si>
  <si>
    <t>API Int-Met w/o Contingency</t>
  </si>
  <si>
    <t>With Contingency contains figures of 5%: API 95J recommends 3%-5% and a 4 ft settlement. If neither of those applies the number without Contingency is used.</t>
  </si>
  <si>
    <t>Contingency Factor on Wave</t>
  </si>
  <si>
    <t>Contingency 3%-5%</t>
  </si>
  <si>
    <t xml:space="preserve">This figure contains the airgap with no contingency for wave or settlement. </t>
  </si>
  <si>
    <t xml:space="preserve">This figure is ignored if Site Specific data is not used. </t>
  </si>
  <si>
    <t>The numbers for Int-Met data for the applicable region are given alongside the Site Specific numbers for logical comparison.</t>
  </si>
  <si>
    <t>Int- Met Wind Speed</t>
  </si>
  <si>
    <t>Optional 1:</t>
  </si>
  <si>
    <t xml:space="preserve">Optional 2: </t>
  </si>
  <si>
    <t xml:space="preserve">Optional 3: </t>
  </si>
  <si>
    <t>Structure 1:</t>
  </si>
  <si>
    <t>The Survival case used here is the Drilling Contractor's survival case. It has been assumed that the drilling contractor will be completing the calculations. On the Assessment Results worksheet if the Leaseholder requirement is higher -it is noted. If another Specified Survival case is used then the details are noted.  The return period should be noted.</t>
  </si>
  <si>
    <t>Note: Assessment Case compliance is reported since this is expected to be a manned condition with demanning underway.</t>
  </si>
  <si>
    <t>This information is provided for comparative purposes only.</t>
  </si>
  <si>
    <t>Rev: 11
Optional page N/A added to options Yes/No.  - Reporting of optional issues delete from Assessment page. 
Structural question after establishing class -removed since structure is USCG issue.
Add comment to characterize estimate and calculations in Structural Factor. 
Location:: Brackets around scour issue  (Max bearing area of spud can + 5ft on sand)  for clarity
Location: note added to explain answer after mat rig on &lt;100 psf shear strength.
Metociean: Max W.D. Rating removed from metocean page - irrelevant
Genotech: Remove requirement for FofS of 1.2 in Survival storm on sand - FofS for Survival is 1.0.</t>
  </si>
  <si>
    <t xml:space="preserve">An option is provided based to associate the site specific data with a different return period event. Based on the stakeholders' view of risk a return period can be selected as any value and thus its value is recorded here. </t>
  </si>
  <si>
    <t>Sufficient Airgap for API  95J?</t>
  </si>
  <si>
    <t xml:space="preserve">If Airgap is insufficient (negative number) then depending on the method of airgap compliance it may be possible to decrease the requirement by going to site specific data, or possibly to Int-Met compliance if API 95J is not achieved. (It may be prudent in some locations to use a lower airgap since some risks increase with higher airgap). </t>
  </si>
  <si>
    <t xml:space="preserve">This location provides a flag if the jack-up is in the highest seasonal risk area and time; If it is possible to mitigate the risk by drilling at an alternative time - an opportunity has been provided for commenting on this: if not, the questions proceed.  The comment may be a simple "NO". </t>
  </si>
  <si>
    <t>API 95J calls for information on the location if a jack-up has operated there before. Such information may include location, penetrations and footprint dimensions. Any anomalies left by the previous rig's operations should be provided.</t>
  </si>
  <si>
    <t xml:space="preserve">This information is requested because the surface soils may have changed for surface soils (mat rigs) and measurement techniques may have changed.  No specific requirements are made other than provision of the date when the information was obtained at 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</si>
</sst>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0.0"/>
    <numFmt numFmtId="170" formatCode="[$-409]d\-mmm;@"/>
    <numFmt numFmtId="172" formatCode="0\ &quot;feet&quot;"/>
    <numFmt numFmtId="174" formatCode="[$-409]d\-mmm\-yy;@"/>
  </numFmts>
  <fonts count="42" x14ac:knownFonts="1">
    <font>
      <sz val="10"/>
      <name val="Arial"/>
    </font>
    <font>
      <sz val="10"/>
      <name val="Arial"/>
    </font>
    <font>
      <sz val="8"/>
      <name val="Tahoma"/>
      <family val="2"/>
    </font>
    <font>
      <sz val="10"/>
      <color indexed="10"/>
      <name val="Arial"/>
    </font>
    <font>
      <sz val="8"/>
      <name val="Arial"/>
    </font>
    <font>
      <u/>
      <sz val="10"/>
      <color indexed="12"/>
      <name val="Arial"/>
    </font>
    <font>
      <b/>
      <sz val="10"/>
      <name val="Arial"/>
      <family val="2"/>
    </font>
    <font>
      <sz val="10"/>
      <name val="Times New Roman"/>
      <family val="1"/>
    </font>
    <font>
      <b/>
      <sz val="12"/>
      <name val="Arial"/>
      <family val="2"/>
    </font>
    <font>
      <b/>
      <i/>
      <sz val="10"/>
      <name val="Arial"/>
      <family val="2"/>
    </font>
    <font>
      <i/>
      <sz val="10"/>
      <name val="Arial"/>
      <family val="2"/>
    </font>
    <font>
      <b/>
      <sz val="10"/>
      <color indexed="10"/>
      <name val="Arial"/>
      <family val="2"/>
    </font>
    <font>
      <sz val="10"/>
      <name val="Arial"/>
      <family val="2"/>
    </font>
    <font>
      <sz val="12"/>
      <name val="Times New Roman"/>
      <family val="1"/>
    </font>
    <font>
      <sz val="8"/>
      <name val="Arial"/>
      <family val="2"/>
    </font>
    <font>
      <sz val="10"/>
      <color indexed="55"/>
      <name val="Arial"/>
    </font>
    <font>
      <sz val="10"/>
      <color indexed="9"/>
      <name val="Arial"/>
    </font>
    <font>
      <sz val="10"/>
      <color indexed="10"/>
      <name val="Times New Roman"/>
      <family val="1"/>
    </font>
    <font>
      <sz val="10"/>
      <color indexed="12"/>
      <name val="Arial"/>
    </font>
    <font>
      <b/>
      <sz val="10"/>
      <color indexed="12"/>
      <name val="Arial"/>
      <family val="2"/>
    </font>
    <font>
      <sz val="10"/>
      <name val="Arial"/>
    </font>
    <font>
      <sz val="9"/>
      <name val="Courier New"/>
      <family val="3"/>
    </font>
    <font>
      <b/>
      <sz val="9"/>
      <name val="Courier New"/>
      <family val="3"/>
    </font>
    <font>
      <b/>
      <sz val="10"/>
      <name val="Times New Roman"/>
      <family val="1"/>
    </font>
    <font>
      <b/>
      <sz val="10"/>
      <color indexed="61"/>
      <name val="Arial"/>
      <family val="2"/>
    </font>
    <font>
      <b/>
      <sz val="10"/>
      <color indexed="48"/>
      <name val="Arial"/>
      <family val="2"/>
    </font>
    <font>
      <sz val="10"/>
      <color indexed="61"/>
      <name val="Arial"/>
      <family val="2"/>
    </font>
    <font>
      <sz val="18"/>
      <name val="Arial"/>
    </font>
    <font>
      <vertAlign val="subscript"/>
      <sz val="10"/>
      <name val="Arial"/>
      <family val="2"/>
    </font>
    <font>
      <sz val="11"/>
      <name val="Arial"/>
    </font>
    <font>
      <sz val="10"/>
      <name val="Courier New"/>
      <family val="3"/>
    </font>
    <font>
      <sz val="10"/>
      <color indexed="10"/>
      <name val="Arial"/>
      <family val="2"/>
    </font>
    <font>
      <sz val="9"/>
      <name val="Arial"/>
    </font>
    <font>
      <b/>
      <sz val="10"/>
      <name val="Arial"/>
    </font>
    <font>
      <sz val="10"/>
      <color indexed="9"/>
      <name val="Arial"/>
      <family val="2"/>
    </font>
    <font>
      <b/>
      <sz val="10"/>
      <color indexed="9"/>
      <name val="Arial"/>
      <family val="2"/>
    </font>
    <font>
      <b/>
      <sz val="10"/>
      <color indexed="9"/>
      <name val="Arial"/>
    </font>
    <font>
      <b/>
      <sz val="12"/>
      <color indexed="9"/>
      <name val="Arial"/>
      <family val="2"/>
    </font>
    <font>
      <b/>
      <sz val="9"/>
      <color indexed="10"/>
      <name val="Arial"/>
      <family val="2"/>
    </font>
    <font>
      <b/>
      <sz val="10"/>
      <color indexed="12"/>
      <name val="Courier New"/>
      <family val="3"/>
    </font>
    <font>
      <sz val="10"/>
      <color indexed="12"/>
      <name val="Arial"/>
      <family val="2"/>
    </font>
    <font>
      <b/>
      <sz val="14"/>
      <name val="Arial"/>
      <family val="2"/>
    </font>
  </fonts>
  <fills count="1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11"/>
        <bgColor indexed="64"/>
      </patternFill>
    </fill>
    <fill>
      <patternFill patternType="solid">
        <fgColor indexed="65"/>
        <bgColor indexed="64"/>
      </patternFill>
    </fill>
    <fill>
      <patternFill patternType="solid">
        <fgColor indexed="15"/>
        <bgColor indexed="64"/>
      </patternFill>
    </fill>
    <fill>
      <patternFill patternType="solid">
        <fgColor indexed="9"/>
        <bgColor indexed="64"/>
      </patternFill>
    </fill>
    <fill>
      <patternFill patternType="solid">
        <fgColor indexed="14"/>
        <bgColor indexed="64"/>
      </patternFill>
    </fill>
    <fill>
      <patternFill patternType="solid">
        <fgColor indexed="9"/>
        <bgColor indexed="9"/>
      </patternFill>
    </fill>
    <fill>
      <patternFill patternType="solid">
        <fgColor indexed="44"/>
        <bgColor indexed="64"/>
      </patternFill>
    </fill>
    <fill>
      <patternFill patternType="solid">
        <fgColor indexed="15"/>
        <bgColor indexed="9"/>
      </patternFill>
    </fill>
    <fill>
      <patternFill patternType="solid">
        <fgColor indexed="13"/>
        <bgColor indexed="9"/>
      </patternFill>
    </fill>
    <fill>
      <patternFill patternType="solid">
        <fgColor indexed="44"/>
        <bgColor indexed="9"/>
      </patternFill>
    </fill>
  </fills>
  <borders count="95">
    <border>
      <left/>
      <right/>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double">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double">
        <color indexed="64"/>
      </left>
      <right style="double">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double">
        <color indexed="64"/>
      </right>
      <top style="double">
        <color indexed="64"/>
      </top>
      <bottom style="dashed">
        <color indexed="64"/>
      </bottom>
      <diagonal/>
    </border>
    <border>
      <left style="double">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ashed">
        <color indexed="64"/>
      </left>
      <right style="double">
        <color indexed="64"/>
      </right>
      <top style="dashed">
        <color indexed="64"/>
      </top>
      <bottom style="double">
        <color indexed="64"/>
      </bottom>
      <diagonal/>
    </border>
    <border>
      <left style="double">
        <color indexed="64"/>
      </left>
      <right style="dashed">
        <color indexed="64"/>
      </right>
      <top style="dashed">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double">
        <color indexed="64"/>
      </bottom>
      <diagonal/>
    </border>
    <border>
      <left style="double">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dashed">
        <color indexed="64"/>
      </left>
      <right style="dashed">
        <color indexed="64"/>
      </right>
      <top style="dashed">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top style="double">
        <color indexed="64"/>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212">
    <xf numFmtId="0" fontId="0" fillId="0" borderId="0" xfId="0"/>
    <xf numFmtId="0" fontId="0" fillId="0" borderId="1" xfId="0" applyBorder="1"/>
    <xf numFmtId="0" fontId="0" fillId="0" borderId="2" xfId="0" applyBorder="1"/>
    <xf numFmtId="0" fontId="0" fillId="0" borderId="3" xfId="0" applyBorder="1"/>
    <xf numFmtId="0" fontId="0" fillId="0" borderId="0" xfId="0" applyFill="1" applyBorder="1"/>
    <xf numFmtId="0" fontId="0" fillId="2" borderId="4" xfId="0" applyFill="1" applyBorder="1"/>
    <xf numFmtId="0" fontId="0" fillId="2" borderId="5" xfId="0" applyFill="1" applyBorder="1"/>
    <xf numFmtId="0" fontId="0" fillId="0" borderId="6" xfId="0" applyBorder="1"/>
    <xf numFmtId="0" fontId="0" fillId="0" borderId="7" xfId="0" applyBorder="1"/>
    <xf numFmtId="0" fontId="0" fillId="0" borderId="8" xfId="0" applyBorder="1"/>
    <xf numFmtId="0" fontId="0" fillId="3" borderId="4" xfId="0" applyFill="1" applyBorder="1"/>
    <xf numFmtId="0" fontId="0" fillId="3" borderId="5" xfId="0" applyFill="1" applyBorder="1"/>
    <xf numFmtId="0" fontId="0" fillId="0" borderId="9" xfId="0" applyBorder="1"/>
    <xf numFmtId="0" fontId="7" fillId="0" borderId="0" xfId="0" applyFont="1" applyFill="1" applyBorder="1" applyAlignment="1" applyProtection="1"/>
    <xf numFmtId="0" fontId="0" fillId="3" borderId="0" xfId="0" applyFill="1"/>
    <xf numFmtId="0" fontId="0" fillId="0" borderId="0" xfId="0" applyBorder="1" applyAlignment="1">
      <alignment horizontal="center"/>
    </xf>
    <xf numFmtId="0" fontId="0" fillId="0" borderId="0" xfId="0" applyBorder="1"/>
    <xf numFmtId="0" fontId="0" fillId="0" borderId="0" xfId="0" applyFill="1" applyAlignment="1">
      <alignment horizontal="center"/>
    </xf>
    <xf numFmtId="0" fontId="0" fillId="0" borderId="0" xfId="0" applyFill="1"/>
    <xf numFmtId="0" fontId="6" fillId="0" borderId="0" xfId="0" applyFont="1" applyAlignment="1">
      <alignment horizontal="center"/>
    </xf>
    <xf numFmtId="0" fontId="0" fillId="3" borderId="0" xfId="0" applyFill="1" applyBorder="1"/>
    <xf numFmtId="0" fontId="0" fillId="3" borderId="10" xfId="0" applyFill="1" applyBorder="1" applyAlignment="1">
      <alignment horizontal="center"/>
    </xf>
    <xf numFmtId="0" fontId="0" fillId="0" borderId="0" xfId="0" applyFill="1" applyBorder="1" applyAlignment="1">
      <alignment horizontal="center"/>
    </xf>
    <xf numFmtId="0" fontId="0" fillId="4" borderId="4" xfId="0" applyFill="1" applyBorder="1"/>
    <xf numFmtId="0" fontId="0" fillId="0" borderId="0" xfId="0" applyAlignment="1">
      <alignment vertical="center"/>
    </xf>
    <xf numFmtId="0" fontId="6" fillId="5" borderId="11" xfId="0" applyFont="1" applyFill="1" applyBorder="1" applyAlignment="1">
      <alignment horizontal="center" vertical="center"/>
    </xf>
    <xf numFmtId="0" fontId="0" fillId="6" borderId="12" xfId="0" applyFill="1" applyBorder="1" applyAlignment="1">
      <alignment horizontal="center" vertical="center"/>
    </xf>
    <xf numFmtId="0" fontId="0" fillId="6" borderId="12" xfId="0" applyFill="1" applyBorder="1" applyAlignment="1">
      <alignment vertical="center"/>
    </xf>
    <xf numFmtId="0" fontId="6" fillId="3" borderId="4" xfId="0" applyFont="1" applyFill="1" applyBorder="1" applyAlignment="1">
      <alignment vertical="center"/>
    </xf>
    <xf numFmtId="0" fontId="6" fillId="3" borderId="13" xfId="0" applyFont="1" applyFill="1" applyBorder="1" applyAlignment="1">
      <alignment horizontal="center" vertical="center"/>
    </xf>
    <xf numFmtId="0" fontId="6" fillId="3" borderId="5" xfId="0" applyFont="1" applyFill="1" applyBorder="1" applyAlignment="1">
      <alignment horizontal="center" vertical="center"/>
    </xf>
    <xf numFmtId="0" fontId="0" fillId="0" borderId="0" xfId="0" applyAlignment="1">
      <alignment horizontal="right"/>
    </xf>
    <xf numFmtId="0" fontId="0" fillId="0" borderId="10" xfId="0" applyBorder="1"/>
    <xf numFmtId="0" fontId="0" fillId="0" borderId="14" xfId="0" applyBorder="1"/>
    <xf numFmtId="0" fontId="0" fillId="0" borderId="15" xfId="0" applyBorder="1"/>
    <xf numFmtId="0" fontId="0" fillId="0" borderId="0" xfId="0" applyBorder="1" applyAlignment="1">
      <alignment horizontal="left"/>
    </xf>
    <xf numFmtId="0" fontId="0" fillId="3" borderId="5" xfId="0" applyFill="1" applyBorder="1" applyAlignment="1">
      <alignment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right" vertical="center"/>
    </xf>
    <xf numFmtId="165" fontId="6" fillId="3" borderId="5" xfId="0" applyNumberFormat="1" applyFont="1" applyFill="1" applyBorder="1" applyAlignment="1">
      <alignment horizontal="center" vertical="center"/>
    </xf>
    <xf numFmtId="165" fontId="6" fillId="3" borderId="7" xfId="0" applyNumberFormat="1" applyFont="1" applyFill="1" applyBorder="1" applyAlignment="1">
      <alignment horizontal="center" vertical="center"/>
    </xf>
    <xf numFmtId="0" fontId="12" fillId="6" borderId="16" xfId="0" applyFont="1" applyFill="1" applyBorder="1" applyAlignment="1">
      <alignment vertical="center"/>
    </xf>
    <xf numFmtId="0" fontId="12" fillId="6" borderId="17" xfId="0" applyFont="1" applyFill="1" applyBorder="1" applyAlignment="1">
      <alignment vertical="center"/>
    </xf>
    <xf numFmtId="0" fontId="12" fillId="2" borderId="18" xfId="0" applyFont="1" applyFill="1" applyBorder="1" applyAlignment="1">
      <alignment vertical="center"/>
    </xf>
    <xf numFmtId="0" fontId="12" fillId="2" borderId="19" xfId="0" applyFont="1" applyFill="1" applyBorder="1" applyAlignment="1">
      <alignment vertical="center"/>
    </xf>
    <xf numFmtId="0" fontId="12" fillId="7" borderId="20" xfId="0" applyFont="1" applyFill="1" applyBorder="1" applyAlignment="1">
      <alignment vertical="center"/>
    </xf>
    <xf numFmtId="0" fontId="12" fillId="7" borderId="21" xfId="0" applyFont="1" applyFill="1" applyBorder="1" applyAlignment="1">
      <alignment vertical="center"/>
    </xf>
    <xf numFmtId="0" fontId="12" fillId="8" borderId="20" xfId="0" applyFont="1" applyFill="1" applyBorder="1" applyAlignment="1">
      <alignment vertical="center"/>
    </xf>
    <xf numFmtId="0" fontId="12" fillId="8" borderId="21" xfId="0" applyFont="1" applyFill="1" applyBorder="1" applyAlignment="1">
      <alignment vertical="center"/>
    </xf>
    <xf numFmtId="0" fontId="0" fillId="9" borderId="0" xfId="0" applyFill="1" applyAlignment="1">
      <alignment vertical="center"/>
    </xf>
    <xf numFmtId="0" fontId="0" fillId="9" borderId="6" xfId="0" applyFill="1" applyBorder="1" applyAlignment="1">
      <alignment vertical="center"/>
    </xf>
    <xf numFmtId="0" fontId="0" fillId="9" borderId="7" xfId="0" applyFill="1" applyBorder="1" applyAlignment="1">
      <alignment horizontal="center" vertical="center"/>
    </xf>
    <xf numFmtId="0" fontId="0" fillId="9" borderId="0" xfId="0" applyFill="1" applyAlignment="1">
      <alignment horizontal="center" vertical="center" wrapText="1"/>
    </xf>
    <xf numFmtId="0" fontId="0" fillId="9" borderId="22" xfId="0" applyFill="1" applyBorder="1" applyAlignment="1">
      <alignment horizontal="center" vertical="center"/>
    </xf>
    <xf numFmtId="165" fontId="1" fillId="9" borderId="7" xfId="0" quotePrefix="1" applyNumberFormat="1" applyFont="1" applyFill="1" applyBorder="1" applyAlignment="1">
      <alignment horizontal="center" vertical="center"/>
    </xf>
    <xf numFmtId="0" fontId="0" fillId="9" borderId="22" xfId="0" quotePrefix="1" applyFill="1" applyBorder="1" applyAlignment="1">
      <alignment horizontal="center" vertical="center"/>
    </xf>
    <xf numFmtId="0" fontId="0" fillId="9" borderId="8" xfId="0" applyFill="1" applyBorder="1" applyAlignment="1">
      <alignment vertical="center" wrapText="1"/>
    </xf>
    <xf numFmtId="0" fontId="15" fillId="9" borderId="6" xfId="0" applyFont="1" applyFill="1" applyBorder="1" applyAlignment="1">
      <alignment vertical="center"/>
    </xf>
    <xf numFmtId="165" fontId="15" fillId="9" borderId="7" xfId="0" quotePrefix="1" applyNumberFormat="1" applyFont="1" applyFill="1" applyBorder="1" applyAlignment="1">
      <alignment horizontal="center" vertical="center"/>
    </xf>
    <xf numFmtId="165" fontId="3" fillId="9" borderId="0" xfId="0" quotePrefix="1" applyNumberFormat="1" applyFont="1" applyFill="1" applyAlignment="1">
      <alignment horizontal="center" vertical="center"/>
    </xf>
    <xf numFmtId="0" fontId="0" fillId="9" borderId="6" xfId="0" applyFill="1" applyBorder="1" applyAlignment="1">
      <alignment horizontal="center" vertical="center"/>
    </xf>
    <xf numFmtId="165" fontId="0" fillId="9" borderId="7" xfId="0" applyNumberFormat="1" applyFill="1" applyBorder="1" applyAlignment="1">
      <alignment horizontal="center" vertical="center"/>
    </xf>
    <xf numFmtId="0" fontId="15" fillId="9" borderId="6" xfId="0" applyFont="1" applyFill="1" applyBorder="1" applyAlignment="1">
      <alignment horizontal="center" vertical="center"/>
    </xf>
    <xf numFmtId="0" fontId="0" fillId="9" borderId="8" xfId="0" applyFill="1" applyBorder="1" applyAlignment="1">
      <alignment horizontal="center" vertical="center"/>
    </xf>
    <xf numFmtId="0" fontId="0" fillId="9" borderId="0" xfId="0" applyFill="1" applyAlignment="1">
      <alignment horizontal="center" vertical="center"/>
    </xf>
    <xf numFmtId="0" fontId="1" fillId="9" borderId="0" xfId="0" quotePrefix="1" applyFont="1" applyFill="1" applyAlignment="1">
      <alignment horizontal="center" vertical="center"/>
    </xf>
    <xf numFmtId="165" fontId="0" fillId="9" borderId="0" xfId="0" applyNumberFormat="1" applyFill="1" applyAlignment="1">
      <alignment horizontal="center" vertical="center"/>
    </xf>
    <xf numFmtId="0" fontId="0" fillId="9" borderId="0" xfId="0" applyFill="1" applyBorder="1" applyAlignment="1">
      <alignment vertical="center"/>
    </xf>
    <xf numFmtId="0" fontId="3" fillId="9" borderId="0" xfId="0" applyFont="1" applyFill="1" applyBorder="1" applyAlignment="1">
      <alignment vertical="center"/>
    </xf>
    <xf numFmtId="0" fontId="6" fillId="9" borderId="0" xfId="0" applyFont="1" applyFill="1" applyAlignment="1">
      <alignment vertical="center"/>
    </xf>
    <xf numFmtId="0" fontId="12" fillId="9" borderId="23" xfId="0" applyFont="1" applyFill="1" applyBorder="1" applyAlignment="1">
      <alignment vertical="center"/>
    </xf>
    <xf numFmtId="0" fontId="12" fillId="9" borderId="24" xfId="0" applyFont="1" applyFill="1" applyBorder="1" applyAlignment="1">
      <alignment vertical="center"/>
    </xf>
    <xf numFmtId="0" fontId="0" fillId="9" borderId="24" xfId="0" applyFill="1" applyBorder="1" applyAlignment="1">
      <alignment vertical="center"/>
    </xf>
    <xf numFmtId="0" fontId="0" fillId="9" borderId="25" xfId="0" applyFill="1" applyBorder="1" applyAlignment="1">
      <alignment vertical="center"/>
    </xf>
    <xf numFmtId="0" fontId="12" fillId="9" borderId="18" xfId="0" applyFont="1" applyFill="1" applyBorder="1" applyAlignment="1">
      <alignment vertical="center"/>
    </xf>
    <xf numFmtId="0" fontId="0" fillId="9" borderId="26" xfId="0" applyFill="1" applyBorder="1" applyAlignment="1">
      <alignment vertical="center"/>
    </xf>
    <xf numFmtId="0" fontId="12" fillId="9" borderId="0" xfId="0" applyFont="1" applyFill="1" applyAlignment="1">
      <alignment vertical="center"/>
    </xf>
    <xf numFmtId="0" fontId="12" fillId="9" borderId="16" xfId="0" applyFont="1" applyFill="1" applyBorder="1" applyAlignment="1">
      <alignment vertical="center"/>
    </xf>
    <xf numFmtId="0" fontId="0" fillId="9" borderId="27" xfId="0" applyFill="1" applyBorder="1" applyAlignment="1">
      <alignment vertical="center"/>
    </xf>
    <xf numFmtId="0" fontId="0" fillId="9" borderId="17" xfId="0" applyFill="1" applyBorder="1" applyAlignment="1">
      <alignment vertical="center"/>
    </xf>
    <xf numFmtId="0" fontId="0" fillId="9" borderId="19" xfId="0" applyFill="1" applyBorder="1" applyAlignment="1">
      <alignment vertical="center"/>
    </xf>
    <xf numFmtId="0" fontId="0" fillId="9" borderId="0" xfId="0" applyFill="1"/>
    <xf numFmtId="0" fontId="0" fillId="9" borderId="0" xfId="0" applyFill="1" applyAlignment="1">
      <alignment horizontal="center"/>
    </xf>
    <xf numFmtId="0" fontId="0" fillId="9" borderId="10" xfId="0" applyFill="1" applyBorder="1" applyAlignment="1">
      <alignment horizontal="center" vertical="center"/>
    </xf>
    <xf numFmtId="0" fontId="0" fillId="0" borderId="10" xfId="0" applyFill="1" applyBorder="1" applyAlignment="1">
      <alignment horizontal="center" vertical="center"/>
    </xf>
    <xf numFmtId="0" fontId="0" fillId="9" borderId="0" xfId="0" applyFill="1" applyAlignment="1">
      <alignment horizontal="left" vertical="center"/>
    </xf>
    <xf numFmtId="0" fontId="0" fillId="9" borderId="0" xfId="0" applyFill="1" applyBorder="1" applyAlignment="1">
      <alignment vertical="center" wrapText="1"/>
    </xf>
    <xf numFmtId="0" fontId="0" fillId="9" borderId="0" xfId="0" applyFill="1" applyBorder="1" applyAlignment="1">
      <alignment horizontal="center" vertical="center"/>
    </xf>
    <xf numFmtId="0" fontId="0" fillId="9" borderId="2" xfId="0" applyFill="1" applyBorder="1" applyAlignment="1">
      <alignment vertical="center"/>
    </xf>
    <xf numFmtId="0" fontId="12" fillId="9" borderId="6" xfId="0" applyFont="1" applyFill="1" applyBorder="1" applyAlignment="1">
      <alignment vertical="center"/>
    </xf>
    <xf numFmtId="0" fontId="6" fillId="9" borderId="12" xfId="0" applyFont="1" applyFill="1" applyBorder="1" applyAlignment="1">
      <alignment horizontal="center" vertical="center"/>
    </xf>
    <xf numFmtId="0" fontId="6" fillId="9" borderId="0" xfId="0" applyFont="1" applyFill="1" applyBorder="1" applyAlignment="1">
      <alignment horizontal="center" vertical="center"/>
    </xf>
    <xf numFmtId="0" fontId="0" fillId="9" borderId="21" xfId="0" applyFill="1" applyBorder="1" applyAlignment="1">
      <alignment vertical="center"/>
    </xf>
    <xf numFmtId="0" fontId="12" fillId="9" borderId="20" xfId="0" applyFont="1" applyFill="1" applyBorder="1" applyAlignment="1">
      <alignment vertical="center"/>
    </xf>
    <xf numFmtId="0" fontId="0" fillId="9" borderId="11" xfId="0" applyFill="1" applyBorder="1" applyAlignment="1">
      <alignment vertical="center"/>
    </xf>
    <xf numFmtId="0" fontId="6" fillId="9" borderId="0" xfId="0" applyFont="1" applyFill="1" applyBorder="1" applyAlignment="1">
      <alignment vertical="center"/>
    </xf>
    <xf numFmtId="0" fontId="0" fillId="9" borderId="0" xfId="0" applyFill="1" applyBorder="1" applyAlignment="1">
      <alignment horizontal="right" vertical="center"/>
    </xf>
    <xf numFmtId="0" fontId="0" fillId="0" borderId="28" xfId="0" applyBorder="1" applyAlignment="1">
      <alignment horizontal="right"/>
    </xf>
    <xf numFmtId="0" fontId="6" fillId="3" borderId="21" xfId="0" applyFont="1" applyFill="1" applyBorder="1" applyAlignment="1">
      <alignment horizontal="center" vertical="center" wrapText="1"/>
    </xf>
    <xf numFmtId="0" fontId="0" fillId="9" borderId="10" xfId="0" applyFill="1" applyBorder="1" applyAlignment="1">
      <alignment vertical="center" wrapText="1"/>
    </xf>
    <xf numFmtId="0" fontId="0" fillId="9" borderId="10" xfId="0" applyFill="1" applyBorder="1" applyAlignment="1">
      <alignment horizontal="right" vertical="center" wrapText="1"/>
    </xf>
    <xf numFmtId="0" fontId="0" fillId="9" borderId="10" xfId="0" quotePrefix="1" applyFill="1" applyBorder="1" applyAlignment="1">
      <alignment horizontal="right" vertical="center" wrapText="1"/>
    </xf>
    <xf numFmtId="0" fontId="6" fillId="9" borderId="0" xfId="0" applyFont="1" applyFill="1" applyAlignment="1">
      <alignment horizontal="center" vertical="center"/>
    </xf>
    <xf numFmtId="0" fontId="0" fillId="9" borderId="29" xfId="0" applyFill="1" applyBorder="1" applyAlignment="1">
      <alignment vertical="center"/>
    </xf>
    <xf numFmtId="0" fontId="0" fillId="9" borderId="1" xfId="0" applyFill="1" applyBorder="1" applyAlignment="1">
      <alignment vertical="center"/>
    </xf>
    <xf numFmtId="0" fontId="6" fillId="4" borderId="30" xfId="0" applyFont="1" applyFill="1" applyBorder="1" applyAlignment="1">
      <alignment horizontal="center" vertical="center"/>
    </xf>
    <xf numFmtId="0" fontId="6" fillId="0" borderId="0" xfId="0" applyFont="1" applyFill="1" applyBorder="1" applyAlignment="1">
      <alignment horizontal="center" vertical="center"/>
    </xf>
    <xf numFmtId="0" fontId="12" fillId="9" borderId="0" xfId="0" applyFont="1" applyFill="1" applyBorder="1" applyAlignment="1">
      <alignment vertical="center"/>
    </xf>
    <xf numFmtId="0" fontId="6" fillId="9" borderId="0" xfId="0" applyFont="1" applyFill="1" applyBorder="1" applyAlignment="1">
      <alignment horizontal="right" vertical="center"/>
    </xf>
    <xf numFmtId="0" fontId="6" fillId="3" borderId="11" xfId="0" applyFont="1" applyFill="1" applyBorder="1" applyAlignment="1">
      <alignment horizontal="center" vertical="center"/>
    </xf>
    <xf numFmtId="0" fontId="0" fillId="5" borderId="20" xfId="0" applyFill="1" applyBorder="1"/>
    <xf numFmtId="0" fontId="0" fillId="5" borderId="11" xfId="0" applyFill="1" applyBorder="1"/>
    <xf numFmtId="0" fontId="1" fillId="3" borderId="10" xfId="0" applyFont="1" applyFill="1" applyBorder="1" applyAlignment="1">
      <alignment horizontal="center"/>
    </xf>
    <xf numFmtId="0" fontId="1" fillId="3" borderId="0" xfId="0" applyFont="1" applyFill="1" applyBorder="1" applyAlignment="1">
      <alignment horizontal="center"/>
    </xf>
    <xf numFmtId="0" fontId="0" fillId="0" borderId="10" xfId="0" applyBorder="1" applyAlignment="1">
      <alignment horizontal="center"/>
    </xf>
    <xf numFmtId="0" fontId="1" fillId="0" borderId="0" xfId="0" quotePrefix="1" applyFont="1" applyBorder="1" applyAlignment="1">
      <alignment horizontal="center"/>
    </xf>
    <xf numFmtId="0" fontId="0" fillId="0" borderId="3" xfId="0" applyBorder="1" applyAlignment="1">
      <alignment horizontal="center"/>
    </xf>
    <xf numFmtId="0" fontId="0" fillId="4" borderId="13" xfId="0" applyFill="1" applyBorder="1" applyAlignment="1">
      <alignment horizontal="center"/>
    </xf>
    <xf numFmtId="0" fontId="0" fillId="4" borderId="5" xfId="0" applyFill="1" applyBorder="1" applyAlignment="1">
      <alignment horizontal="center"/>
    </xf>
    <xf numFmtId="0" fontId="0" fillId="9" borderId="6" xfId="0" applyFill="1" applyBorder="1"/>
    <xf numFmtId="0" fontId="0" fillId="9" borderId="7" xfId="0" applyFill="1" applyBorder="1"/>
    <xf numFmtId="0" fontId="1" fillId="9" borderId="7" xfId="0" applyFont="1" applyFill="1" applyBorder="1"/>
    <xf numFmtId="0" fontId="0" fillId="9" borderId="12" xfId="0" applyFill="1" applyBorder="1" applyAlignment="1">
      <alignment horizontal="center"/>
    </xf>
    <xf numFmtId="0" fontId="0" fillId="9" borderId="7" xfId="0" applyFill="1" applyBorder="1" applyAlignment="1">
      <alignment horizontal="center"/>
    </xf>
    <xf numFmtId="0" fontId="0" fillId="9" borderId="8" xfId="0" applyFill="1" applyBorder="1"/>
    <xf numFmtId="0" fontId="0" fillId="9" borderId="31" xfId="0" applyFill="1" applyBorder="1" applyAlignment="1">
      <alignment horizontal="center"/>
    </xf>
    <xf numFmtId="0" fontId="0" fillId="9" borderId="22" xfId="0" applyFill="1" applyBorder="1" applyAlignment="1">
      <alignment horizontal="center"/>
    </xf>
    <xf numFmtId="0" fontId="0" fillId="9" borderId="0" xfId="0" applyFill="1" applyAlignment="1">
      <alignment horizontal="center" wrapText="1"/>
    </xf>
    <xf numFmtId="0" fontId="0" fillId="9" borderId="0" xfId="0" applyFill="1" applyAlignment="1">
      <alignment horizontal="center" vertical="top" wrapText="1"/>
    </xf>
    <xf numFmtId="0" fontId="0" fillId="9" borderId="22" xfId="0" applyFill="1" applyBorder="1"/>
    <xf numFmtId="2" fontId="0" fillId="9" borderId="0" xfId="0" applyNumberFormat="1" applyFill="1" applyAlignment="1">
      <alignment horizontal="center" wrapText="1"/>
    </xf>
    <xf numFmtId="2" fontId="0" fillId="9" borderId="0" xfId="0" applyNumberFormat="1" applyFill="1" applyAlignment="1">
      <alignment horizontal="center"/>
    </xf>
    <xf numFmtId="2" fontId="0" fillId="9" borderId="0" xfId="0" applyNumberFormat="1" applyFill="1" applyAlignment="1">
      <alignment horizontal="left"/>
    </xf>
    <xf numFmtId="0" fontId="6" fillId="0" borderId="0" xfId="0" applyFont="1" applyFill="1"/>
    <xf numFmtId="0" fontId="0" fillId="0" borderId="6" xfId="0" applyFill="1" applyBorder="1"/>
    <xf numFmtId="0" fontId="0" fillId="0" borderId="7" xfId="0" applyFill="1" applyBorder="1"/>
    <xf numFmtId="0" fontId="0" fillId="0" borderId="12" xfId="0" applyFill="1" applyBorder="1" applyAlignment="1">
      <alignment horizontal="center"/>
    </xf>
    <xf numFmtId="0" fontId="0" fillId="0" borderId="7" xfId="0" applyFill="1" applyBorder="1" applyAlignment="1">
      <alignment horizontal="center"/>
    </xf>
    <xf numFmtId="0" fontId="6" fillId="8" borderId="32" xfId="0" applyFont="1" applyFill="1" applyBorder="1"/>
    <xf numFmtId="0" fontId="6" fillId="8" borderId="33" xfId="0" applyFont="1" applyFill="1" applyBorder="1"/>
    <xf numFmtId="0" fontId="0" fillId="0" borderId="34" xfId="0" applyFill="1" applyBorder="1"/>
    <xf numFmtId="0" fontId="0" fillId="0" borderId="35" xfId="0" applyFill="1" applyBorder="1"/>
    <xf numFmtId="0" fontId="6" fillId="5" borderId="36" xfId="0" applyFont="1" applyFill="1" applyBorder="1"/>
    <xf numFmtId="0" fontId="6" fillId="5" borderId="30" xfId="0" applyFont="1" applyFill="1" applyBorder="1"/>
    <xf numFmtId="0" fontId="0" fillId="9" borderId="37" xfId="0" applyFill="1" applyBorder="1"/>
    <xf numFmtId="0" fontId="0" fillId="9" borderId="38" xfId="0" applyFill="1" applyBorder="1"/>
    <xf numFmtId="0" fontId="0" fillId="9" borderId="34" xfId="0" applyFill="1" applyBorder="1"/>
    <xf numFmtId="0" fontId="0" fillId="9" borderId="35" xfId="0" applyFill="1" applyBorder="1"/>
    <xf numFmtId="0" fontId="0" fillId="5" borderId="36" xfId="0" applyFill="1" applyBorder="1"/>
    <xf numFmtId="0" fontId="0" fillId="5" borderId="30" xfId="0" applyFill="1" applyBorder="1"/>
    <xf numFmtId="0" fontId="0" fillId="9" borderId="39" xfId="0" applyFill="1" applyBorder="1"/>
    <xf numFmtId="0" fontId="0" fillId="0" borderId="40" xfId="0" applyBorder="1"/>
    <xf numFmtId="0" fontId="0" fillId="0" borderId="41" xfId="0" applyBorder="1"/>
    <xf numFmtId="0" fontId="0" fillId="0" borderId="42" xfId="0" applyBorder="1"/>
    <xf numFmtId="0" fontId="6" fillId="10" borderId="43" xfId="0" applyFont="1" applyFill="1" applyBorder="1" applyAlignment="1">
      <alignment horizontal="center" vertical="center"/>
    </xf>
    <xf numFmtId="0" fontId="0" fillId="11" borderId="0" xfId="0" applyFill="1" applyBorder="1" applyAlignment="1">
      <alignment vertical="center"/>
    </xf>
    <xf numFmtId="0" fontId="6" fillId="11" borderId="0" xfId="0" applyFont="1" applyFill="1" applyBorder="1" applyAlignment="1">
      <alignment horizontal="left" vertical="center"/>
    </xf>
    <xf numFmtId="0" fontId="20" fillId="0" borderId="0" xfId="0" applyFont="1" applyFill="1" applyBorder="1" applyAlignment="1">
      <alignment vertical="center"/>
    </xf>
    <xf numFmtId="0" fontId="0" fillId="9" borderId="0" xfId="0" applyFill="1" applyAlignment="1">
      <alignment horizontal="right" vertical="center"/>
    </xf>
    <xf numFmtId="0" fontId="6" fillId="9" borderId="12" xfId="0" applyFont="1" applyFill="1" applyBorder="1" applyAlignment="1">
      <alignment horizontal="left" vertical="center"/>
    </xf>
    <xf numFmtId="0" fontId="0" fillId="3" borderId="44" xfId="0" applyFill="1" applyBorder="1"/>
    <xf numFmtId="0" fontId="0" fillId="3" borderId="45" xfId="0" applyFill="1" applyBorder="1"/>
    <xf numFmtId="0" fontId="0" fillId="0" borderId="7" xfId="0" applyBorder="1" applyAlignment="1">
      <alignment horizontal="left"/>
    </xf>
    <xf numFmtId="0" fontId="0" fillId="0" borderId="38" xfId="0" applyBorder="1" applyAlignment="1">
      <alignment horizontal="left"/>
    </xf>
    <xf numFmtId="0" fontId="0" fillId="0" borderId="22" xfId="0" applyBorder="1" applyAlignment="1">
      <alignment horizontal="left"/>
    </xf>
    <xf numFmtId="0" fontId="0" fillId="3" borderId="5" xfId="0" applyFill="1" applyBorder="1" applyAlignment="1">
      <alignment horizontal="left" wrapText="1"/>
    </xf>
    <xf numFmtId="0" fontId="0" fillId="9" borderId="22" xfId="0" applyFill="1" applyBorder="1" applyAlignment="1">
      <alignment horizontal="left"/>
    </xf>
    <xf numFmtId="0" fontId="3" fillId="9" borderId="31" xfId="0" applyFont="1" applyFill="1" applyBorder="1" applyAlignment="1">
      <alignment horizontal="center" vertical="center"/>
    </xf>
    <xf numFmtId="0" fontId="12" fillId="9" borderId="14" xfId="0" applyFont="1" applyFill="1" applyBorder="1" applyAlignment="1">
      <alignment vertical="center"/>
    </xf>
    <xf numFmtId="0" fontId="12" fillId="10" borderId="20" xfId="0" applyFont="1" applyFill="1" applyBorder="1" applyAlignment="1">
      <alignment vertical="center"/>
    </xf>
    <xf numFmtId="0" fontId="12" fillId="10" borderId="21" xfId="0" applyFont="1" applyFill="1" applyBorder="1" applyAlignment="1">
      <alignment vertical="center"/>
    </xf>
    <xf numFmtId="0" fontId="6" fillId="0" borderId="0" xfId="0" applyFont="1" applyFill="1" applyBorder="1" applyAlignment="1">
      <alignment vertical="center"/>
    </xf>
    <xf numFmtId="0" fontId="0" fillId="9" borderId="23" xfId="0" applyFill="1" applyBorder="1" applyAlignment="1">
      <alignment vertical="center"/>
    </xf>
    <xf numFmtId="0" fontId="0" fillId="9" borderId="18" xfId="0" applyFill="1" applyBorder="1" applyAlignment="1">
      <alignment vertical="center"/>
    </xf>
    <xf numFmtId="0" fontId="0" fillId="9" borderId="39" xfId="0" applyFill="1" applyBorder="1" applyAlignment="1">
      <alignment horizontal="right" vertical="center" wrapText="1"/>
    </xf>
    <xf numFmtId="0" fontId="0" fillId="9" borderId="8" xfId="0" applyFill="1" applyBorder="1" applyAlignment="1">
      <alignment horizontal="right" vertical="center" wrapText="1"/>
    </xf>
    <xf numFmtId="0" fontId="0" fillId="9" borderId="6" xfId="0" applyFill="1" applyBorder="1" applyAlignment="1">
      <alignment horizontal="right" vertical="center" wrapText="1"/>
    </xf>
    <xf numFmtId="0" fontId="12" fillId="9" borderId="6" xfId="0" applyFont="1" applyFill="1" applyBorder="1" applyAlignment="1">
      <alignment horizontal="right" vertical="center"/>
    </xf>
    <xf numFmtId="0" fontId="0" fillId="9" borderId="37" xfId="0" applyFill="1" applyBorder="1" applyAlignment="1">
      <alignment horizontal="right" vertical="center"/>
    </xf>
    <xf numFmtId="0" fontId="12" fillId="9" borderId="46" xfId="0" applyFont="1" applyFill="1" applyBorder="1" applyAlignment="1">
      <alignment horizontal="right" vertical="center"/>
    </xf>
    <xf numFmtId="0" fontId="1" fillId="9" borderId="47" xfId="0" applyFont="1" applyFill="1" applyBorder="1" applyAlignment="1">
      <alignment horizontal="right" vertical="center"/>
    </xf>
    <xf numFmtId="0" fontId="7" fillId="0" borderId="7" xfId="0" applyFont="1" applyFill="1" applyBorder="1" applyAlignment="1" applyProtection="1"/>
    <xf numFmtId="0" fontId="0" fillId="0" borderId="12" xfId="0" applyBorder="1"/>
    <xf numFmtId="0" fontId="0" fillId="0" borderId="31" xfId="0" applyBorder="1"/>
    <xf numFmtId="0" fontId="0" fillId="3" borderId="4" xfId="0" applyFill="1" applyBorder="1" applyAlignment="1">
      <alignment horizontal="center"/>
    </xf>
    <xf numFmtId="0" fontId="7" fillId="0" borderId="6" xfId="0" applyFont="1" applyBorder="1" applyAlignment="1" applyProtection="1">
      <alignment horizontal="center"/>
    </xf>
    <xf numFmtId="0" fontId="7" fillId="8" borderId="4" xfId="0" applyFont="1" applyFill="1" applyBorder="1" applyAlignment="1" applyProtection="1"/>
    <xf numFmtId="0" fontId="0" fillId="8" borderId="13" xfId="0" applyFill="1" applyBorder="1"/>
    <xf numFmtId="0" fontId="0" fillId="8" borderId="5" xfId="0" applyFill="1" applyBorder="1"/>
    <xf numFmtId="0" fontId="7" fillId="0" borderId="1" xfId="0" applyFont="1" applyFill="1" applyBorder="1" applyAlignment="1" applyProtection="1"/>
    <xf numFmtId="0" fontId="0" fillId="3" borderId="48" xfId="0" applyFill="1" applyBorder="1"/>
    <xf numFmtId="0" fontId="0" fillId="3" borderId="49" xfId="0" applyFill="1" applyBorder="1" applyAlignment="1">
      <alignment horizontal="center"/>
    </xf>
    <xf numFmtId="0" fontId="7" fillId="0" borderId="50" xfId="0" applyFont="1" applyFill="1" applyBorder="1" applyAlignment="1" applyProtection="1"/>
    <xf numFmtId="0" fontId="0" fillId="3" borderId="48" xfId="0" applyFill="1" applyBorder="1" applyAlignment="1">
      <alignment horizontal="right"/>
    </xf>
    <xf numFmtId="0" fontId="0" fillId="0" borderId="51" xfId="0" applyFill="1" applyBorder="1"/>
    <xf numFmtId="0" fontId="0" fillId="0" borderId="52" xfId="0" applyFill="1" applyBorder="1"/>
    <xf numFmtId="0" fontId="0" fillId="3" borderId="48" xfId="0" applyFill="1" applyBorder="1" applyAlignment="1">
      <alignment horizontal="left"/>
    </xf>
    <xf numFmtId="0" fontId="0" fillId="4" borderId="13" xfId="0" applyFill="1" applyBorder="1"/>
    <xf numFmtId="0" fontId="0" fillId="4" borderId="5" xfId="0" applyFill="1" applyBorder="1"/>
    <xf numFmtId="3" fontId="0" fillId="0" borderId="12" xfId="0" applyNumberFormat="1" applyBorder="1"/>
    <xf numFmtId="0" fontId="3" fillId="0" borderId="39" xfId="0" quotePrefix="1" applyFont="1" applyBorder="1"/>
    <xf numFmtId="0" fontId="0" fillId="0" borderId="39" xfId="0" applyBorder="1"/>
    <xf numFmtId="0" fontId="0" fillId="12" borderId="39" xfId="0" applyFill="1" applyBorder="1"/>
    <xf numFmtId="0" fontId="0" fillId="3" borderId="53" xfId="0" applyFill="1" applyBorder="1"/>
    <xf numFmtId="0" fontId="0" fillId="3" borderId="51" xfId="0" applyFill="1" applyBorder="1"/>
    <xf numFmtId="0" fontId="0" fillId="0" borderId="9" xfId="0" applyBorder="1" applyAlignment="1">
      <alignment horizontal="right"/>
    </xf>
    <xf numFmtId="0" fontId="0" fillId="0" borderId="9" xfId="0" applyFill="1" applyBorder="1" applyAlignment="1">
      <alignment horizontal="right"/>
    </xf>
    <xf numFmtId="0" fontId="0" fillId="0" borderId="54" xfId="0" applyBorder="1" applyAlignment="1">
      <alignment horizontal="right"/>
    </xf>
    <xf numFmtId="0" fontId="0" fillId="0" borderId="0" xfId="0" applyFill="1" applyBorder="1" applyAlignment="1">
      <alignment horizontal="center" wrapText="1"/>
    </xf>
    <xf numFmtId="0" fontId="0" fillId="0" borderId="3" xfId="0" applyFill="1" applyBorder="1" applyAlignment="1">
      <alignment horizontal="center" wrapText="1"/>
    </xf>
    <xf numFmtId="0" fontId="0" fillId="0" borderId="3" xfId="0" applyFill="1" applyBorder="1" applyAlignment="1">
      <alignment horizontal="center"/>
    </xf>
    <xf numFmtId="0" fontId="6" fillId="0" borderId="44" xfId="0" applyFont="1" applyBorder="1" applyAlignment="1">
      <alignment horizontal="center"/>
    </xf>
    <xf numFmtId="0" fontId="6" fillId="0" borderId="48" xfId="0" applyFont="1" applyBorder="1" applyAlignment="1">
      <alignment horizontal="center"/>
    </xf>
    <xf numFmtId="0" fontId="6" fillId="0" borderId="45" xfId="0" applyFont="1" applyBorder="1" applyAlignment="1">
      <alignment horizontal="center"/>
    </xf>
    <xf numFmtId="0" fontId="0" fillId="3" borderId="14" xfId="0" applyFill="1" applyBorder="1"/>
    <xf numFmtId="0" fontId="0" fillId="3" borderId="45" xfId="0" applyFill="1" applyBorder="1" applyAlignment="1">
      <alignment horizontal="left"/>
    </xf>
    <xf numFmtId="0" fontId="0" fillId="3" borderId="20" xfId="0" applyFill="1" applyBorder="1"/>
    <xf numFmtId="0" fontId="24" fillId="0" borderId="0" xfId="0" applyFont="1"/>
    <xf numFmtId="0" fontId="25" fillId="0" borderId="0" xfId="0" applyFont="1"/>
    <xf numFmtId="0" fontId="24" fillId="9" borderId="0" xfId="0" applyFont="1" applyFill="1"/>
    <xf numFmtId="0" fontId="25" fillId="9" borderId="0" xfId="0" applyFont="1" applyFill="1"/>
    <xf numFmtId="0" fontId="26" fillId="9" borderId="0" xfId="0" applyFont="1" applyFill="1"/>
    <xf numFmtId="165" fontId="12" fillId="3" borderId="5" xfId="0" applyNumberFormat="1" applyFont="1" applyFill="1" applyBorder="1" applyAlignment="1">
      <alignment horizontal="center" vertical="center"/>
    </xf>
    <xf numFmtId="0" fontId="0" fillId="11" borderId="0" xfId="0" applyFill="1" applyBorder="1" applyAlignment="1">
      <alignment vertical="center" wrapText="1"/>
    </xf>
    <xf numFmtId="0" fontId="0" fillId="11" borderId="0" xfId="0" applyFill="1" applyAlignment="1">
      <alignment vertical="center"/>
    </xf>
    <xf numFmtId="0" fontId="0" fillId="0" borderId="0" xfId="0" applyFill="1" applyBorder="1" applyAlignment="1">
      <alignment vertical="center"/>
    </xf>
    <xf numFmtId="170" fontId="0" fillId="11" borderId="0" xfId="0" applyNumberFormat="1" applyFill="1" applyBorder="1" applyAlignment="1">
      <alignment vertical="center"/>
    </xf>
    <xf numFmtId="170" fontId="0" fillId="11" borderId="0" xfId="0" quotePrefix="1" applyNumberFormat="1" applyFill="1" applyBorder="1" applyAlignment="1">
      <alignment horizontal="right" vertical="center"/>
    </xf>
    <xf numFmtId="0" fontId="16" fillId="11" borderId="0" xfId="0" applyFont="1" applyFill="1" applyBorder="1" applyAlignment="1">
      <alignment vertical="center"/>
    </xf>
    <xf numFmtId="0" fontId="6" fillId="0" borderId="0" xfId="0" applyFont="1" applyFill="1" applyBorder="1" applyAlignment="1">
      <alignment horizontal="right" vertical="center"/>
    </xf>
    <xf numFmtId="0" fontId="0" fillId="0" borderId="48" xfId="0" applyFill="1" applyBorder="1"/>
    <xf numFmtId="0" fontId="0" fillId="9" borderId="48" xfId="0" applyFill="1" applyBorder="1" applyAlignment="1">
      <alignment vertical="center"/>
    </xf>
    <xf numFmtId="0" fontId="0" fillId="4" borderId="6" xfId="0" applyFill="1" applyBorder="1" applyAlignment="1">
      <alignment vertical="center" wrapText="1"/>
    </xf>
    <xf numFmtId="0" fontId="6" fillId="9" borderId="55" xfId="0" applyFont="1" applyFill="1" applyBorder="1" applyAlignment="1">
      <alignment vertical="center"/>
    </xf>
    <xf numFmtId="0" fontId="6" fillId="5" borderId="56" xfId="0" applyFont="1" applyFill="1" applyBorder="1" applyAlignment="1">
      <alignment horizontal="center" vertical="center"/>
    </xf>
    <xf numFmtId="0" fontId="0" fillId="0" borderId="24" xfId="0" applyBorder="1" applyAlignment="1">
      <alignment wrapText="1"/>
    </xf>
    <xf numFmtId="0" fontId="0" fillId="0" borderId="20" xfId="0" applyBorder="1"/>
    <xf numFmtId="0" fontId="0" fillId="11" borderId="0" xfId="0" applyFill="1" applyAlignment="1">
      <alignment vertical="center" wrapText="1"/>
    </xf>
    <xf numFmtId="0" fontId="0" fillId="9" borderId="6" xfId="0" applyFill="1" applyBorder="1" applyAlignment="1">
      <alignment horizontal="right" vertical="center"/>
    </xf>
    <xf numFmtId="0" fontId="6" fillId="11" borderId="0" xfId="0" applyFont="1" applyFill="1" applyAlignment="1">
      <alignment vertical="center"/>
    </xf>
    <xf numFmtId="0" fontId="0" fillId="0" borderId="6" xfId="0" applyFill="1" applyBorder="1" applyAlignment="1">
      <alignment vertical="center"/>
    </xf>
    <xf numFmtId="0" fontId="0" fillId="9" borderId="8" xfId="0" applyFill="1" applyBorder="1" applyAlignment="1">
      <alignment horizontal="right" vertical="center"/>
    </xf>
    <xf numFmtId="0" fontId="6" fillId="13" borderId="0" xfId="0" applyFont="1" applyFill="1" applyBorder="1" applyAlignment="1">
      <alignment horizontal="center" vertical="center"/>
    </xf>
    <xf numFmtId="0" fontId="6" fillId="13" borderId="1" xfId="0" applyFont="1" applyFill="1" applyBorder="1" applyAlignment="1">
      <alignment horizontal="center" vertical="center"/>
    </xf>
    <xf numFmtId="0" fontId="0" fillId="13" borderId="0" xfId="0" applyFill="1" applyAlignment="1">
      <alignment vertical="center"/>
    </xf>
    <xf numFmtId="0" fontId="0" fillId="13" borderId="0" xfId="0" applyFill="1" applyBorder="1" applyAlignment="1">
      <alignment vertical="center"/>
    </xf>
    <xf numFmtId="0" fontId="0" fillId="13" borderId="28" xfId="0" applyFill="1" applyBorder="1" applyAlignment="1">
      <alignment horizontal="center" vertical="center"/>
    </xf>
    <xf numFmtId="0" fontId="0" fillId="13" borderId="9" xfId="0" applyFill="1" applyBorder="1" applyAlignment="1">
      <alignment horizontal="center" vertical="center"/>
    </xf>
    <xf numFmtId="0" fontId="0" fillId="13" borderId="7" xfId="0" applyFill="1" applyBorder="1" applyAlignment="1">
      <alignment horizontal="left" vertical="center"/>
    </xf>
    <xf numFmtId="0" fontId="0" fillId="13" borderId="22" xfId="0" applyFill="1" applyBorder="1" applyAlignment="1">
      <alignment horizontal="left" vertical="center"/>
    </xf>
    <xf numFmtId="0" fontId="6" fillId="5" borderId="36" xfId="0" applyFont="1" applyFill="1" applyBorder="1" applyAlignment="1">
      <alignment horizontal="right" vertical="center" wrapText="1"/>
    </xf>
    <xf numFmtId="0" fontId="0" fillId="9" borderId="0" xfId="0" applyFill="1" applyBorder="1" applyAlignment="1">
      <alignment horizontal="left" vertical="center" wrapText="1"/>
    </xf>
    <xf numFmtId="0" fontId="0" fillId="9" borderId="0" xfId="0" applyFill="1" applyBorder="1" applyAlignment="1">
      <alignment horizontal="center" vertical="center" wrapText="1"/>
    </xf>
    <xf numFmtId="0" fontId="0" fillId="9" borderId="46" xfId="0" applyFill="1" applyBorder="1" applyAlignment="1">
      <alignment horizontal="right" vertical="center"/>
    </xf>
    <xf numFmtId="0" fontId="12" fillId="0" borderId="57" xfId="0" applyFont="1" applyFill="1" applyBorder="1" applyAlignment="1">
      <alignment horizontal="left" vertical="center" wrapText="1"/>
    </xf>
    <xf numFmtId="0" fontId="0" fillId="0" borderId="0" xfId="0" applyFill="1" applyBorder="1" applyAlignment="1">
      <alignment horizontal="center" vertical="center" wrapText="1"/>
    </xf>
    <xf numFmtId="0" fontId="0" fillId="11" borderId="0" xfId="0" applyFill="1" applyBorder="1" applyAlignment="1">
      <alignment horizontal="center" vertical="center" wrapText="1"/>
    </xf>
    <xf numFmtId="0" fontId="6" fillId="5" borderId="30" xfId="0" applyFont="1" applyFill="1" applyBorder="1" applyAlignment="1">
      <alignment horizontal="center" vertical="center" wrapText="1"/>
    </xf>
    <xf numFmtId="0" fontId="7" fillId="3" borderId="45" xfId="0" applyFont="1" applyFill="1" applyBorder="1" applyAlignment="1" applyProtection="1"/>
    <xf numFmtId="0" fontId="0" fillId="3" borderId="11" xfId="0" applyFill="1" applyBorder="1"/>
    <xf numFmtId="0" fontId="0" fillId="3" borderId="21" xfId="0" applyFill="1" applyBorder="1"/>
    <xf numFmtId="0" fontId="0" fillId="3" borderId="58" xfId="0" applyFill="1" applyBorder="1" applyAlignment="1">
      <alignment horizontal="center"/>
    </xf>
    <xf numFmtId="0" fontId="0" fillId="3" borderId="59" xfId="0" applyFill="1" applyBorder="1" applyAlignment="1">
      <alignment horizontal="center"/>
    </xf>
    <xf numFmtId="0" fontId="0" fillId="0" borderId="60" xfId="0" applyBorder="1"/>
    <xf numFmtId="0" fontId="0" fillId="0" borderId="61" xfId="0" applyBorder="1" applyAlignment="1">
      <alignment horizontal="center"/>
    </xf>
    <xf numFmtId="0" fontId="0" fillId="0" borderId="62" xfId="0" applyBorder="1" applyAlignment="1">
      <alignment horizontal="center"/>
    </xf>
    <xf numFmtId="0" fontId="0" fillId="0" borderId="62" xfId="0" applyBorder="1"/>
    <xf numFmtId="0" fontId="0" fillId="0" borderId="63" xfId="0" applyBorder="1"/>
    <xf numFmtId="0" fontId="0" fillId="0" borderId="61" xfId="0" applyBorder="1"/>
    <xf numFmtId="0" fontId="0" fillId="0" borderId="61" xfId="0" applyFill="1" applyBorder="1" applyAlignment="1">
      <alignment horizontal="center"/>
    </xf>
    <xf numFmtId="0" fontId="0" fillId="0" borderId="62" xfId="0" applyFill="1" applyBorder="1" applyAlignment="1">
      <alignment horizontal="center"/>
    </xf>
    <xf numFmtId="0" fontId="7" fillId="0" borderId="61" xfId="0" applyFont="1" applyFill="1" applyBorder="1" applyAlignment="1" applyProtection="1"/>
    <xf numFmtId="0" fontId="7" fillId="0" borderId="62" xfId="0" applyFont="1" applyFill="1" applyBorder="1" applyAlignment="1" applyProtection="1"/>
    <xf numFmtId="0" fontId="0" fillId="0" borderId="63" xfId="0" quotePrefix="1" applyBorder="1" applyAlignment="1">
      <alignment horizontal="left"/>
    </xf>
    <xf numFmtId="0" fontId="0" fillId="0" borderId="64" xfId="0" applyBorder="1"/>
    <xf numFmtId="0" fontId="7" fillId="3" borderId="63" xfId="0" applyFont="1" applyFill="1" applyBorder="1" applyAlignment="1" applyProtection="1"/>
    <xf numFmtId="0" fontId="0" fillId="3" borderId="58" xfId="0" applyFill="1" applyBorder="1"/>
    <xf numFmtId="0" fontId="0" fillId="3" borderId="60" xfId="0" applyFill="1" applyBorder="1"/>
    <xf numFmtId="0" fontId="0" fillId="3" borderId="61" xfId="0" applyFill="1" applyBorder="1"/>
    <xf numFmtId="0" fontId="0" fillId="3" borderId="63" xfId="0" applyFill="1" applyBorder="1"/>
    <xf numFmtId="0" fontId="5" fillId="0" borderId="61" xfId="1" applyFont="1" applyBorder="1" applyAlignment="1" applyProtection="1"/>
    <xf numFmtId="0" fontId="0" fillId="0" borderId="65" xfId="0" applyBorder="1"/>
    <xf numFmtId="0" fontId="0" fillId="0" borderId="37" xfId="0" applyBorder="1"/>
    <xf numFmtId="0" fontId="0" fillId="3" borderId="48" xfId="0" applyFill="1" applyBorder="1" applyAlignment="1">
      <alignment wrapText="1"/>
    </xf>
    <xf numFmtId="0" fontId="0" fillId="0" borderId="3" xfId="0" applyFill="1" applyBorder="1"/>
    <xf numFmtId="0" fontId="0" fillId="4" borderId="66" xfId="0" applyFill="1" applyBorder="1" applyAlignment="1">
      <alignment horizontal="center" wrapText="1"/>
    </xf>
    <xf numFmtId="0" fontId="0" fillId="4" borderId="67" xfId="0" applyFill="1" applyBorder="1"/>
    <xf numFmtId="0" fontId="0" fillId="0" borderId="0" xfId="0" applyFill="1" applyBorder="1" applyAlignment="1">
      <alignment horizontal="right"/>
    </xf>
    <xf numFmtId="0" fontId="0" fillId="0" borderId="1" xfId="0" applyFill="1" applyBorder="1"/>
    <xf numFmtId="0" fontId="0" fillId="9" borderId="51" xfId="0" applyFill="1" applyBorder="1"/>
    <xf numFmtId="0" fontId="1" fillId="9" borderId="54" xfId="0" applyFont="1" applyFill="1" applyBorder="1"/>
    <xf numFmtId="0" fontId="0" fillId="4" borderId="68" xfId="0" applyFill="1" applyBorder="1" applyAlignment="1"/>
    <xf numFmtId="0" fontId="0" fillId="4" borderId="69" xfId="0" applyFill="1" applyBorder="1" applyAlignment="1">
      <alignment wrapText="1"/>
    </xf>
    <xf numFmtId="0" fontId="0" fillId="4" borderId="70" xfId="0" applyFill="1" applyBorder="1" applyAlignment="1">
      <alignment wrapText="1"/>
    </xf>
    <xf numFmtId="0" fontId="0" fillId="0" borderId="71" xfId="0" applyBorder="1" applyAlignment="1">
      <alignment wrapText="1"/>
    </xf>
    <xf numFmtId="0" fontId="0" fillId="4" borderId="72" xfId="0" applyFill="1" applyBorder="1" applyAlignment="1">
      <alignment horizontal="center" wrapText="1"/>
    </xf>
    <xf numFmtId="0" fontId="0" fillId="4" borderId="73" xfId="0" applyFill="1" applyBorder="1"/>
    <xf numFmtId="0" fontId="0" fillId="4" borderId="74" xfId="0" applyFill="1" applyBorder="1"/>
    <xf numFmtId="0" fontId="6" fillId="4" borderId="5" xfId="0" applyFont="1" applyFill="1" applyBorder="1" applyAlignment="1">
      <alignment wrapText="1"/>
    </xf>
    <xf numFmtId="0" fontId="0" fillId="5" borderId="27" xfId="0" applyFill="1" applyBorder="1"/>
    <xf numFmtId="0" fontId="0" fillId="5" borderId="17" xfId="0" applyFill="1" applyBorder="1"/>
    <xf numFmtId="0" fontId="0" fillId="0" borderId="23" xfId="0" applyBorder="1"/>
    <xf numFmtId="0" fontId="0" fillId="0" borderId="24" xfId="0" applyBorder="1"/>
    <xf numFmtId="0" fontId="0" fillId="0" borderId="25" xfId="0" applyBorder="1"/>
    <xf numFmtId="0" fontId="0" fillId="0" borderId="24" xfId="0" quotePrefix="1" applyBorder="1" applyAlignment="1">
      <alignment horizontal="right" wrapText="1"/>
    </xf>
    <xf numFmtId="0" fontId="0" fillId="0" borderId="24" xfId="0" applyBorder="1" applyAlignment="1">
      <alignment horizontal="right" wrapText="1"/>
    </xf>
    <xf numFmtId="0" fontId="0" fillId="0" borderId="18" xfId="0" applyBorder="1"/>
    <xf numFmtId="0" fontId="0" fillId="0" borderId="26" xfId="0" applyBorder="1"/>
    <xf numFmtId="0" fontId="0" fillId="0" borderId="26" xfId="0" applyBorder="1" applyAlignment="1">
      <alignment horizontal="right" wrapText="1"/>
    </xf>
    <xf numFmtId="0" fontId="0" fillId="0" borderId="26" xfId="0" applyBorder="1" applyAlignment="1">
      <alignment wrapText="1"/>
    </xf>
    <xf numFmtId="0" fontId="0" fillId="0" borderId="19" xfId="0" applyBorder="1"/>
    <xf numFmtId="0" fontId="0" fillId="9" borderId="24" xfId="0" applyFill="1" applyBorder="1" applyAlignment="1">
      <alignment horizontal="right" vertical="center"/>
    </xf>
    <xf numFmtId="0" fontId="12" fillId="11" borderId="0" xfId="0" applyFont="1" applyFill="1" applyBorder="1" applyAlignment="1">
      <alignment vertical="center"/>
    </xf>
    <xf numFmtId="0" fontId="6" fillId="11" borderId="0" xfId="0" applyFont="1" applyFill="1" applyBorder="1" applyAlignment="1">
      <alignment vertical="center"/>
    </xf>
    <xf numFmtId="0" fontId="6" fillId="11" borderId="0" xfId="0" applyFont="1" applyFill="1" applyBorder="1" applyAlignment="1">
      <alignment horizontal="center" vertical="center"/>
    </xf>
    <xf numFmtId="0" fontId="1" fillId="11" borderId="0" xfId="0" applyFont="1" applyFill="1"/>
    <xf numFmtId="0" fontId="6" fillId="11" borderId="0" xfId="0" applyFont="1" applyFill="1" applyBorder="1" applyAlignment="1">
      <alignment horizontal="left"/>
    </xf>
    <xf numFmtId="0" fontId="1" fillId="11" borderId="0" xfId="0" applyFont="1" applyFill="1" applyAlignment="1">
      <alignment vertical="center"/>
    </xf>
    <xf numFmtId="0" fontId="6" fillId="11" borderId="4" xfId="0" applyFont="1" applyFill="1" applyBorder="1" applyAlignment="1">
      <alignment horizontal="justify" vertical="center"/>
    </xf>
    <xf numFmtId="0" fontId="1" fillId="11" borderId="5" xfId="0" applyFont="1" applyFill="1" applyBorder="1" applyAlignment="1">
      <alignment vertical="center"/>
    </xf>
    <xf numFmtId="0" fontId="1" fillId="11" borderId="6" xfId="0" applyFont="1" applyFill="1" applyBorder="1" applyAlignment="1">
      <alignment horizontal="justify" vertical="center"/>
    </xf>
    <xf numFmtId="0" fontId="1" fillId="11" borderId="6" xfId="0" applyFont="1" applyFill="1" applyBorder="1" applyAlignment="1">
      <alignment vertical="center"/>
    </xf>
    <xf numFmtId="0" fontId="1" fillId="11" borderId="12" xfId="0" applyFont="1" applyFill="1" applyBorder="1" applyAlignment="1">
      <alignment vertical="center"/>
    </xf>
    <xf numFmtId="0" fontId="1" fillId="11" borderId="7" xfId="0" applyFont="1" applyFill="1" applyBorder="1" applyAlignment="1">
      <alignment horizontal="center" vertical="center"/>
    </xf>
    <xf numFmtId="0" fontId="1" fillId="11" borderId="0" xfId="0" applyFont="1" applyFill="1" applyBorder="1" applyAlignment="1">
      <alignment vertical="center"/>
    </xf>
    <xf numFmtId="0" fontId="1" fillId="11" borderId="46" xfId="0" applyFont="1" applyFill="1" applyBorder="1" applyAlignment="1">
      <alignment horizontal="justify" vertical="center"/>
    </xf>
    <xf numFmtId="0" fontId="1" fillId="11" borderId="20" xfId="0" applyFont="1" applyFill="1" applyBorder="1" applyAlignment="1">
      <alignment horizontal="center"/>
    </xf>
    <xf numFmtId="0" fontId="1" fillId="11" borderId="6" xfId="0" applyFont="1" applyFill="1" applyBorder="1" applyAlignment="1">
      <alignment horizontal="left" vertical="center"/>
    </xf>
    <xf numFmtId="0" fontId="1" fillId="11" borderId="0" xfId="0" applyFont="1" applyFill="1" applyAlignment="1">
      <alignment horizontal="justify" vertical="center"/>
    </xf>
    <xf numFmtId="0" fontId="1" fillId="11" borderId="0" xfId="0" applyFont="1" applyFill="1" applyBorder="1" applyAlignment="1">
      <alignment horizontal="left" vertical="center" wrapText="1"/>
    </xf>
    <xf numFmtId="0" fontId="1" fillId="11" borderId="31" xfId="0" applyFont="1" applyFill="1" applyBorder="1" applyAlignment="1">
      <alignment horizontal="center" vertical="center"/>
    </xf>
    <xf numFmtId="170" fontId="0" fillId="4" borderId="12" xfId="0" applyNumberFormat="1" applyFill="1" applyBorder="1" applyAlignment="1">
      <alignment horizontal="center" vertical="center"/>
    </xf>
    <xf numFmtId="170" fontId="0" fillId="4" borderId="7" xfId="0" applyNumberFormat="1" applyFill="1" applyBorder="1" applyAlignment="1">
      <alignment horizontal="center" vertical="center"/>
    </xf>
    <xf numFmtId="0" fontId="0" fillId="5" borderId="36" xfId="0" applyFill="1" applyBorder="1" applyAlignment="1">
      <alignment vertical="center"/>
    </xf>
    <xf numFmtId="0" fontId="0" fillId="4" borderId="8" xfId="0" applyFill="1" applyBorder="1" applyAlignment="1">
      <alignment vertical="center" wrapText="1"/>
    </xf>
    <xf numFmtId="170" fontId="0" fillId="4" borderId="31" xfId="0" applyNumberFormat="1" applyFill="1" applyBorder="1" applyAlignment="1">
      <alignment horizontal="center" vertical="center"/>
    </xf>
    <xf numFmtId="170" fontId="0" fillId="4" borderId="22" xfId="0" applyNumberFormat="1" applyFill="1" applyBorder="1" applyAlignment="1">
      <alignment horizontal="center" vertical="center"/>
    </xf>
    <xf numFmtId="0" fontId="0" fillId="11" borderId="24" xfId="0" applyFill="1" applyBorder="1" applyAlignment="1">
      <alignment vertical="center" wrapText="1"/>
    </xf>
    <xf numFmtId="0" fontId="0" fillId="11" borderId="25" xfId="0" applyFill="1" applyBorder="1" applyAlignment="1">
      <alignment vertical="center" wrapText="1"/>
    </xf>
    <xf numFmtId="0" fontId="6" fillId="5" borderId="20" xfId="0" applyFont="1" applyFill="1" applyBorder="1" applyAlignment="1">
      <alignment horizontal="center" vertical="center"/>
    </xf>
    <xf numFmtId="0" fontId="0" fillId="9" borderId="36" xfId="0" applyFill="1" applyBorder="1" applyAlignment="1">
      <alignment vertical="center"/>
    </xf>
    <xf numFmtId="165" fontId="6" fillId="3" borderId="13" xfId="0" applyNumberFormat="1" applyFont="1" applyFill="1" applyBorder="1" applyAlignment="1">
      <alignment horizontal="center" vertical="center"/>
    </xf>
    <xf numFmtId="165" fontId="6" fillId="3" borderId="12" xfId="0" applyNumberFormat="1" applyFont="1" applyFill="1" applyBorder="1" applyAlignment="1">
      <alignment horizontal="center" vertical="center"/>
    </xf>
    <xf numFmtId="0" fontId="0" fillId="9" borderId="12" xfId="0" applyFill="1" applyBorder="1" applyAlignment="1">
      <alignment horizontal="center" vertical="center"/>
    </xf>
    <xf numFmtId="0" fontId="0" fillId="9" borderId="31" xfId="0" applyFill="1" applyBorder="1" applyAlignment="1">
      <alignment horizontal="center" vertical="center"/>
    </xf>
    <xf numFmtId="0" fontId="6" fillId="3" borderId="43" xfId="0" applyFont="1" applyFill="1" applyBorder="1" applyAlignment="1">
      <alignment horizontal="center" vertical="center"/>
    </xf>
    <xf numFmtId="0" fontId="6" fillId="3" borderId="43" xfId="0" applyFont="1" applyFill="1" applyBorder="1" applyAlignment="1">
      <alignment horizontal="center" vertical="center" wrapText="1"/>
    </xf>
    <xf numFmtId="0" fontId="12" fillId="3" borderId="43" xfId="0" applyFont="1" applyFill="1" applyBorder="1" applyAlignment="1">
      <alignment horizontal="left" vertical="center" wrapText="1"/>
    </xf>
    <xf numFmtId="0" fontId="6" fillId="5" borderId="21"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0" fillId="14" borderId="20" xfId="0" applyFill="1" applyBorder="1" applyAlignment="1">
      <alignment vertical="center"/>
    </xf>
    <xf numFmtId="0" fontId="6" fillId="14" borderId="11" xfId="0" applyFont="1" applyFill="1" applyBorder="1" applyAlignment="1">
      <alignment horizontal="center" vertical="center"/>
    </xf>
    <xf numFmtId="0" fontId="0" fillId="14" borderId="21" xfId="0" applyFill="1" applyBorder="1" applyAlignment="1">
      <alignment vertical="center"/>
    </xf>
    <xf numFmtId="0" fontId="0" fillId="11" borderId="23" xfId="0" applyFill="1" applyBorder="1" applyAlignment="1">
      <alignment vertical="center"/>
    </xf>
    <xf numFmtId="0" fontId="6" fillId="4" borderId="2" xfId="0" applyFont="1" applyFill="1" applyBorder="1"/>
    <xf numFmtId="0" fontId="12" fillId="9" borderId="0" xfId="0" applyFont="1" applyFill="1" applyBorder="1" applyAlignment="1">
      <alignment vertical="center" wrapText="1"/>
    </xf>
    <xf numFmtId="0" fontId="0" fillId="9" borderId="75" xfId="0" applyFill="1" applyBorder="1" applyAlignment="1">
      <alignment horizontal="left" vertical="center"/>
    </xf>
    <xf numFmtId="0" fontId="1" fillId="9" borderId="1" xfId="0" applyFont="1" applyFill="1" applyBorder="1" applyAlignment="1">
      <alignment horizontal="right" vertical="center"/>
    </xf>
    <xf numFmtId="0" fontId="0" fillId="9" borderId="1" xfId="0" applyFill="1" applyBorder="1" applyAlignment="1">
      <alignment horizontal="center" vertical="center"/>
    </xf>
    <xf numFmtId="0" fontId="0" fillId="9" borderId="1" xfId="0" applyFill="1" applyBorder="1" applyAlignment="1">
      <alignment horizontal="left" vertical="center"/>
    </xf>
    <xf numFmtId="172" fontId="19" fillId="9" borderId="1" xfId="0" applyNumberFormat="1" applyFont="1" applyFill="1" applyBorder="1" applyAlignment="1">
      <alignment horizontal="center" vertical="center"/>
    </xf>
    <xf numFmtId="0" fontId="0" fillId="9" borderId="76" xfId="0" applyFill="1" applyBorder="1" applyAlignment="1">
      <alignment vertical="center"/>
    </xf>
    <xf numFmtId="0" fontId="0" fillId="4" borderId="4" xfId="0" applyFill="1" applyBorder="1" applyAlignment="1">
      <alignment vertical="center" wrapText="1"/>
    </xf>
    <xf numFmtId="170" fontId="0" fillId="4" borderId="13" xfId="0" applyNumberFormat="1" applyFill="1" applyBorder="1" applyAlignment="1">
      <alignment horizontal="center" vertical="center"/>
    </xf>
    <xf numFmtId="170" fontId="0" fillId="4" borderId="5" xfId="0" quotePrefix="1" applyNumberFormat="1" applyFill="1" applyBorder="1" applyAlignment="1">
      <alignment horizontal="center" vertical="center"/>
    </xf>
    <xf numFmtId="0" fontId="0" fillId="9" borderId="49" xfId="0" applyFill="1" applyBorder="1" applyAlignment="1">
      <alignment vertical="center" wrapText="1"/>
    </xf>
    <xf numFmtId="0" fontId="0" fillId="9" borderId="27" xfId="0" applyFill="1" applyBorder="1" applyAlignment="1">
      <alignment horizontal="right" vertical="center"/>
    </xf>
    <xf numFmtId="0" fontId="0" fillId="9" borderId="50" xfId="0" applyFill="1" applyBorder="1" applyAlignment="1">
      <alignment vertical="center" wrapText="1"/>
    </xf>
    <xf numFmtId="0" fontId="0" fillId="9" borderId="24" xfId="0" quotePrefix="1" applyFill="1" applyBorder="1" applyAlignment="1">
      <alignment horizontal="right" vertical="center"/>
    </xf>
    <xf numFmtId="0" fontId="0" fillId="9" borderId="75" xfId="0" applyFill="1" applyBorder="1" applyAlignment="1">
      <alignment vertical="center" wrapText="1"/>
    </xf>
    <xf numFmtId="0" fontId="0" fillId="9" borderId="26" xfId="0" applyFill="1" applyBorder="1" applyAlignment="1">
      <alignment horizontal="right" vertical="center"/>
    </xf>
    <xf numFmtId="0" fontId="0" fillId="9" borderId="10" xfId="0" applyFill="1" applyBorder="1" applyAlignment="1">
      <alignment horizontal="right" vertical="center"/>
    </xf>
    <xf numFmtId="0" fontId="0" fillId="9" borderId="45" xfId="0" applyFill="1" applyBorder="1" applyAlignment="1">
      <alignment vertical="center"/>
    </xf>
    <xf numFmtId="0" fontId="0" fillId="9" borderId="11" xfId="0" applyFill="1" applyBorder="1" applyAlignment="1">
      <alignment horizontal="center" vertical="center"/>
    </xf>
    <xf numFmtId="0" fontId="0" fillId="9" borderId="3" xfId="0" applyFill="1" applyBorder="1" applyAlignment="1">
      <alignment vertical="center"/>
    </xf>
    <xf numFmtId="0" fontId="12" fillId="9" borderId="11" xfId="0" applyFont="1" applyFill="1" applyBorder="1" applyAlignment="1">
      <alignment horizontal="center" vertical="center"/>
    </xf>
    <xf numFmtId="0" fontId="6" fillId="9" borderId="11" xfId="0" applyFont="1" applyFill="1" applyBorder="1" applyAlignment="1">
      <alignment vertical="center"/>
    </xf>
    <xf numFmtId="0" fontId="12" fillId="9" borderId="11" xfId="0" applyFont="1" applyFill="1" applyBorder="1" applyAlignment="1">
      <alignment vertical="center"/>
    </xf>
    <xf numFmtId="0" fontId="1" fillId="11" borderId="0" xfId="0" applyFont="1" applyFill="1" applyAlignment="1">
      <alignment horizontal="center" vertical="center"/>
    </xf>
    <xf numFmtId="0" fontId="1" fillId="11" borderId="4" xfId="0" applyFont="1" applyFill="1" applyBorder="1" applyAlignment="1">
      <alignment horizontal="justify" vertical="center"/>
    </xf>
    <xf numFmtId="0" fontId="12" fillId="9" borderId="0" xfId="0" applyFont="1" applyFill="1" applyBorder="1" applyAlignment="1">
      <alignment horizontal="center" vertical="center" wrapText="1"/>
    </xf>
    <xf numFmtId="0" fontId="6" fillId="4" borderId="77" xfId="0" applyFont="1" applyFill="1" applyBorder="1" applyAlignment="1">
      <alignment horizontal="center" vertical="center"/>
    </xf>
    <xf numFmtId="0" fontId="0" fillId="9" borderId="9" xfId="0" applyFill="1" applyBorder="1" applyAlignment="1">
      <alignment horizontal="center" vertical="center"/>
    </xf>
    <xf numFmtId="0" fontId="0" fillId="3" borderId="13" xfId="0" applyFill="1" applyBorder="1" applyAlignment="1">
      <alignment horizontal="center"/>
    </xf>
    <xf numFmtId="0" fontId="0" fillId="3" borderId="5" xfId="0" applyFill="1" applyBorder="1" applyAlignment="1">
      <alignment horizontal="center"/>
    </xf>
    <xf numFmtId="0" fontId="1" fillId="11" borderId="6"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0" fillId="9" borderId="0" xfId="0" quotePrefix="1" applyFill="1" applyBorder="1" applyAlignment="1">
      <alignment horizontal="center" vertical="center" wrapText="1"/>
    </xf>
    <xf numFmtId="0" fontId="0" fillId="6" borderId="31" xfId="0" applyFill="1" applyBorder="1" applyAlignment="1">
      <alignment horizontal="center" vertical="center"/>
    </xf>
    <xf numFmtId="165" fontId="12" fillId="9" borderId="7" xfId="0" quotePrefix="1" applyNumberFormat="1" applyFont="1" applyFill="1" applyBorder="1" applyAlignment="1">
      <alignment horizontal="center" vertical="center"/>
    </xf>
    <xf numFmtId="0" fontId="0" fillId="0" borderId="8" xfId="0" applyFill="1" applyBorder="1" applyAlignment="1">
      <alignment horizontal="right" vertical="center"/>
    </xf>
    <xf numFmtId="0" fontId="16" fillId="9" borderId="0" xfId="0" applyFont="1" applyFill="1" applyBorder="1" applyAlignment="1">
      <alignment vertical="center"/>
    </xf>
    <xf numFmtId="0" fontId="1" fillId="9" borderId="11" xfId="0" applyFont="1" applyFill="1" applyBorder="1" applyAlignment="1">
      <alignment horizontal="right" vertical="center"/>
    </xf>
    <xf numFmtId="0" fontId="6" fillId="9" borderId="7" xfId="0" applyFont="1" applyFill="1" applyBorder="1" applyAlignment="1">
      <alignment horizontal="center" vertical="center" wrapText="1"/>
    </xf>
    <xf numFmtId="0" fontId="6" fillId="9" borderId="78" xfId="0" applyFont="1" applyFill="1" applyBorder="1" applyAlignment="1">
      <alignment vertical="center"/>
    </xf>
    <xf numFmtId="0" fontId="16" fillId="9" borderId="3"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1" fillId="9" borderId="26" xfId="0" applyFont="1" applyFill="1" applyBorder="1" applyAlignment="1">
      <alignment horizontal="right" vertical="center"/>
    </xf>
    <xf numFmtId="0" fontId="0" fillId="6" borderId="13" xfId="0" applyFill="1" applyBorder="1" applyAlignment="1">
      <alignment horizontal="center" vertical="center"/>
    </xf>
    <xf numFmtId="0" fontId="1" fillId="9" borderId="76" xfId="0" applyFont="1" applyFill="1" applyBorder="1" applyAlignment="1">
      <alignment horizontal="right" vertical="center"/>
    </xf>
    <xf numFmtId="0" fontId="0" fillId="9" borderId="12" xfId="0" applyFill="1" applyBorder="1" applyAlignment="1">
      <alignment horizontal="center" vertical="center" wrapText="1"/>
    </xf>
    <xf numFmtId="0" fontId="12" fillId="9" borderId="12" xfId="0" applyFont="1" applyFill="1" applyBorder="1" applyAlignment="1">
      <alignment vertical="center" wrapText="1"/>
    </xf>
    <xf numFmtId="0" fontId="0" fillId="9" borderId="4" xfId="0" applyFill="1" applyBorder="1" applyAlignment="1">
      <alignment horizontal="right" vertical="center" wrapText="1"/>
    </xf>
    <xf numFmtId="0" fontId="4" fillId="9" borderId="13" xfId="0" applyFont="1" applyFill="1" applyBorder="1" applyAlignment="1">
      <alignment vertical="center"/>
    </xf>
    <xf numFmtId="0" fontId="0" fillId="9" borderId="31" xfId="0" applyFill="1" applyBorder="1" applyAlignment="1">
      <alignment horizontal="center" vertical="center" wrapText="1"/>
    </xf>
    <xf numFmtId="0" fontId="12" fillId="9" borderId="6" xfId="0" applyFont="1" applyFill="1" applyBorder="1" applyAlignment="1">
      <alignment horizontal="right" vertical="center" wrapText="1"/>
    </xf>
    <xf numFmtId="0" fontId="14" fillId="9" borderId="12" xfId="0" applyFont="1" applyFill="1" applyBorder="1" applyAlignment="1">
      <alignment vertical="center" wrapText="1"/>
    </xf>
    <xf numFmtId="0" fontId="12" fillId="9" borderId="12" xfId="0" applyFont="1" applyFill="1" applyBorder="1" applyAlignment="1">
      <alignment horizontal="right" vertical="center" wrapText="1"/>
    </xf>
    <xf numFmtId="0" fontId="6" fillId="9" borderId="79" xfId="0" applyFont="1" applyFill="1" applyBorder="1" applyAlignment="1">
      <alignment horizontal="center" vertical="center" wrapText="1"/>
    </xf>
    <xf numFmtId="0" fontId="6" fillId="9" borderId="80" xfId="0" applyFont="1" applyFill="1" applyBorder="1" applyAlignment="1">
      <alignment horizontal="center" vertical="center" wrapText="1"/>
    </xf>
    <xf numFmtId="0" fontId="0" fillId="9" borderId="31" xfId="0" applyFill="1" applyBorder="1" applyAlignment="1">
      <alignment vertical="center" wrapText="1"/>
    </xf>
    <xf numFmtId="0" fontId="1" fillId="11" borderId="8" xfId="0" applyFont="1" applyFill="1" applyBorder="1" applyAlignment="1">
      <alignment horizontal="justify" vertical="center"/>
    </xf>
    <xf numFmtId="0" fontId="1" fillId="11" borderId="4" xfId="0" applyFont="1" applyFill="1" applyBorder="1" applyAlignment="1">
      <alignment horizontal="left" vertical="center"/>
    </xf>
    <xf numFmtId="0" fontId="1" fillId="11" borderId="0" xfId="0" applyFont="1" applyFill="1" applyBorder="1" applyAlignment="1">
      <alignment horizontal="justify" vertical="center"/>
    </xf>
    <xf numFmtId="0" fontId="21" fillId="9" borderId="0" xfId="0" applyFont="1" applyFill="1" applyBorder="1" applyAlignment="1">
      <alignment horizontal="left"/>
    </xf>
    <xf numFmtId="0" fontId="0" fillId="0" borderId="8" xfId="0" applyBorder="1" applyAlignment="1">
      <alignment horizontal="center" vertical="center" wrapText="1"/>
    </xf>
    <xf numFmtId="0" fontId="6" fillId="9" borderId="1" xfId="0" applyFont="1" applyFill="1" applyBorder="1" applyAlignment="1">
      <alignment horizontal="center" vertical="center"/>
    </xf>
    <xf numFmtId="0" fontId="6" fillId="9" borderId="81" xfId="0" applyFont="1" applyFill="1" applyBorder="1" applyAlignment="1">
      <alignment horizontal="left" vertical="center"/>
    </xf>
    <xf numFmtId="0" fontId="1" fillId="9" borderId="11" xfId="0" applyFont="1" applyFill="1" applyBorder="1" applyAlignment="1">
      <alignment horizontal="right" vertical="center" wrapText="1"/>
    </xf>
    <xf numFmtId="0" fontId="6" fillId="9" borderId="11" xfId="0" applyFont="1" applyFill="1" applyBorder="1" applyAlignment="1">
      <alignment horizontal="left" vertical="center"/>
    </xf>
    <xf numFmtId="0" fontId="6" fillId="9" borderId="11" xfId="0" applyFont="1" applyFill="1" applyBorder="1" applyAlignment="1">
      <alignment horizontal="center" vertical="center" wrapText="1"/>
    </xf>
    <xf numFmtId="0" fontId="0" fillId="9" borderId="32" xfId="0" applyFill="1" applyBorder="1" applyAlignment="1">
      <alignment horizontal="right" vertical="center"/>
    </xf>
    <xf numFmtId="0" fontId="0" fillId="0" borderId="47" xfId="0" applyFill="1" applyBorder="1" applyAlignment="1">
      <alignment horizontal="right" vertical="center"/>
    </xf>
    <xf numFmtId="0" fontId="0" fillId="0" borderId="82" xfId="0" applyFill="1" applyBorder="1" applyAlignment="1">
      <alignment horizontal="right" vertical="center"/>
    </xf>
    <xf numFmtId="0" fontId="0" fillId="9" borderId="56" xfId="0" applyFill="1" applyBorder="1" applyAlignment="1">
      <alignment horizontal="left" vertical="center"/>
    </xf>
    <xf numFmtId="0" fontId="6" fillId="9" borderId="31" xfId="0" applyFont="1" applyFill="1" applyBorder="1" applyAlignment="1">
      <alignment horizontal="left" vertical="center"/>
    </xf>
    <xf numFmtId="0" fontId="0" fillId="9" borderId="11" xfId="0" applyFill="1" applyBorder="1" applyAlignment="1">
      <alignment horizontal="right" vertical="center"/>
    </xf>
    <xf numFmtId="0" fontId="0" fillId="9" borderId="11" xfId="0" applyFill="1" applyBorder="1" applyAlignment="1">
      <alignment horizontal="right" vertical="center" wrapText="1"/>
    </xf>
    <xf numFmtId="0" fontId="6" fillId="0" borderId="11" xfId="0" applyFont="1" applyFill="1" applyBorder="1" applyAlignment="1">
      <alignment horizontal="center" vertical="center" wrapText="1"/>
    </xf>
    <xf numFmtId="0" fontId="0" fillId="9" borderId="51" xfId="0" applyFill="1" applyBorder="1" applyAlignment="1">
      <alignment horizontal="center" vertical="center"/>
    </xf>
    <xf numFmtId="0" fontId="8" fillId="9" borderId="0" xfId="0" applyFont="1" applyFill="1" applyAlignment="1">
      <alignment vertical="center"/>
    </xf>
    <xf numFmtId="0" fontId="8" fillId="9" borderId="83" xfId="0" applyFont="1" applyFill="1" applyBorder="1" applyAlignment="1">
      <alignment horizontal="center" vertical="center" wrapText="1"/>
    </xf>
    <xf numFmtId="0" fontId="8" fillId="9" borderId="84" xfId="0" applyFont="1" applyFill="1" applyBorder="1" applyAlignment="1">
      <alignment vertical="center"/>
    </xf>
    <xf numFmtId="0" fontId="8" fillId="9" borderId="3" xfId="0" applyFont="1" applyFill="1" applyBorder="1" applyAlignment="1">
      <alignment vertical="center"/>
    </xf>
    <xf numFmtId="0" fontId="0" fillId="9" borderId="12" xfId="0" applyFill="1" applyBorder="1" applyAlignment="1">
      <alignment vertical="center" wrapText="1"/>
    </xf>
    <xf numFmtId="0" fontId="0" fillId="9" borderId="0" xfId="0" applyFill="1" applyAlignment="1">
      <alignment vertical="center" wrapText="1"/>
    </xf>
    <xf numFmtId="0" fontId="10" fillId="9" borderId="0" xfId="0" applyFont="1" applyFill="1" applyAlignment="1">
      <alignment vertical="center"/>
    </xf>
    <xf numFmtId="0" fontId="6" fillId="9" borderId="0" xfId="0" applyFont="1" applyFill="1" applyBorder="1" applyAlignment="1">
      <alignment horizontal="left" vertical="center"/>
    </xf>
    <xf numFmtId="0" fontId="0" fillId="9" borderId="16" xfId="0" applyFill="1" applyBorder="1" applyAlignment="1">
      <alignment horizontal="left" vertical="center"/>
    </xf>
    <xf numFmtId="0" fontId="6" fillId="9" borderId="6" xfId="0" applyFont="1" applyFill="1" applyBorder="1" applyAlignment="1">
      <alignment horizontal="center" vertical="center"/>
    </xf>
    <xf numFmtId="0" fontId="6" fillId="9" borderId="3" xfId="0" applyFont="1" applyFill="1" applyBorder="1" applyAlignment="1">
      <alignment vertical="center"/>
    </xf>
    <xf numFmtId="0" fontId="13" fillId="9" borderId="0" xfId="0" applyFont="1" applyFill="1" applyAlignment="1">
      <alignment horizontal="justify" vertical="center"/>
    </xf>
    <xf numFmtId="0" fontId="4" fillId="9" borderId="48" xfId="0" applyFont="1" applyFill="1" applyBorder="1" applyAlignment="1">
      <alignment horizontal="center" vertical="center"/>
    </xf>
    <xf numFmtId="0" fontId="4" fillId="6" borderId="31" xfId="0" applyFont="1" applyFill="1" applyBorder="1" applyAlignment="1">
      <alignment vertical="center"/>
    </xf>
    <xf numFmtId="0" fontId="0" fillId="9" borderId="85" xfId="0" applyFill="1" applyBorder="1" applyAlignment="1">
      <alignment horizontal="center" vertical="center" wrapText="1"/>
    </xf>
    <xf numFmtId="170" fontId="0" fillId="11" borderId="0" xfId="0" applyNumberFormat="1" applyFill="1" applyBorder="1" applyAlignment="1">
      <alignment vertical="center" wrapText="1"/>
    </xf>
    <xf numFmtId="0" fontId="18" fillId="11" borderId="0" xfId="0" applyFont="1" applyFill="1" applyBorder="1" applyAlignment="1">
      <alignment vertical="center" wrapText="1"/>
    </xf>
    <xf numFmtId="0" fontId="8" fillId="9" borderId="0" xfId="0" applyFont="1" applyFill="1" applyAlignment="1">
      <alignment horizontal="center" vertical="center" wrapText="1"/>
    </xf>
    <xf numFmtId="0" fontId="8" fillId="9" borderId="0" xfId="0" applyFont="1" applyFill="1" applyAlignment="1">
      <alignment vertical="center" wrapText="1"/>
    </xf>
    <xf numFmtId="0" fontId="6" fillId="9" borderId="0" xfId="0" applyFont="1" applyFill="1" applyAlignment="1">
      <alignment vertical="center" wrapText="1"/>
    </xf>
    <xf numFmtId="0" fontId="10" fillId="9" borderId="0" xfId="0" applyFont="1" applyFill="1" applyAlignment="1">
      <alignment vertical="center" wrapText="1"/>
    </xf>
    <xf numFmtId="0" fontId="0" fillId="9" borderId="6" xfId="0" applyFill="1" applyBorder="1" applyAlignment="1">
      <alignment vertical="center" wrapText="1"/>
    </xf>
    <xf numFmtId="0" fontId="0" fillId="13" borderId="0" xfId="0" applyFill="1" applyAlignment="1">
      <alignment vertical="center" wrapText="1"/>
    </xf>
    <xf numFmtId="0" fontId="0" fillId="13" borderId="1" xfId="0" applyFill="1" applyBorder="1" applyAlignment="1">
      <alignment vertical="center"/>
    </xf>
    <xf numFmtId="0" fontId="0" fillId="13" borderId="54" xfId="0" applyFill="1" applyBorder="1" applyAlignment="1">
      <alignment vertical="center"/>
    </xf>
    <xf numFmtId="0" fontId="6" fillId="13" borderId="0" xfId="0" applyFont="1" applyFill="1" applyAlignment="1">
      <alignment vertical="center"/>
    </xf>
    <xf numFmtId="0" fontId="6" fillId="11" borderId="0" xfId="0" applyFont="1" applyFill="1" applyAlignment="1">
      <alignment vertical="center" wrapText="1"/>
    </xf>
    <xf numFmtId="0" fontId="6" fillId="11" borderId="0" xfId="0" applyFont="1" applyFill="1" applyAlignment="1">
      <alignment wrapText="1"/>
    </xf>
    <xf numFmtId="0" fontId="6" fillId="11" borderId="0" xfId="0" applyFont="1" applyFill="1" applyBorder="1" applyAlignment="1">
      <alignment vertical="center" wrapText="1"/>
    </xf>
    <xf numFmtId="0" fontId="16" fillId="9" borderId="0" xfId="0" applyFont="1" applyFill="1" applyBorder="1" applyAlignment="1">
      <alignment vertical="center" wrapText="1"/>
    </xf>
    <xf numFmtId="0" fontId="0" fillId="9" borderId="0" xfId="0" quotePrefix="1" applyFill="1" applyBorder="1" applyAlignment="1">
      <alignment horizontal="left" vertical="center" wrapText="1"/>
    </xf>
    <xf numFmtId="0" fontId="0" fillId="9" borderId="9" xfId="0" applyFill="1" applyBorder="1" applyAlignment="1">
      <alignment vertical="center" wrapText="1"/>
    </xf>
    <xf numFmtId="0" fontId="4" fillId="0" borderId="12" xfId="0" applyFont="1" applyFill="1" applyBorder="1" applyAlignment="1">
      <alignment horizontal="center" vertical="center" wrapText="1"/>
    </xf>
    <xf numFmtId="0" fontId="1" fillId="9" borderId="0" xfId="0" applyFont="1" applyFill="1" applyBorder="1" applyAlignment="1">
      <alignment vertical="center" wrapText="1"/>
    </xf>
    <xf numFmtId="0" fontId="0" fillId="3" borderId="6" xfId="0" applyFill="1" applyBorder="1" applyAlignment="1">
      <alignment horizontal="right" vertical="center" wrapText="1"/>
    </xf>
    <xf numFmtId="0" fontId="6" fillId="3" borderId="4" xfId="0" applyFont="1" applyFill="1" applyBorder="1" applyAlignment="1">
      <alignment horizontal="center" vertical="center" wrapText="1"/>
    </xf>
    <xf numFmtId="0" fontId="0" fillId="0" borderId="16" xfId="0" applyFill="1" applyBorder="1" applyAlignment="1">
      <alignment wrapText="1"/>
    </xf>
    <xf numFmtId="0" fontId="0" fillId="0" borderId="49" xfId="0" applyFill="1" applyBorder="1"/>
    <xf numFmtId="0" fontId="0" fillId="0" borderId="9" xfId="0" applyFill="1" applyBorder="1"/>
    <xf numFmtId="0" fontId="0" fillId="0" borderId="50" xfId="0" applyFill="1" applyBorder="1"/>
    <xf numFmtId="0" fontId="0" fillId="0" borderId="55" xfId="0" applyFill="1" applyBorder="1"/>
    <xf numFmtId="0" fontId="0" fillId="0" borderId="10" xfId="0" applyFill="1" applyBorder="1"/>
    <xf numFmtId="0" fontId="0" fillId="0" borderId="14" xfId="0" applyFill="1" applyBorder="1"/>
    <xf numFmtId="0" fontId="12" fillId="9" borderId="9" xfId="0" applyFont="1" applyFill="1" applyBorder="1" applyAlignment="1">
      <alignment vertical="center" wrapText="1"/>
    </xf>
    <xf numFmtId="0" fontId="1" fillId="11" borderId="9" xfId="0" applyFont="1" applyFill="1" applyBorder="1" applyAlignment="1">
      <alignment vertical="center" wrapText="1"/>
    </xf>
    <xf numFmtId="0" fontId="0" fillId="9" borderId="86" xfId="0" applyFill="1" applyBorder="1" applyAlignment="1">
      <alignment vertical="center" wrapText="1"/>
    </xf>
    <xf numFmtId="0" fontId="12" fillId="9" borderId="6" xfId="0" applyFont="1" applyFill="1" applyBorder="1" applyAlignment="1">
      <alignment vertical="center" wrapText="1"/>
    </xf>
    <xf numFmtId="0" fontId="12" fillId="11" borderId="9" xfId="0" applyFont="1" applyFill="1" applyBorder="1" applyAlignment="1">
      <alignment vertical="center" wrapText="1"/>
    </xf>
    <xf numFmtId="0" fontId="0" fillId="2" borderId="13"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6" borderId="12" xfId="0" applyFill="1" applyBorder="1" applyAlignment="1" applyProtection="1">
      <alignment vertical="center"/>
      <protection locked="0"/>
    </xf>
    <xf numFmtId="0" fontId="18" fillId="6" borderId="12" xfId="0" applyFont="1" applyFill="1" applyBorder="1" applyAlignment="1" applyProtection="1">
      <alignment vertical="center"/>
      <protection locked="0"/>
    </xf>
    <xf numFmtId="0" fontId="0" fillId="2" borderId="12" xfId="0" applyFill="1" applyBorder="1" applyAlignment="1" applyProtection="1">
      <alignment horizontal="center" vertical="center"/>
      <protection locked="0"/>
    </xf>
    <xf numFmtId="2" fontId="0" fillId="2" borderId="12" xfId="0" applyNumberFormat="1"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0" xfId="0" applyAlignment="1" applyProtection="1">
      <alignment vertical="center"/>
    </xf>
    <xf numFmtId="0" fontId="6" fillId="0" borderId="0" xfId="0" applyFont="1" applyAlignment="1" applyProtection="1">
      <alignment horizontal="center" vertical="center"/>
    </xf>
    <xf numFmtId="0" fontId="1" fillId="11" borderId="0" xfId="0" applyFont="1" applyFill="1" applyAlignment="1" applyProtection="1">
      <alignment vertical="center" wrapText="1"/>
    </xf>
    <xf numFmtId="0" fontId="0" fillId="14" borderId="20" xfId="0" applyFill="1" applyBorder="1" applyAlignment="1" applyProtection="1">
      <alignment vertical="center"/>
    </xf>
    <xf numFmtId="0" fontId="6" fillId="14" borderId="11" xfId="0" applyFont="1" applyFill="1" applyBorder="1" applyAlignment="1" applyProtection="1">
      <alignment horizontal="center" vertical="center"/>
    </xf>
    <xf numFmtId="0" fontId="0" fillId="0" borderId="0" xfId="0" applyAlignment="1" applyProtection="1">
      <alignment vertical="center" wrapText="1"/>
    </xf>
    <xf numFmtId="0" fontId="0" fillId="14" borderId="21" xfId="0" applyFill="1" applyBorder="1" applyAlignment="1" applyProtection="1">
      <alignment vertical="center"/>
    </xf>
    <xf numFmtId="0" fontId="0" fillId="0" borderId="44" xfId="0" applyBorder="1" applyAlignment="1" applyProtection="1">
      <alignment horizontal="right" vertical="center"/>
    </xf>
    <xf numFmtId="0" fontId="0" fillId="0" borderId="45" xfId="0" applyBorder="1" applyAlignment="1" applyProtection="1">
      <alignment vertical="center"/>
    </xf>
    <xf numFmtId="0" fontId="0" fillId="0" borderId="10" xfId="0" applyBorder="1" applyAlignment="1" applyProtection="1">
      <alignment horizontal="right" vertical="center"/>
    </xf>
    <xf numFmtId="0" fontId="0" fillId="0" borderId="3" xfId="0" applyBorder="1" applyAlignment="1" applyProtection="1">
      <alignment vertical="center"/>
    </xf>
    <xf numFmtId="0" fontId="1" fillId="11" borderId="12" xfId="0" applyFont="1" applyFill="1" applyBorder="1" applyAlignment="1" applyProtection="1">
      <alignment vertical="center" wrapText="1"/>
    </xf>
    <xf numFmtId="0" fontId="0" fillId="11" borderId="0" xfId="0" applyFill="1" applyBorder="1" applyAlignment="1" applyProtection="1">
      <alignment vertical="center"/>
    </xf>
    <xf numFmtId="0" fontId="1" fillId="11" borderId="0" xfId="0" applyFont="1" applyFill="1" applyBorder="1" applyAlignment="1" applyProtection="1">
      <alignment vertical="center" wrapText="1"/>
    </xf>
    <xf numFmtId="0" fontId="0" fillId="0" borderId="10" xfId="0" applyBorder="1" applyAlignment="1" applyProtection="1">
      <alignment horizontal="right" vertical="center" wrapText="1"/>
    </xf>
    <xf numFmtId="0" fontId="0" fillId="0" borderId="14" xfId="0" applyBorder="1" applyAlignment="1" applyProtection="1">
      <alignment horizontal="right" vertical="center"/>
    </xf>
    <xf numFmtId="0" fontId="0" fillId="0" borderId="2" xfId="0" applyBorder="1" applyAlignment="1" applyProtection="1">
      <alignment vertical="center"/>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1" fillId="0" borderId="0" xfId="0" applyFont="1" applyBorder="1" applyAlignment="1" applyProtection="1">
      <alignment horizontal="right" vertical="center"/>
    </xf>
    <xf numFmtId="0" fontId="0" fillId="0" borderId="0" xfId="0" applyFill="1" applyBorder="1" applyAlignment="1" applyProtection="1">
      <alignment horizontal="center" vertical="center"/>
    </xf>
    <xf numFmtId="0" fontId="0" fillId="11" borderId="0" xfId="0" applyFill="1" applyBorder="1" applyAlignment="1" applyProtection="1">
      <alignment vertical="center" wrapText="1"/>
    </xf>
    <xf numFmtId="0" fontId="0" fillId="0" borderId="0" xfId="0" quotePrefix="1" applyFill="1" applyBorder="1" applyAlignment="1" applyProtection="1">
      <alignment horizontal="center" vertical="center"/>
    </xf>
    <xf numFmtId="0" fontId="0" fillId="0" borderId="0" xfId="0" applyBorder="1" applyAlignment="1" applyProtection="1">
      <alignment vertical="center" wrapText="1"/>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0" xfId="0" quotePrefix="1" applyAlignment="1" applyProtection="1">
      <alignment horizontal="right" vertical="center"/>
    </xf>
    <xf numFmtId="172" fontId="6" fillId="10" borderId="66" xfId="0" applyNumberFormat="1"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0" fontId="6" fillId="5" borderId="20" xfId="0" applyFont="1" applyFill="1" applyBorder="1" applyAlignment="1" applyProtection="1">
      <alignment horizontal="left" vertical="center"/>
    </xf>
    <xf numFmtId="0" fontId="0" fillId="5" borderId="11" xfId="0" applyFill="1" applyBorder="1" applyAlignment="1" applyProtection="1">
      <alignment vertical="center"/>
    </xf>
    <xf numFmtId="0" fontId="6" fillId="5" borderId="21" xfId="0" applyFont="1" applyFill="1" applyBorder="1" applyAlignment="1" applyProtection="1">
      <alignment horizontal="left" vertical="center"/>
    </xf>
    <xf numFmtId="0" fontId="0" fillId="5" borderId="20" xfId="0"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11"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0" fillId="6" borderId="24" xfId="0" applyFill="1" applyBorder="1" applyAlignment="1" applyProtection="1">
      <alignment vertical="center"/>
    </xf>
    <xf numFmtId="0" fontId="0" fillId="6" borderId="0" xfId="0" applyFill="1" applyBorder="1" applyAlignment="1" applyProtection="1">
      <alignment vertical="center"/>
    </xf>
    <xf numFmtId="0" fontId="0" fillId="0" borderId="23" xfId="0" applyBorder="1" applyAlignment="1" applyProtection="1">
      <alignment horizontal="left" vertical="center" wrapText="1"/>
    </xf>
    <xf numFmtId="0" fontId="0" fillId="0" borderId="24" xfId="0" applyBorder="1" applyAlignment="1" applyProtection="1">
      <alignment vertical="center"/>
    </xf>
    <xf numFmtId="0" fontId="0" fillId="9" borderId="24" xfId="0" applyFill="1" applyBorder="1" applyAlignment="1" applyProtection="1">
      <alignment horizontal="right" vertical="center"/>
    </xf>
    <xf numFmtId="0" fontId="0" fillId="0" borderId="23" xfId="0" applyBorder="1" applyAlignment="1" applyProtection="1">
      <alignment vertical="center"/>
    </xf>
    <xf numFmtId="0" fontId="0" fillId="6" borderId="9" xfId="0" applyFill="1" applyBorder="1" applyAlignment="1" applyProtection="1">
      <alignment vertical="center"/>
    </xf>
    <xf numFmtId="0" fontId="4" fillId="6" borderId="26" xfId="0" applyFont="1" applyFill="1" applyBorder="1" applyAlignment="1" applyProtection="1">
      <alignment vertical="top"/>
    </xf>
    <xf numFmtId="0" fontId="0" fillId="9" borderId="0" xfId="0" applyFill="1" applyBorder="1" applyAlignment="1" applyProtection="1">
      <alignment horizontal="right" vertical="center"/>
    </xf>
    <xf numFmtId="0" fontId="0" fillId="0" borderId="2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6" borderId="11" xfId="0" applyFill="1" applyBorder="1" applyAlignment="1" applyProtection="1">
      <alignment horizontal="center" vertical="center"/>
    </xf>
    <xf numFmtId="0" fontId="6" fillId="9" borderId="0" xfId="0" applyFont="1" applyFill="1" applyAlignment="1" applyProtection="1">
      <alignment vertical="center"/>
    </xf>
    <xf numFmtId="0" fontId="12" fillId="6" borderId="31" xfId="0" applyFont="1" applyFill="1" applyBorder="1" applyAlignment="1" applyProtection="1">
      <alignment horizontal="center" vertical="center"/>
    </xf>
    <xf numFmtId="0" fontId="0" fillId="9" borderId="0" xfId="0" applyFill="1" applyAlignment="1" applyProtection="1">
      <alignment vertical="center"/>
    </xf>
    <xf numFmtId="0" fontId="0" fillId="11" borderId="0" xfId="0" applyFill="1" applyAlignment="1" applyProtection="1">
      <alignment vertical="center" wrapText="1"/>
    </xf>
    <xf numFmtId="0" fontId="8" fillId="0" borderId="0" xfId="0" applyFont="1" applyAlignment="1" applyProtection="1">
      <alignment vertical="center"/>
    </xf>
    <xf numFmtId="0" fontId="12" fillId="2" borderId="66" xfId="0" applyFont="1" applyFill="1" applyBorder="1" applyAlignment="1" applyProtection="1">
      <alignment horizontal="center" vertical="center"/>
      <protection locked="0"/>
    </xf>
    <xf numFmtId="172" fontId="12" fillId="2" borderId="66" xfId="0" applyNumberFormat="1" applyFont="1"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29" fillId="6" borderId="31" xfId="0" applyFont="1" applyFill="1" applyBorder="1" applyAlignment="1" applyProtection="1">
      <alignment horizontal="center" vertical="center"/>
      <protection locked="0"/>
    </xf>
    <xf numFmtId="0" fontId="0" fillId="6" borderId="87"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6" fillId="6" borderId="12" xfId="0" applyFont="1" applyFill="1" applyBorder="1" applyAlignment="1" applyProtection="1">
      <alignment vertical="center"/>
      <protection locked="0"/>
    </xf>
    <xf numFmtId="0" fontId="1" fillId="6" borderId="12" xfId="0" quotePrefix="1" applyFont="1" applyFill="1" applyBorder="1" applyAlignment="1" applyProtection="1">
      <alignment horizontal="center" vertical="center"/>
      <protection locked="0"/>
    </xf>
    <xf numFmtId="0" fontId="1" fillId="6" borderId="31" xfId="0" quotePrefix="1" applyFont="1" applyFill="1" applyBorder="1" applyAlignment="1" applyProtection="1">
      <alignment horizontal="center" vertical="center"/>
      <protection locked="0"/>
    </xf>
    <xf numFmtId="165" fontId="0" fillId="6" borderId="7" xfId="0" applyNumberFormat="1" applyFill="1" applyBorder="1" applyAlignment="1" applyProtection="1">
      <alignment horizontal="center" vertical="center"/>
      <protection locked="0"/>
    </xf>
    <xf numFmtId="165" fontId="0" fillId="6" borderId="22" xfId="0" applyNumberFormat="1" applyFill="1" applyBorder="1" applyAlignment="1" applyProtection="1">
      <alignment horizontal="center" vertical="center"/>
      <protection locked="0"/>
    </xf>
    <xf numFmtId="165" fontId="3" fillId="6" borderId="7" xfId="0" quotePrefix="1" applyNumberFormat="1" applyFont="1" applyFill="1" applyBorder="1" applyAlignment="1" applyProtection="1">
      <alignment horizontal="center" vertical="center"/>
      <protection locked="0"/>
    </xf>
    <xf numFmtId="0" fontId="1" fillId="6" borderId="7" xfId="0" quotePrefix="1"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0" fillId="10" borderId="22" xfId="0" applyFill="1" applyBorder="1" applyAlignment="1" applyProtection="1">
      <alignment horizontal="center" vertical="center" wrapText="1"/>
      <protection locked="0"/>
    </xf>
    <xf numFmtId="0" fontId="0" fillId="10" borderId="7" xfId="0" applyFill="1" applyBorder="1" applyAlignment="1" applyProtection="1">
      <alignment horizontal="center" vertical="center" wrapText="1"/>
      <protection locked="0"/>
    </xf>
    <xf numFmtId="0" fontId="0" fillId="6" borderId="31" xfId="0" applyFill="1" applyBorder="1" applyAlignment="1" applyProtection="1">
      <alignment horizontal="center" vertical="center"/>
      <protection locked="0"/>
    </xf>
    <xf numFmtId="0" fontId="0" fillId="10" borderId="43" xfId="0" applyFill="1" applyBorder="1" applyAlignment="1" applyProtection="1">
      <alignment horizontal="center" vertical="center" wrapText="1"/>
      <protection locked="0"/>
    </xf>
    <xf numFmtId="0" fontId="12" fillId="10" borderId="7" xfId="0"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wrapText="1"/>
      <protection locked="0"/>
    </xf>
    <xf numFmtId="0" fontId="1" fillId="6" borderId="31" xfId="0" applyFont="1" applyFill="1" applyBorder="1" applyAlignment="1" applyProtection="1">
      <alignment horizontal="center" vertical="center" wrapText="1"/>
      <protection locked="0"/>
    </xf>
    <xf numFmtId="165" fontId="12" fillId="6" borderId="12" xfId="0" applyNumberFormat="1" applyFont="1" applyFill="1" applyBorder="1" applyAlignment="1" applyProtection="1">
      <alignment horizontal="center" vertical="center" wrapText="1"/>
      <protection locked="0"/>
    </xf>
    <xf numFmtId="165" fontId="1" fillId="6" borderId="7"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justify" vertical="center"/>
      <protection locked="0"/>
    </xf>
    <xf numFmtId="0" fontId="1" fillId="2" borderId="7" xfId="0" quotePrefix="1" applyFont="1" applyFill="1" applyBorder="1" applyAlignment="1" applyProtection="1">
      <alignment vertical="center"/>
      <protection locked="0"/>
    </xf>
    <xf numFmtId="0" fontId="1" fillId="2" borderId="7"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1" fillId="2" borderId="5" xfId="0" applyFont="1" applyFill="1" applyBorder="1" applyAlignment="1" applyProtection="1">
      <alignment horizontal="justify" vertical="center"/>
      <protection locked="0"/>
    </xf>
    <xf numFmtId="0" fontId="0" fillId="15" borderId="43" xfId="0" applyFill="1" applyBorder="1" applyAlignment="1" applyProtection="1">
      <alignment vertical="center" wrapText="1"/>
      <protection locked="0"/>
    </xf>
    <xf numFmtId="0" fontId="0" fillId="2" borderId="7"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23" fillId="11" borderId="4" xfId="0" applyFont="1" applyFill="1" applyBorder="1" applyAlignment="1" applyProtection="1">
      <alignment horizontal="center" vertical="center"/>
    </xf>
    <xf numFmtId="174" fontId="7" fillId="11" borderId="6" xfId="0" applyNumberFormat="1" applyFont="1" applyFill="1" applyBorder="1" applyAlignment="1" applyProtection="1">
      <alignment horizontal="center" vertical="center"/>
    </xf>
    <xf numFmtId="0" fontId="7" fillId="11" borderId="8" xfId="0" applyFont="1" applyFill="1" applyBorder="1" applyAlignment="1" applyProtection="1">
      <alignment horizontal="center" vertical="center"/>
    </xf>
    <xf numFmtId="0" fontId="0" fillId="0" borderId="6" xfId="0" applyBorder="1" applyProtection="1">
      <protection locked="0"/>
    </xf>
    <xf numFmtId="0" fontId="7" fillId="0" borderId="7" xfId="0" applyFont="1" applyFill="1" applyBorder="1" applyAlignment="1" applyProtection="1">
      <protection locked="0"/>
    </xf>
    <xf numFmtId="0" fontId="0" fillId="0" borderId="8" xfId="0" applyBorder="1" applyProtection="1">
      <protection locked="0"/>
    </xf>
    <xf numFmtId="0" fontId="7" fillId="0" borderId="22" xfId="0" applyFont="1" applyFill="1" applyBorder="1" applyAlignment="1" applyProtection="1">
      <protection locked="0"/>
    </xf>
    <xf numFmtId="0" fontId="0" fillId="0" borderId="31" xfId="0" applyBorder="1" applyProtection="1">
      <protection locked="0"/>
    </xf>
    <xf numFmtId="0" fontId="5" fillId="0" borderId="22" xfId="1" applyBorder="1" applyAlignment="1" applyProtection="1">
      <protection locked="0"/>
    </xf>
    <xf numFmtId="0" fontId="3" fillId="0" borderId="3" xfId="0" applyFont="1" applyBorder="1" applyProtection="1">
      <protection locked="0"/>
    </xf>
    <xf numFmtId="0" fontId="0" fillId="0" borderId="3" xfId="0" applyBorder="1" applyProtection="1">
      <protection locked="0"/>
    </xf>
    <xf numFmtId="0" fontId="0" fillId="0" borderId="2" xfId="0" applyBorder="1" applyProtection="1">
      <protection locked="0"/>
    </xf>
    <xf numFmtId="0" fontId="3" fillId="0" borderId="0" xfId="0" applyFont="1" applyBorder="1" applyAlignment="1" applyProtection="1">
      <alignment horizontal="center"/>
      <protection locked="0"/>
    </xf>
    <xf numFmtId="0" fontId="0" fillId="0" borderId="0" xfId="0" applyBorder="1" applyProtection="1">
      <protection locked="0"/>
    </xf>
    <xf numFmtId="0" fontId="3" fillId="5" borderId="0" xfId="0" applyFont="1" applyFill="1" applyBorder="1" applyProtection="1">
      <protection locked="0"/>
    </xf>
    <xf numFmtId="0" fontId="3" fillId="5" borderId="1" xfId="0" applyFont="1" applyFill="1" applyBorder="1" applyProtection="1">
      <protection locked="0"/>
    </xf>
    <xf numFmtId="0" fontId="0" fillId="0" borderId="1" xfId="0" applyBorder="1" applyAlignment="1" applyProtection="1">
      <alignment horizontal="left"/>
      <protection locked="0"/>
    </xf>
    <xf numFmtId="0" fontId="7" fillId="0" borderId="61" xfId="0" applyFont="1" applyFill="1" applyBorder="1" applyAlignment="1" applyProtection="1">
      <protection locked="0"/>
    </xf>
    <xf numFmtId="0" fontId="7" fillId="3" borderId="62" xfId="0" applyFont="1" applyFill="1" applyBorder="1" applyAlignment="1" applyProtection="1">
      <protection locked="0"/>
    </xf>
    <xf numFmtId="0" fontId="0" fillId="3" borderId="62" xfId="0" applyFill="1" applyBorder="1" applyProtection="1">
      <protection locked="0"/>
    </xf>
    <xf numFmtId="0" fontId="0" fillId="3" borderId="62" xfId="0" applyFill="1" applyBorder="1" applyAlignment="1" applyProtection="1">
      <alignment horizontal="center"/>
      <protection locked="0"/>
    </xf>
    <xf numFmtId="0" fontId="7" fillId="0" borderId="62" xfId="0" applyFont="1" applyFill="1" applyBorder="1" applyAlignment="1" applyProtection="1">
      <protection locked="0"/>
    </xf>
    <xf numFmtId="0" fontId="0" fillId="0" borderId="62" xfId="0" applyBorder="1" applyProtection="1">
      <protection locked="0"/>
    </xf>
    <xf numFmtId="170" fontId="0" fillId="0" borderId="62" xfId="0" applyNumberFormat="1" applyBorder="1" applyProtection="1">
      <protection locked="0"/>
    </xf>
    <xf numFmtId="0" fontId="3" fillId="0" borderId="62" xfId="0" quotePrefix="1" applyFont="1" applyBorder="1" applyAlignment="1" applyProtection="1">
      <alignment horizontal="left"/>
      <protection locked="0"/>
    </xf>
    <xf numFmtId="0" fontId="3" fillId="0" borderId="62" xfId="0" applyFont="1" applyBorder="1" applyProtection="1">
      <protection locked="0"/>
    </xf>
    <xf numFmtId="0" fontId="17" fillId="0" borderId="62" xfId="0" quotePrefix="1" applyFont="1" applyFill="1" applyBorder="1" applyAlignment="1" applyProtection="1">
      <alignment horizontal="right"/>
      <protection locked="0"/>
    </xf>
    <xf numFmtId="14" fontId="3" fillId="0" borderId="62" xfId="0" applyNumberFormat="1" applyFont="1" applyBorder="1" applyProtection="1">
      <protection locked="0"/>
    </xf>
    <xf numFmtId="1" fontId="3" fillId="0" borderId="62" xfId="0" applyNumberFormat="1" applyFont="1" applyBorder="1" applyProtection="1">
      <protection locked="0"/>
    </xf>
    <xf numFmtId="0" fontId="17" fillId="0" borderId="62" xfId="0" applyFont="1" applyFill="1" applyBorder="1" applyAlignment="1" applyProtection="1">
      <alignment horizontal="right"/>
      <protection locked="0"/>
    </xf>
    <xf numFmtId="0" fontId="7" fillId="0" borderId="65" xfId="0" applyFont="1" applyFill="1" applyBorder="1" applyAlignment="1" applyProtection="1">
      <protection locked="0"/>
    </xf>
    <xf numFmtId="0" fontId="7" fillId="0" borderId="88" xfId="0" applyFont="1" applyFill="1" applyBorder="1" applyAlignment="1" applyProtection="1">
      <protection locked="0"/>
    </xf>
    <xf numFmtId="0" fontId="0" fillId="0" borderId="88" xfId="0" applyBorder="1" applyProtection="1">
      <protection locked="0"/>
    </xf>
    <xf numFmtId="0" fontId="7" fillId="3" borderId="10" xfId="0" applyFont="1" applyFill="1" applyBorder="1" applyAlignment="1" applyProtection="1">
      <protection locked="0"/>
    </xf>
    <xf numFmtId="0" fontId="7" fillId="3" borderId="0" xfId="0" applyFont="1" applyFill="1" applyBorder="1" applyAlignment="1" applyProtection="1">
      <protection locked="0"/>
    </xf>
    <xf numFmtId="0" fontId="0" fillId="3" borderId="0" xfId="0" applyFill="1" applyBorder="1" applyProtection="1">
      <protection locked="0"/>
    </xf>
    <xf numFmtId="0" fontId="0" fillId="3" borderId="3" xfId="0" applyFill="1" applyBorder="1" applyProtection="1">
      <protection locked="0"/>
    </xf>
    <xf numFmtId="0" fontId="7" fillId="0" borderId="10" xfId="0" applyFont="1" applyFill="1" applyBorder="1" applyAlignment="1" applyProtection="1">
      <protection locked="0"/>
    </xf>
    <xf numFmtId="0" fontId="7" fillId="0" borderId="0" xfId="0" applyFont="1" applyFill="1" applyBorder="1" applyAlignment="1" applyProtection="1">
      <protection locked="0"/>
    </xf>
    <xf numFmtId="0" fontId="0" fillId="0" borderId="0" xfId="0" applyBorder="1" applyAlignment="1" applyProtection="1">
      <alignment horizontal="right"/>
      <protection locked="0"/>
    </xf>
    <xf numFmtId="0" fontId="0" fillId="0" borderId="0" xfId="0" quotePrefix="1" applyBorder="1" applyAlignment="1" applyProtection="1">
      <alignment horizontal="right"/>
      <protection locked="0"/>
    </xf>
    <xf numFmtId="0" fontId="7" fillId="0" borderId="14" xfId="0" applyFont="1" applyFill="1" applyBorder="1" applyAlignment="1" applyProtection="1">
      <protection locked="0"/>
    </xf>
    <xf numFmtId="0" fontId="7" fillId="0" borderId="1" xfId="0" applyFont="1" applyFill="1" applyBorder="1" applyAlignment="1" applyProtection="1">
      <protection locked="0"/>
    </xf>
    <xf numFmtId="0" fontId="0" fillId="0" borderId="1" xfId="0" applyBorder="1" applyAlignment="1" applyProtection="1">
      <alignment horizontal="right"/>
      <protection locked="0"/>
    </xf>
    <xf numFmtId="2" fontId="0" fillId="0" borderId="63" xfId="0" applyNumberFormat="1" applyBorder="1"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21" xfId="0" applyBorder="1" applyProtection="1">
      <protection locked="0"/>
    </xf>
    <xf numFmtId="0" fontId="0" fillId="0" borderId="0" xfId="0" applyProtection="1">
      <protection locked="0"/>
    </xf>
    <xf numFmtId="0" fontId="0" fillId="0" borderId="12" xfId="0" applyBorder="1" applyProtection="1">
      <protection locked="0"/>
    </xf>
    <xf numFmtId="0" fontId="0" fillId="5" borderId="7" xfId="0" applyFill="1" applyBorder="1" applyProtection="1">
      <protection locked="0"/>
    </xf>
    <xf numFmtId="0" fontId="0" fillId="0" borderId="7" xfId="0" applyBorder="1" applyProtection="1">
      <protection locked="0"/>
    </xf>
    <xf numFmtId="0" fontId="0" fillId="0" borderId="22" xfId="0" applyBorder="1" applyProtection="1">
      <protection locked="0"/>
    </xf>
    <xf numFmtId="0" fontId="0" fillId="0" borderId="38" xfId="0" applyBorder="1" applyProtection="1">
      <protection locked="0"/>
    </xf>
    <xf numFmtId="0" fontId="0" fillId="3" borderId="45" xfId="0" applyFill="1" applyBorder="1" applyProtection="1">
      <protection locked="0"/>
    </xf>
    <xf numFmtId="0" fontId="0" fillId="0" borderId="3" xfId="0" applyFill="1" applyBorder="1" applyProtection="1">
      <protection locked="0"/>
    </xf>
    <xf numFmtId="0" fontId="0" fillId="9" borderId="22" xfId="0"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22" xfId="0" applyBorder="1" applyAlignment="1" applyProtection="1">
      <alignment horizontal="left"/>
      <protection locked="0"/>
    </xf>
    <xf numFmtId="0" fontId="0" fillId="0" borderId="0" xfId="0" applyAlignment="1" applyProtection="1">
      <alignment horizontal="left"/>
      <protection locked="0"/>
    </xf>
    <xf numFmtId="0" fontId="0" fillId="0" borderId="24" xfId="0" applyBorder="1" applyAlignment="1" applyProtection="1">
      <alignment wrapText="1"/>
      <protection locked="0"/>
    </xf>
    <xf numFmtId="0" fontId="0" fillId="0" borderId="26" xfId="0" applyBorder="1" applyAlignment="1" applyProtection="1">
      <alignment wrapText="1"/>
      <protection locked="0"/>
    </xf>
    <xf numFmtId="0" fontId="0" fillId="0" borderId="12" xfId="0" applyBorder="1" applyAlignment="1">
      <alignment wrapText="1"/>
    </xf>
    <xf numFmtId="0" fontId="0" fillId="0" borderId="12" xfId="0" applyFill="1" applyBorder="1" applyAlignment="1">
      <alignment wrapText="1"/>
    </xf>
    <xf numFmtId="0" fontId="0" fillId="0" borderId="12" xfId="0" applyBorder="1" applyAlignment="1">
      <alignment horizontal="right"/>
    </xf>
    <xf numFmtId="0" fontId="0" fillId="0" borderId="12" xfId="0" applyBorder="1" applyAlignment="1">
      <alignment horizontal="center"/>
    </xf>
    <xf numFmtId="0" fontId="0" fillId="0" borderId="12" xfId="0" quotePrefix="1" applyBorder="1" applyAlignment="1">
      <alignment horizontal="right"/>
    </xf>
    <xf numFmtId="0" fontId="11" fillId="5" borderId="12" xfId="0" applyFont="1" applyFill="1" applyBorder="1" applyAlignment="1">
      <alignment horizontal="center"/>
    </xf>
    <xf numFmtId="0" fontId="11" fillId="0" borderId="12" xfId="0" applyFont="1" applyBorder="1" applyAlignment="1">
      <alignment horizontal="center"/>
    </xf>
    <xf numFmtId="0" fontId="11" fillId="0" borderId="12" xfId="0" quotePrefix="1" applyFont="1" applyBorder="1" applyAlignment="1">
      <alignment horizontal="center"/>
    </xf>
    <xf numFmtId="0" fontId="0" fillId="0" borderId="12" xfId="0" applyBorder="1" applyAlignment="1">
      <alignment horizontal="right" wrapText="1"/>
    </xf>
    <xf numFmtId="165" fontId="6" fillId="6" borderId="12" xfId="0" applyNumberFormat="1" applyFont="1" applyFill="1" applyBorder="1" applyAlignment="1" applyProtection="1">
      <alignment horizontal="center" vertical="center"/>
      <protection locked="0"/>
    </xf>
    <xf numFmtId="2" fontId="6" fillId="6" borderId="12" xfId="0" applyNumberFormat="1" applyFont="1" applyFill="1" applyBorder="1" applyAlignment="1" applyProtection="1">
      <alignment horizontal="center" vertical="center"/>
      <protection locked="0"/>
    </xf>
    <xf numFmtId="0" fontId="6" fillId="9" borderId="6" xfId="0" applyFont="1" applyFill="1" applyBorder="1" applyAlignment="1" applyProtection="1">
      <alignment horizontal="center" vertical="center"/>
      <protection locked="0"/>
    </xf>
    <xf numFmtId="0" fontId="0" fillId="9" borderId="83" xfId="0" applyFill="1" applyBorder="1" applyAlignment="1">
      <alignment vertical="center" wrapText="1"/>
    </xf>
    <xf numFmtId="0" fontId="0" fillId="9" borderId="48" xfId="0" applyFill="1" applyBorder="1" applyAlignment="1">
      <alignment vertical="center" wrapText="1"/>
    </xf>
    <xf numFmtId="0" fontId="0" fillId="9" borderId="48" xfId="0" applyFill="1" applyBorder="1" applyAlignment="1">
      <alignment horizontal="center" vertical="center"/>
    </xf>
    <xf numFmtId="9" fontId="0" fillId="0" borderId="0" xfId="0" applyNumberFormat="1" applyFill="1" applyBorder="1"/>
    <xf numFmtId="0" fontId="0" fillId="0" borderId="6" xfId="0" applyFill="1" applyBorder="1" applyAlignment="1">
      <alignment vertical="center" wrapText="1"/>
    </xf>
    <xf numFmtId="0" fontId="0" fillId="3" borderId="23" xfId="0" applyFill="1" applyBorder="1" applyAlignment="1">
      <alignment vertical="center"/>
    </xf>
    <xf numFmtId="0" fontId="0" fillId="3" borderId="7" xfId="0" applyFill="1" applyBorder="1" applyAlignment="1">
      <alignment horizontal="center" vertical="center"/>
    </xf>
    <xf numFmtId="0" fontId="0" fillId="9" borderId="46" xfId="0" applyFill="1" applyBorder="1" applyAlignment="1">
      <alignment horizontal="right" vertical="center" wrapText="1"/>
    </xf>
    <xf numFmtId="0" fontId="6" fillId="3" borderId="21"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0" fillId="9" borderId="56" xfId="0" applyFill="1" applyBorder="1" applyAlignment="1" applyProtection="1">
      <alignment horizontal="left" vertical="center"/>
      <protection locked="0"/>
    </xf>
    <xf numFmtId="0" fontId="6" fillId="9" borderId="11" xfId="0" applyFont="1" applyFill="1" applyBorder="1" applyAlignment="1" applyProtection="1">
      <alignment horizontal="center" vertical="center" wrapText="1"/>
      <protection locked="0"/>
    </xf>
    <xf numFmtId="0" fontId="0" fillId="9" borderId="0" xfId="0" applyFill="1" applyBorder="1" applyAlignment="1" applyProtection="1">
      <alignment horizontal="center" vertical="center" wrapText="1"/>
      <protection locked="0"/>
    </xf>
    <xf numFmtId="0" fontId="6" fillId="5" borderId="30" xfId="0" applyFont="1" applyFill="1" applyBorder="1" applyAlignment="1" applyProtection="1">
      <alignment horizontal="center" vertical="center" wrapText="1"/>
      <protection locked="0"/>
    </xf>
    <xf numFmtId="0" fontId="0" fillId="9" borderId="0" xfId="0" applyFill="1" applyBorder="1" applyAlignment="1" applyProtection="1">
      <alignment vertical="center"/>
    </xf>
    <xf numFmtId="0" fontId="1" fillId="0" borderId="0" xfId="0" applyFont="1" applyFill="1" applyBorder="1" applyAlignment="1" applyProtection="1">
      <alignment horizontal="left" vertical="center"/>
    </xf>
    <xf numFmtId="0" fontId="0" fillId="3" borderId="5" xfId="0" applyFill="1" applyBorder="1" applyAlignment="1">
      <alignment horizontal="center" vertical="center" wrapText="1"/>
    </xf>
    <xf numFmtId="0" fontId="0" fillId="0" borderId="0" xfId="0" applyFill="1" applyBorder="1" applyProtection="1">
      <protection locked="0"/>
    </xf>
    <xf numFmtId="0" fontId="0" fillId="0" borderId="11" xfId="0" applyFill="1" applyBorder="1" applyAlignment="1" applyProtection="1">
      <alignment horizontal="right" vertical="center"/>
    </xf>
    <xf numFmtId="165" fontId="12" fillId="0" borderId="24" xfId="0" quotePrefix="1" applyNumberFormat="1" applyFont="1" applyFill="1" applyBorder="1" applyAlignment="1" applyProtection="1">
      <alignment horizontal="center" vertical="center" wrapText="1"/>
      <protection locked="0"/>
    </xf>
    <xf numFmtId="0" fontId="6" fillId="0" borderId="43" xfId="0" applyFont="1" applyFill="1" applyBorder="1" applyAlignment="1" applyProtection="1">
      <alignment vertical="center"/>
    </xf>
    <xf numFmtId="0" fontId="6" fillId="3" borderId="43" xfId="0" quotePrefix="1" applyFont="1" applyFill="1" applyBorder="1" applyAlignment="1">
      <alignment horizontal="center" vertical="center" wrapText="1"/>
    </xf>
    <xf numFmtId="0" fontId="6" fillId="0" borderId="10" xfId="0" quotePrefix="1" applyFont="1" applyFill="1" applyBorder="1" applyAlignment="1">
      <alignment horizontal="center" wrapText="1"/>
    </xf>
    <xf numFmtId="0" fontId="12" fillId="11" borderId="6" xfId="0" applyFont="1" applyFill="1" applyBorder="1" applyAlignment="1">
      <alignment vertical="center" wrapText="1"/>
    </xf>
    <xf numFmtId="0" fontId="1" fillId="11" borderId="6" xfId="0" applyFont="1" applyFill="1" applyBorder="1" applyAlignment="1">
      <alignment vertical="center" wrapText="1"/>
    </xf>
    <xf numFmtId="0" fontId="11" fillId="0" borderId="12" xfId="0" applyFont="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0" borderId="50" xfId="0" applyFont="1" applyBorder="1" applyAlignment="1" applyProtection="1">
      <alignment horizontal="center" vertical="center" wrapText="1"/>
    </xf>
    <xf numFmtId="0" fontId="35" fillId="0" borderId="31" xfId="0" applyFont="1" applyBorder="1" applyAlignment="1" applyProtection="1">
      <alignment horizontal="center" vertical="center"/>
    </xf>
    <xf numFmtId="0" fontId="34" fillId="5" borderId="82" xfId="0" applyFont="1" applyFill="1" applyBorder="1" applyAlignment="1" applyProtection="1">
      <alignment horizontal="center" vertical="center"/>
    </xf>
    <xf numFmtId="0" fontId="0" fillId="6" borderId="27" xfId="0" applyFill="1" applyBorder="1" applyAlignment="1">
      <alignment vertical="center"/>
    </xf>
    <xf numFmtId="0" fontId="16" fillId="9" borderId="30"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54" xfId="0" applyFont="1" applyFill="1" applyBorder="1" applyAlignment="1">
      <alignment horizontal="center" vertical="center"/>
    </xf>
    <xf numFmtId="0" fontId="35" fillId="9" borderId="12" xfId="0" applyFont="1" applyFill="1" applyBorder="1" applyAlignment="1">
      <alignment horizontal="center" vertical="center"/>
    </xf>
    <xf numFmtId="0" fontId="35" fillId="9" borderId="75" xfId="0" applyFont="1" applyFill="1" applyBorder="1" applyAlignment="1">
      <alignment horizontal="center" vertical="center"/>
    </xf>
    <xf numFmtId="0" fontId="11" fillId="9" borderId="7" xfId="0" applyFont="1" applyFill="1" applyBorder="1" applyAlignment="1">
      <alignment horizontal="center" vertical="center"/>
    </xf>
    <xf numFmtId="0" fontId="31" fillId="9" borderId="7" xfId="0" quotePrefix="1" applyFont="1" applyFill="1" applyBorder="1" applyAlignment="1">
      <alignment horizontal="center" vertical="center"/>
    </xf>
    <xf numFmtId="165" fontId="11" fillId="9" borderId="7" xfId="0" quotePrefix="1" applyNumberFormat="1" applyFont="1" applyFill="1" applyBorder="1" applyAlignment="1">
      <alignment horizontal="center" vertical="center"/>
    </xf>
    <xf numFmtId="2" fontId="11" fillId="0" borderId="7" xfId="0" quotePrefix="1" applyNumberFormat="1" applyFont="1" applyBorder="1" applyAlignment="1">
      <alignment horizontal="center" vertical="center"/>
    </xf>
    <xf numFmtId="165" fontId="11" fillId="9" borderId="30" xfId="0" quotePrefix="1" applyNumberFormat="1" applyFont="1" applyFill="1" applyBorder="1" applyAlignment="1">
      <alignment horizontal="center" vertical="center"/>
    </xf>
    <xf numFmtId="2" fontId="3" fillId="9" borderId="12" xfId="0" applyNumberFormat="1" applyFont="1" applyFill="1" applyBorder="1" applyAlignment="1">
      <alignment horizontal="center" vertical="center"/>
    </xf>
    <xf numFmtId="2" fontId="3" fillId="9" borderId="31"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11" borderId="7" xfId="0" applyFont="1" applyFill="1" applyBorder="1" applyAlignment="1">
      <alignment horizontal="center" vertical="center"/>
    </xf>
    <xf numFmtId="0" fontId="11" fillId="11" borderId="22" xfId="0" applyFont="1" applyFill="1" applyBorder="1" applyAlignment="1">
      <alignment horizontal="center" vertical="center"/>
    </xf>
    <xf numFmtId="165" fontId="11" fillId="11" borderId="13" xfId="0" applyNumberFormat="1" applyFont="1" applyFill="1" applyBorder="1" applyAlignment="1">
      <alignment horizontal="center" vertical="center"/>
    </xf>
    <xf numFmtId="165" fontId="11" fillId="11" borderId="12" xfId="0" applyNumberFormat="1" applyFont="1" applyFill="1" applyBorder="1" applyAlignment="1">
      <alignment horizontal="center" vertical="center"/>
    </xf>
    <xf numFmtId="165" fontId="11" fillId="11" borderId="12" xfId="0" quotePrefix="1" applyNumberFormat="1" applyFont="1" applyFill="1" applyBorder="1" applyAlignment="1">
      <alignment horizontal="center" vertical="center" wrapText="1"/>
    </xf>
    <xf numFmtId="165" fontId="11" fillId="11" borderId="12" xfId="0" applyNumberFormat="1" applyFont="1" applyFill="1" applyBorder="1" applyAlignment="1">
      <alignment horizontal="center" vertical="center" wrapText="1"/>
    </xf>
    <xf numFmtId="2" fontId="11" fillId="11" borderId="12" xfId="0" applyNumberFormat="1" applyFont="1" applyFill="1" applyBorder="1" applyAlignment="1">
      <alignment horizontal="center" vertical="center"/>
    </xf>
    <xf numFmtId="165" fontId="11" fillId="11" borderId="7" xfId="0" applyNumberFormat="1" applyFont="1" applyFill="1" applyBorder="1" applyAlignment="1">
      <alignment horizontal="center" vertical="center"/>
    </xf>
    <xf numFmtId="0" fontId="11" fillId="9" borderId="31" xfId="0" applyFont="1" applyFill="1" applyBorder="1" applyAlignment="1">
      <alignment horizontal="center" vertical="center"/>
    </xf>
    <xf numFmtId="0" fontId="11" fillId="9" borderId="13" xfId="0" applyFont="1" applyFill="1" applyBorder="1" applyAlignment="1">
      <alignment horizontal="center" vertical="center"/>
    </xf>
    <xf numFmtId="0" fontId="11" fillId="9" borderId="7" xfId="0" applyFont="1" applyFill="1" applyBorder="1" applyAlignment="1">
      <alignment horizontal="center" vertical="center" wrapText="1"/>
    </xf>
    <xf numFmtId="0" fontId="16" fillId="9" borderId="13" xfId="0" applyFont="1" applyFill="1" applyBorder="1" applyAlignment="1">
      <alignment horizontal="center" vertical="center"/>
    </xf>
    <xf numFmtId="0" fontId="11" fillId="9" borderId="22" xfId="0" applyFont="1" applyFill="1" applyBorder="1" applyAlignment="1">
      <alignment horizontal="center" vertical="center" wrapText="1"/>
    </xf>
    <xf numFmtId="172" fontId="11" fillId="9" borderId="12" xfId="0" applyNumberFormat="1" applyFont="1" applyFill="1" applyBorder="1" applyAlignment="1">
      <alignment horizontal="center" vertical="center"/>
    </xf>
    <xf numFmtId="0" fontId="11" fillId="9" borderId="43" xfId="0" applyFont="1" applyFill="1" applyBorder="1" applyAlignment="1">
      <alignment horizontal="center" vertical="center" wrapText="1"/>
    </xf>
    <xf numFmtId="0" fontId="11" fillId="9" borderId="53" xfId="0" applyFont="1" applyFill="1" applyBorder="1" applyAlignment="1">
      <alignment horizontal="center" vertical="center" wrapText="1"/>
    </xf>
    <xf numFmtId="0" fontId="33" fillId="9" borderId="0" xfId="0" applyFont="1" applyFill="1" applyBorder="1" applyAlignment="1">
      <alignment vertical="center"/>
    </xf>
    <xf numFmtId="0" fontId="35" fillId="9" borderId="12"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12" xfId="0" applyFont="1" applyFill="1" applyBorder="1" applyAlignment="1">
      <alignment horizontal="center" vertical="center"/>
    </xf>
    <xf numFmtId="0" fontId="12" fillId="0" borderId="89" xfId="0" applyFont="1" applyFill="1" applyBorder="1" applyAlignment="1">
      <alignment horizontal="center" vertical="center" wrapText="1"/>
    </xf>
    <xf numFmtId="0" fontId="35" fillId="9" borderId="86" xfId="0" applyFont="1" applyFill="1" applyBorder="1" applyAlignment="1">
      <alignment horizontal="center" vertical="center"/>
    </xf>
    <xf numFmtId="0" fontId="35" fillId="9" borderId="9" xfId="0" applyFont="1" applyFill="1" applyBorder="1" applyAlignment="1">
      <alignment horizontal="center" vertical="center"/>
    </xf>
    <xf numFmtId="0" fontId="12" fillId="9" borderId="39" xfId="0" applyFont="1" applyFill="1" applyBorder="1" applyAlignment="1">
      <alignment horizontal="right" vertical="center" wrapText="1"/>
    </xf>
    <xf numFmtId="0" fontId="35" fillId="9" borderId="13" xfId="0" applyFont="1" applyFill="1" applyBorder="1" applyAlignment="1">
      <alignment horizontal="center" vertical="center"/>
    </xf>
    <xf numFmtId="0" fontId="1" fillId="9" borderId="1" xfId="0" applyFont="1" applyFill="1" applyBorder="1" applyAlignment="1" applyProtection="1">
      <alignment horizontal="center" vertical="center" wrapText="1"/>
    </xf>
    <xf numFmtId="0" fontId="36" fillId="0" borderId="76"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34" fillId="0" borderId="43" xfId="0" applyFont="1" applyBorder="1" applyAlignment="1" applyProtection="1">
      <alignment horizontal="center" vertical="center" wrapText="1"/>
    </xf>
    <xf numFmtId="0" fontId="1" fillId="9" borderId="50" xfId="0" applyFont="1" applyFill="1" applyBorder="1" applyAlignment="1">
      <alignment horizontal="center" vertical="center"/>
    </xf>
    <xf numFmtId="0" fontId="11" fillId="0" borderId="13" xfId="0" applyFont="1" applyFill="1" applyBorder="1" applyAlignment="1">
      <alignment horizontal="center" vertical="center" wrapText="1"/>
    </xf>
    <xf numFmtId="0" fontId="19" fillId="0" borderId="89"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39" fillId="0" borderId="89" xfId="0" applyFont="1" applyFill="1" applyBorder="1" applyAlignment="1">
      <alignment horizontal="center" vertical="center" wrapText="1"/>
    </xf>
    <xf numFmtId="0" fontId="21" fillId="11" borderId="0" xfId="0" applyFont="1" applyFill="1" applyAlignment="1">
      <alignment horizontal="center" vertical="center" wrapText="1"/>
    </xf>
    <xf numFmtId="0" fontId="21" fillId="11" borderId="0" xfId="0" applyFont="1" applyFill="1" applyAlignment="1">
      <alignment vertical="center"/>
    </xf>
    <xf numFmtId="0" fontId="30" fillId="0" borderId="89" xfId="0" applyFont="1" applyFill="1" applyBorder="1" applyAlignment="1">
      <alignment horizontal="center" vertical="center" wrapText="1"/>
    </xf>
    <xf numFmtId="2" fontId="30" fillId="0" borderId="89" xfId="0" applyNumberFormat="1" applyFont="1" applyFill="1" applyBorder="1" applyAlignment="1">
      <alignment horizontal="center" vertical="center" wrapText="1"/>
    </xf>
    <xf numFmtId="3" fontId="39" fillId="0" borderId="89" xfId="0" applyNumberFormat="1" applyFont="1" applyFill="1" applyBorder="1" applyAlignment="1">
      <alignment horizontal="center" vertical="center" wrapText="1"/>
    </xf>
    <xf numFmtId="0" fontId="22" fillId="2" borderId="43"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xf>
    <xf numFmtId="0" fontId="19" fillId="9" borderId="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9" borderId="12" xfId="0" applyFont="1" applyFill="1" applyBorder="1" applyAlignment="1">
      <alignment horizontal="center" vertical="center"/>
    </xf>
    <xf numFmtId="0" fontId="19" fillId="9" borderId="12" xfId="0" applyFont="1" applyFill="1" applyBorder="1" applyAlignment="1">
      <alignment horizontal="center" vertical="center" wrapText="1"/>
    </xf>
    <xf numFmtId="0" fontId="19" fillId="9" borderId="31" xfId="0" applyFont="1" applyFill="1" applyBorder="1" applyAlignment="1">
      <alignment horizontal="center" vertical="center"/>
    </xf>
    <xf numFmtId="0" fontId="19" fillId="9" borderId="35" xfId="0" applyFont="1" applyFill="1" applyBorder="1" applyAlignment="1" applyProtection="1">
      <alignment horizontal="center" vertical="center" wrapText="1" shrinkToFit="1"/>
    </xf>
    <xf numFmtId="0" fontId="19" fillId="9" borderId="38" xfId="0" applyFont="1" applyFill="1" applyBorder="1" applyAlignment="1" applyProtection="1">
      <alignment horizontal="center" vertical="center" wrapText="1"/>
    </xf>
    <xf numFmtId="0" fontId="19" fillId="9" borderId="48" xfId="0" applyFont="1" applyFill="1" applyBorder="1" applyAlignment="1">
      <alignment horizontal="center" vertical="center"/>
    </xf>
    <xf numFmtId="0" fontId="19" fillId="9" borderId="22" xfId="0" applyFont="1" applyFill="1" applyBorder="1" applyAlignment="1" applyProtection="1">
      <alignment horizontal="center" vertical="center" wrapText="1"/>
      <protection locked="0"/>
    </xf>
    <xf numFmtId="0" fontId="19" fillId="11" borderId="5" xfId="0" applyFont="1" applyFill="1" applyBorder="1" applyAlignment="1" applyProtection="1">
      <alignment horizontal="center" vertical="center" wrapText="1"/>
    </xf>
    <xf numFmtId="0" fontId="19" fillId="9" borderId="89" xfId="0" applyFont="1" applyFill="1" applyBorder="1" applyAlignment="1" applyProtection="1">
      <alignment horizontal="center" vertical="center" wrapText="1"/>
    </xf>
    <xf numFmtId="0" fontId="11" fillId="9" borderId="0" xfId="0" quotePrefix="1" applyFont="1" applyFill="1" applyBorder="1" applyAlignment="1">
      <alignment horizontal="center" vertical="center" wrapText="1"/>
    </xf>
    <xf numFmtId="0" fontId="19" fillId="9" borderId="91" xfId="0" quotePrefix="1" applyFont="1" applyFill="1" applyBorder="1" applyAlignment="1">
      <alignment horizontal="center" vertical="center" wrapText="1"/>
    </xf>
    <xf numFmtId="0" fontId="19" fillId="9" borderId="22" xfId="0" applyFont="1" applyFill="1" applyBorder="1" applyAlignment="1" applyProtection="1">
      <alignment horizontal="center" vertical="center" wrapText="1"/>
    </xf>
    <xf numFmtId="0" fontId="19" fillId="9" borderId="3" xfId="0" applyFont="1" applyFill="1" applyBorder="1" applyAlignment="1" applyProtection="1">
      <alignment horizontal="center" vertical="center" wrapText="1"/>
    </xf>
    <xf numFmtId="0" fontId="19" fillId="9" borderId="5" xfId="0" applyFont="1" applyFill="1" applyBorder="1" applyAlignment="1" applyProtection="1">
      <alignment horizontal="center" vertical="center" wrapText="1"/>
    </xf>
    <xf numFmtId="0" fontId="0" fillId="9" borderId="54" xfId="0" applyFill="1" applyBorder="1" applyAlignment="1">
      <alignment horizontal="center" vertical="center"/>
    </xf>
    <xf numFmtId="0" fontId="19" fillId="9" borderId="53" xfId="0" applyFont="1" applyFill="1" applyBorder="1" applyAlignment="1">
      <alignment horizontal="right" vertical="center" wrapText="1"/>
    </xf>
    <xf numFmtId="0" fontId="19" fillId="9" borderId="31" xfId="0" applyFont="1" applyFill="1" applyBorder="1" applyAlignment="1">
      <alignment horizontal="center" vertical="center" wrapText="1"/>
    </xf>
    <xf numFmtId="0" fontId="18" fillId="9" borderId="6" xfId="0" applyFont="1" applyFill="1" applyBorder="1" applyAlignment="1">
      <alignment horizontal="right" vertical="center"/>
    </xf>
    <xf numFmtId="0" fontId="19" fillId="9" borderId="6" xfId="0" applyFont="1" applyFill="1" applyBorder="1" applyAlignment="1">
      <alignment horizontal="right" vertical="center"/>
    </xf>
    <xf numFmtId="0" fontId="18" fillId="9" borderId="6" xfId="0" applyFont="1" applyFill="1" applyBorder="1" applyAlignment="1">
      <alignment horizontal="right" vertical="center" wrapText="1"/>
    </xf>
    <xf numFmtId="0" fontId="18" fillId="0" borderId="6" xfId="0" applyFont="1" applyFill="1" applyBorder="1" applyAlignment="1">
      <alignment horizontal="right" vertical="center" wrapText="1"/>
    </xf>
    <xf numFmtId="0" fontId="19" fillId="9" borderId="4" xfId="0" applyFont="1" applyFill="1" applyBorder="1" applyAlignment="1">
      <alignment horizontal="right" vertical="center"/>
    </xf>
    <xf numFmtId="0" fontId="19" fillId="9" borderId="6" xfId="0" applyFont="1" applyFill="1" applyBorder="1" applyAlignment="1">
      <alignment horizontal="right" vertical="center" wrapText="1"/>
    </xf>
    <xf numFmtId="0" fontId="11" fillId="0" borderId="12" xfId="0" applyFont="1" applyFill="1" applyBorder="1" applyAlignment="1" applyProtection="1">
      <alignment horizontal="center" vertical="center" wrapText="1"/>
      <protection locked="0"/>
    </xf>
    <xf numFmtId="0" fontId="11" fillId="0" borderId="12" xfId="0" applyFont="1" applyFill="1" applyBorder="1" applyAlignment="1">
      <alignment horizontal="center" vertical="center"/>
    </xf>
    <xf numFmtId="0" fontId="11" fillId="9" borderId="9" xfId="0" applyFont="1" applyFill="1" applyBorder="1" applyAlignment="1">
      <alignment horizontal="center" vertical="center"/>
    </xf>
    <xf numFmtId="0" fontId="0" fillId="0" borderId="6" xfId="0" applyBorder="1" applyAlignment="1">
      <alignment horizontal="right"/>
    </xf>
    <xf numFmtId="0" fontId="0" fillId="0" borderId="9" xfId="0" applyFill="1" applyBorder="1" applyAlignment="1"/>
    <xf numFmtId="0" fontId="0" fillId="0" borderId="7" xfId="0" applyFill="1" applyBorder="1" applyAlignment="1">
      <alignment horizontal="left"/>
    </xf>
    <xf numFmtId="0" fontId="0" fillId="0" borderId="50" xfId="0" applyBorder="1" applyAlignment="1" applyProtection="1">
      <alignment horizontal="left"/>
      <protection locked="0"/>
    </xf>
    <xf numFmtId="0" fontId="0" fillId="0" borderId="28" xfId="0" applyFill="1" applyBorder="1" applyAlignment="1"/>
    <xf numFmtId="0" fontId="19" fillId="9" borderId="15" xfId="0" applyFont="1" applyFill="1" applyBorder="1" applyAlignment="1">
      <alignment horizontal="right" vertical="center" wrapText="1"/>
    </xf>
    <xf numFmtId="0" fontId="18" fillId="9" borderId="12" xfId="0" applyFont="1" applyFill="1" applyBorder="1" applyAlignment="1">
      <alignment horizontal="center" vertical="center"/>
    </xf>
    <xf numFmtId="165" fontId="6" fillId="8" borderId="87" xfId="0" applyNumberFormat="1" applyFont="1" applyFill="1" applyBorder="1"/>
    <xf numFmtId="165" fontId="6" fillId="5" borderId="77" xfId="0" applyNumberFormat="1" applyFont="1" applyFill="1" applyBorder="1"/>
    <xf numFmtId="165" fontId="0" fillId="0" borderId="85" xfId="0" applyNumberFormat="1" applyFill="1" applyBorder="1"/>
    <xf numFmtId="165" fontId="26" fillId="0" borderId="0" xfId="0" applyNumberFormat="1" applyFont="1" applyAlignment="1">
      <alignment horizontal="center"/>
    </xf>
    <xf numFmtId="165" fontId="25" fillId="0" borderId="0" xfId="0" applyNumberFormat="1" applyFont="1" applyAlignment="1">
      <alignment horizontal="center"/>
    </xf>
    <xf numFmtId="165" fontId="1" fillId="9" borderId="12" xfId="0" applyNumberFormat="1" applyFont="1" applyFill="1" applyBorder="1" applyAlignment="1">
      <alignment horizontal="center"/>
    </xf>
    <xf numFmtId="165" fontId="1" fillId="0" borderId="12" xfId="0" applyNumberFormat="1" applyFont="1" applyFill="1" applyBorder="1" applyAlignment="1">
      <alignment horizontal="center"/>
    </xf>
    <xf numFmtId="165" fontId="24" fillId="0" borderId="0" xfId="0" applyNumberFormat="1" applyFont="1" applyAlignment="1">
      <alignment horizontal="center"/>
    </xf>
    <xf numFmtId="165" fontId="1" fillId="9" borderId="12" xfId="0" applyNumberFormat="1" applyFont="1" applyFill="1" applyBorder="1" applyAlignment="1">
      <alignment horizontal="center" wrapText="1"/>
    </xf>
    <xf numFmtId="165" fontId="0" fillId="9" borderId="12" xfId="0" applyNumberFormat="1" applyFill="1" applyBorder="1" applyAlignment="1">
      <alignment horizontal="center"/>
    </xf>
    <xf numFmtId="165" fontId="0" fillId="9" borderId="81" xfId="0" applyNumberFormat="1" applyFill="1" applyBorder="1" applyAlignment="1">
      <alignment horizontal="center"/>
    </xf>
    <xf numFmtId="165" fontId="0" fillId="5" borderId="77" xfId="0" applyNumberFormat="1" applyFill="1" applyBorder="1"/>
    <xf numFmtId="165" fontId="0" fillId="9" borderId="85" xfId="0" applyNumberFormat="1" applyFill="1" applyBorder="1" applyAlignment="1">
      <alignment horizontal="center"/>
    </xf>
    <xf numFmtId="165" fontId="0" fillId="5" borderId="77" xfId="0" applyNumberFormat="1" applyFill="1" applyBorder="1" applyAlignment="1">
      <alignment horizontal="center"/>
    </xf>
    <xf numFmtId="165" fontId="0" fillId="9" borderId="85" xfId="0" applyNumberFormat="1" applyFill="1" applyBorder="1" applyAlignment="1">
      <alignment horizontal="center" wrapText="1"/>
    </xf>
    <xf numFmtId="165" fontId="0" fillId="9" borderId="12" xfId="0" applyNumberFormat="1" applyFill="1" applyBorder="1" applyAlignment="1">
      <alignment horizontal="center" wrapText="1"/>
    </xf>
    <xf numFmtId="165" fontId="0" fillId="5" borderId="77" xfId="0" applyNumberFormat="1" applyFill="1" applyBorder="1" applyAlignment="1">
      <alignment horizontal="center" wrapText="1"/>
    </xf>
    <xf numFmtId="165" fontId="0" fillId="9" borderId="81" xfId="0" applyNumberFormat="1" applyFill="1" applyBorder="1" applyAlignment="1">
      <alignment horizontal="center" wrapText="1"/>
    </xf>
    <xf numFmtId="165" fontId="0" fillId="9" borderId="31" xfId="0" applyNumberFormat="1" applyFill="1" applyBorder="1" applyAlignment="1">
      <alignment horizontal="center" wrapText="1"/>
    </xf>
    <xf numFmtId="165" fontId="0" fillId="5" borderId="21" xfId="0" applyNumberFormat="1" applyFill="1" applyBorder="1"/>
    <xf numFmtId="165" fontId="1" fillId="3" borderId="3" xfId="0" applyNumberFormat="1" applyFont="1" applyFill="1" applyBorder="1" applyAlignment="1">
      <alignment horizontal="center"/>
    </xf>
    <xf numFmtId="165" fontId="0" fillId="3" borderId="3" xfId="0" applyNumberFormat="1" applyFill="1" applyBorder="1" applyAlignment="1">
      <alignment horizontal="center"/>
    </xf>
    <xf numFmtId="165" fontId="0" fillId="0" borderId="3" xfId="0" applyNumberFormat="1" applyBorder="1" applyAlignment="1">
      <alignment horizontal="center"/>
    </xf>
    <xf numFmtId="165" fontId="0" fillId="5" borderId="21" xfId="0" applyNumberFormat="1" applyFill="1" applyBorder="1" applyAlignment="1">
      <alignment horizontal="center"/>
    </xf>
    <xf numFmtId="165" fontId="0" fillId="0" borderId="0" xfId="0" applyNumberFormat="1" applyAlignment="1">
      <alignment horizontal="center"/>
    </xf>
    <xf numFmtId="165" fontId="0" fillId="0" borderId="0" xfId="0" applyNumberFormat="1"/>
    <xf numFmtId="165" fontId="11" fillId="9" borderId="7" xfId="0" applyNumberFormat="1" applyFont="1" applyFill="1" applyBorder="1" applyAlignment="1">
      <alignment horizontal="center" vertical="center"/>
    </xf>
    <xf numFmtId="165" fontId="11" fillId="9" borderId="7" xfId="0" applyNumberFormat="1" applyFont="1" applyFill="1" applyBorder="1" applyAlignment="1">
      <alignment vertical="center"/>
    </xf>
    <xf numFmtId="165" fontId="11" fillId="9" borderId="38" xfId="0" applyNumberFormat="1" applyFont="1" applyFill="1" applyBorder="1" applyAlignment="1">
      <alignment horizontal="center" vertical="center"/>
    </xf>
    <xf numFmtId="0" fontId="12" fillId="0" borderId="55" xfId="0" applyFont="1" applyFill="1" applyBorder="1" applyAlignment="1">
      <alignment horizontal="center" vertical="center" wrapText="1"/>
    </xf>
    <xf numFmtId="0" fontId="19" fillId="0" borderId="4" xfId="0" applyFont="1" applyFill="1" applyBorder="1" applyAlignment="1">
      <alignment horizontal="right" vertical="center"/>
    </xf>
    <xf numFmtId="0" fontId="0" fillId="6" borderId="85" xfId="0" applyFill="1" applyBorder="1" applyAlignment="1">
      <alignment horizontal="center" vertical="center"/>
    </xf>
    <xf numFmtId="0" fontId="19" fillId="9" borderId="39" xfId="0" applyFont="1" applyFill="1" applyBorder="1" applyAlignment="1">
      <alignment horizontal="right" vertical="center" wrapText="1"/>
    </xf>
    <xf numFmtId="0" fontId="12" fillId="6" borderId="12" xfId="0" applyFont="1" applyFill="1" applyBorder="1" applyAlignment="1">
      <alignment horizontal="center" vertical="center"/>
    </xf>
    <xf numFmtId="0" fontId="11" fillId="9" borderId="10" xfId="0" applyFont="1" applyFill="1" applyBorder="1" applyAlignment="1">
      <alignment horizontal="right" vertical="center" wrapText="1"/>
    </xf>
    <xf numFmtId="0" fontId="1" fillId="6" borderId="75" xfId="0" applyFont="1" applyFill="1" applyBorder="1" applyAlignment="1" applyProtection="1">
      <alignment horizontal="center" vertical="center"/>
      <protection locked="0"/>
    </xf>
    <xf numFmtId="165" fontId="12" fillId="11" borderId="12" xfId="0" applyNumberFormat="1" applyFont="1" applyFill="1" applyBorder="1" applyAlignment="1">
      <alignment horizontal="center" vertical="center" wrapText="1"/>
    </xf>
    <xf numFmtId="0" fontId="1" fillId="9" borderId="12" xfId="0" quotePrefix="1" applyFont="1" applyFill="1" applyBorder="1" applyAlignment="1">
      <alignment horizontal="center" vertical="center" wrapText="1"/>
    </xf>
    <xf numFmtId="0" fontId="1" fillId="9" borderId="12" xfId="0" applyFont="1" applyFill="1" applyBorder="1" applyAlignment="1">
      <alignment horizontal="center" vertical="center"/>
    </xf>
    <xf numFmtId="0" fontId="3" fillId="6" borderId="7" xfId="0" quotePrefix="1" applyFont="1" applyFill="1" applyBorder="1" applyAlignment="1" applyProtection="1">
      <alignment vertical="center" wrapText="1"/>
      <protection locked="0"/>
    </xf>
    <xf numFmtId="0" fontId="3" fillId="2" borderId="7" xfId="0" quotePrefix="1" applyFont="1" applyFill="1" applyBorder="1" applyAlignment="1" applyProtection="1">
      <alignment vertical="center"/>
      <protection locked="0"/>
    </xf>
    <xf numFmtId="0" fontId="1" fillId="11" borderId="9" xfId="0" applyFont="1" applyFill="1" applyBorder="1" applyAlignment="1" applyProtection="1">
      <alignment vertical="center" wrapText="1"/>
    </xf>
    <xf numFmtId="0" fontId="0" fillId="6" borderId="51" xfId="0" applyFill="1" applyBorder="1" applyAlignment="1" applyProtection="1">
      <alignment horizontal="center" vertical="center"/>
    </xf>
    <xf numFmtId="0" fontId="34" fillId="0" borderId="49" xfId="0" applyFont="1" applyBorder="1" applyAlignment="1" applyProtection="1">
      <alignment horizontal="center" vertical="center"/>
    </xf>
    <xf numFmtId="0" fontId="0" fillId="0" borderId="10" xfId="0" applyBorder="1" applyAlignment="1" applyProtection="1">
      <alignment vertical="center"/>
    </xf>
    <xf numFmtId="0" fontId="0" fillId="6" borderId="1" xfId="0" applyFill="1" applyBorder="1" applyAlignment="1" applyProtection="1">
      <alignment vertical="center"/>
    </xf>
    <xf numFmtId="0" fontId="34" fillId="0" borderId="22" xfId="0" applyFont="1" applyBorder="1" applyAlignment="1" applyProtection="1">
      <alignment horizontal="center" vertical="center"/>
    </xf>
    <xf numFmtId="0" fontId="6" fillId="0" borderId="12" xfId="0" applyFont="1" applyBorder="1" applyAlignment="1" applyProtection="1">
      <alignment horizontal="center" vertical="center" wrapText="1"/>
    </xf>
    <xf numFmtId="0" fontId="35" fillId="9"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11" fillId="0" borderId="12" xfId="0" applyFont="1" applyBorder="1" applyAlignment="1" applyProtection="1">
      <alignment horizontal="center" vertical="center" wrapText="1"/>
    </xf>
    <xf numFmtId="0" fontId="16" fillId="9" borderId="0" xfId="0" applyFont="1" applyFill="1" applyAlignment="1">
      <alignment vertical="center"/>
    </xf>
    <xf numFmtId="0" fontId="11" fillId="0" borderId="5" xfId="0" quotePrefix="1" applyFont="1" applyFill="1" applyBorder="1" applyAlignment="1">
      <alignment horizontal="center" vertical="center"/>
    </xf>
    <xf numFmtId="0" fontId="0" fillId="9" borderId="6" xfId="0" applyFill="1" applyBorder="1" applyAlignment="1" applyProtection="1">
      <alignment vertical="center"/>
      <protection locked="0"/>
    </xf>
    <xf numFmtId="0" fontId="0" fillId="9" borderId="84" xfId="0" applyFill="1" applyBorder="1" applyAlignment="1">
      <alignment vertical="center" wrapText="1"/>
    </xf>
    <xf numFmtId="0" fontId="0" fillId="9" borderId="76" xfId="0" applyFill="1" applyBorder="1" applyAlignment="1">
      <alignment vertical="center" wrapText="1"/>
    </xf>
    <xf numFmtId="0" fontId="0" fillId="0" borderId="39" xfId="0" applyFill="1" applyBorder="1" applyAlignment="1" applyProtection="1">
      <alignment vertical="center"/>
      <protection locked="0"/>
    </xf>
    <xf numFmtId="0" fontId="12" fillId="9" borderId="8" xfId="0" applyFont="1" applyFill="1" applyBorder="1" applyAlignment="1">
      <alignment horizontal="center" vertical="center"/>
    </xf>
    <xf numFmtId="0" fontId="11" fillId="9" borderId="38" xfId="0" applyFont="1" applyFill="1" applyBorder="1" applyAlignment="1">
      <alignment horizontal="center" vertical="center"/>
    </xf>
    <xf numFmtId="0" fontId="0" fillId="9" borderId="26" xfId="0" applyFill="1" applyBorder="1" applyAlignment="1">
      <alignment horizontal="left" vertical="center"/>
    </xf>
    <xf numFmtId="0" fontId="0" fillId="9" borderId="19" xfId="0" applyFill="1" applyBorder="1" applyAlignment="1" applyProtection="1">
      <alignment horizontal="center" vertical="center" wrapText="1"/>
      <protection locked="0"/>
    </xf>
    <xf numFmtId="0" fontId="11" fillId="9" borderId="6" xfId="0" applyFont="1" applyFill="1" applyBorder="1" applyAlignment="1">
      <alignment horizontal="right" vertical="center" wrapText="1"/>
    </xf>
    <xf numFmtId="0" fontId="12" fillId="2" borderId="5" xfId="0" applyFont="1" applyFill="1" applyBorder="1" applyAlignment="1" applyProtection="1">
      <alignment horizontal="center" vertical="center" wrapText="1"/>
      <protection locked="0"/>
    </xf>
    <xf numFmtId="0" fontId="6" fillId="3" borderId="20" xfId="0" applyFont="1" applyFill="1" applyBorder="1" applyAlignment="1">
      <alignment horizontal="center" vertical="center"/>
    </xf>
    <xf numFmtId="0" fontId="6" fillId="0" borderId="11" xfId="0" applyFont="1" applyBorder="1" applyAlignment="1">
      <alignment horizontal="center" vertical="center" wrapText="1"/>
    </xf>
    <xf numFmtId="0" fontId="0" fillId="9" borderId="17" xfId="0" applyFill="1" applyBorder="1" applyAlignment="1" applyProtection="1">
      <alignment horizontal="center" vertical="center" wrapText="1"/>
      <protection locked="0"/>
    </xf>
    <xf numFmtId="0" fontId="19" fillId="9" borderId="87" xfId="0" applyFont="1" applyFill="1" applyBorder="1" applyAlignment="1">
      <alignment horizontal="right" vertical="center" wrapText="1"/>
    </xf>
    <xf numFmtId="0" fontId="19" fillId="9" borderId="41" xfId="0" applyFont="1" applyFill="1" applyBorder="1" applyAlignment="1">
      <alignment horizontal="right" vertical="center" wrapText="1"/>
    </xf>
    <xf numFmtId="0" fontId="6" fillId="3" borderId="20" xfId="0" applyFont="1" applyFill="1" applyBorder="1" applyAlignment="1">
      <alignment horizontal="left" vertical="center"/>
    </xf>
    <xf numFmtId="0" fontId="0" fillId="9" borderId="18" xfId="0" applyFill="1" applyBorder="1" applyAlignment="1">
      <alignment horizontal="left" vertical="center"/>
    </xf>
    <xf numFmtId="0" fontId="6" fillId="3" borderId="6" xfId="0" applyFont="1" applyFill="1" applyBorder="1" applyAlignment="1">
      <alignment horizontal="right" vertical="center"/>
    </xf>
    <xf numFmtId="165" fontId="0" fillId="9" borderId="6" xfId="0" applyNumberFormat="1" applyFill="1" applyBorder="1" applyAlignment="1">
      <alignment horizontal="center" vertical="center"/>
    </xf>
    <xf numFmtId="0" fontId="0" fillId="9" borderId="7" xfId="0" applyFill="1" applyBorder="1" applyAlignment="1">
      <alignment vertical="center"/>
    </xf>
    <xf numFmtId="165" fontId="15" fillId="9" borderId="6" xfId="0" applyNumberFormat="1" applyFont="1" applyFill="1" applyBorder="1" applyAlignment="1">
      <alignment horizontal="center" vertical="center"/>
    </xf>
    <xf numFmtId="0" fontId="15" fillId="9" borderId="7" xfId="0" applyFont="1" applyFill="1" applyBorder="1" applyAlignment="1">
      <alignment vertical="center"/>
    </xf>
    <xf numFmtId="165" fontId="0" fillId="9" borderId="6" xfId="0" quotePrefix="1" applyNumberFormat="1" applyFill="1" applyBorder="1" applyAlignment="1">
      <alignment horizontal="center" vertical="center"/>
    </xf>
    <xf numFmtId="165" fontId="0" fillId="9" borderId="8" xfId="0" quotePrefix="1" applyNumberFormat="1" applyFill="1" applyBorder="1" applyAlignment="1">
      <alignment horizontal="center" vertical="center"/>
    </xf>
    <xf numFmtId="165" fontId="11" fillId="9" borderId="22" xfId="0" applyNumberFormat="1" applyFont="1" applyFill="1" applyBorder="1" applyAlignment="1">
      <alignment horizontal="center" vertical="center"/>
    </xf>
    <xf numFmtId="0" fontId="15" fillId="9" borderId="3" xfId="0" applyFont="1" applyFill="1" applyBorder="1" applyAlignment="1">
      <alignment vertical="center"/>
    </xf>
    <xf numFmtId="0" fontId="11" fillId="3" borderId="5" xfId="0" quotePrefix="1" applyFont="1" applyFill="1" applyBorder="1" applyAlignment="1">
      <alignment vertical="center"/>
    </xf>
    <xf numFmtId="0" fontId="6" fillId="3" borderId="7" xfId="0" applyFont="1" applyFill="1" applyBorder="1" applyAlignment="1">
      <alignment horizontal="center" vertical="center"/>
    </xf>
    <xf numFmtId="165" fontId="3" fillId="9" borderId="7" xfId="0" applyNumberFormat="1" applyFont="1" applyFill="1" applyBorder="1" applyAlignment="1">
      <alignment horizontal="center" vertical="center"/>
    </xf>
    <xf numFmtId="0" fontId="1" fillId="6" borderId="22" xfId="0" applyFont="1" applyFill="1" applyBorder="1" applyAlignment="1" applyProtection="1">
      <alignment horizontal="center" vertical="center"/>
      <protection locked="0"/>
    </xf>
    <xf numFmtId="0" fontId="6" fillId="3" borderId="20" xfId="0" applyFont="1" applyFill="1" applyBorder="1" applyAlignment="1">
      <alignment horizontal="center"/>
    </xf>
    <xf numFmtId="0" fontId="0" fillId="6" borderId="0" xfId="0" applyFill="1" applyBorder="1" applyAlignment="1">
      <alignment vertical="center"/>
    </xf>
    <xf numFmtId="0" fontId="16" fillId="6" borderId="0" xfId="0" applyFont="1" applyFill="1" applyBorder="1" applyAlignment="1">
      <alignment vertical="center"/>
    </xf>
    <xf numFmtId="0" fontId="6" fillId="2" borderId="13" xfId="0" applyFont="1" applyFill="1" applyBorder="1" applyAlignment="1" applyProtection="1">
      <alignment horizontal="justify" vertical="center" wrapText="1"/>
      <protection locked="0"/>
    </xf>
    <xf numFmtId="0" fontId="1" fillId="2" borderId="13" xfId="0" applyFont="1" applyFill="1" applyBorder="1" applyAlignment="1" applyProtection="1">
      <alignment vertical="center" wrapText="1"/>
      <protection locked="0"/>
    </xf>
    <xf numFmtId="0" fontId="1" fillId="2" borderId="13" xfId="0" applyFont="1" applyFill="1" applyBorder="1" applyAlignment="1" applyProtection="1">
      <alignment horizontal="justify" vertical="center" wrapText="1"/>
      <protection locked="0"/>
    </xf>
    <xf numFmtId="0" fontId="1" fillId="2" borderId="12" xfId="0" applyFont="1" applyFill="1" applyBorder="1" applyAlignment="1" applyProtection="1">
      <alignment horizontal="justify" vertical="center" wrapText="1"/>
      <protection locked="0"/>
    </xf>
    <xf numFmtId="0" fontId="1" fillId="2" borderId="12"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165" fontId="1" fillId="2" borderId="12" xfId="0" applyNumberFormat="1"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0" fillId="0" borderId="3" xfId="0" applyBorder="1" applyAlignment="1" applyProtection="1">
      <alignment horizontal="left" vertical="center" wrapText="1"/>
    </xf>
    <xf numFmtId="165" fontId="3" fillId="9" borderId="7" xfId="0" quotePrefix="1" applyNumberFormat="1" applyFont="1" applyFill="1" applyBorder="1" applyAlignment="1">
      <alignment horizontal="center" vertical="center"/>
    </xf>
    <xf numFmtId="165" fontId="6" fillId="0" borderId="12" xfId="0" applyNumberFormat="1" applyFont="1" applyFill="1" applyBorder="1" applyAlignment="1" applyProtection="1">
      <alignment horizontal="center" vertical="center" wrapText="1"/>
    </xf>
    <xf numFmtId="0" fontId="35" fillId="7" borderId="12" xfId="0" applyFont="1" applyFill="1" applyBorder="1" applyAlignment="1">
      <alignment horizontal="center" vertical="center" wrapText="1"/>
    </xf>
    <xf numFmtId="0" fontId="19" fillId="5" borderId="7" xfId="0" applyFont="1" applyFill="1" applyBorder="1" applyAlignment="1" applyProtection="1">
      <alignment horizontal="center" vertical="center" wrapText="1"/>
    </xf>
    <xf numFmtId="0" fontId="11" fillId="0" borderId="89" xfId="0" applyFont="1" applyFill="1" applyBorder="1" applyAlignment="1" applyProtection="1">
      <alignment horizontal="center" vertical="center"/>
    </xf>
    <xf numFmtId="0" fontId="11" fillId="9" borderId="90" xfId="0" applyFont="1" applyFill="1" applyBorder="1" applyAlignment="1" applyProtection="1">
      <alignment horizontal="center" vertical="center"/>
    </xf>
    <xf numFmtId="2" fontId="11" fillId="0" borderId="7" xfId="0" quotePrefix="1" applyNumberFormat="1"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 fillId="9" borderId="15" xfId="0" applyFont="1" applyFill="1" applyBorder="1" applyAlignment="1">
      <alignment horizontal="right" vertical="center" wrapText="1"/>
    </xf>
    <xf numFmtId="0" fontId="16" fillId="13" borderId="35" xfId="0" applyFont="1" applyFill="1" applyBorder="1" applyAlignment="1">
      <alignment horizontal="center" vertical="center"/>
    </xf>
    <xf numFmtId="0" fontId="0" fillId="15" borderId="15" xfId="0" applyFill="1" applyBorder="1" applyAlignment="1" applyProtection="1">
      <alignment vertical="center" wrapText="1"/>
      <protection locked="0"/>
    </xf>
    <xf numFmtId="0" fontId="0" fillId="13" borderId="78" xfId="0" applyFill="1" applyBorder="1" applyAlignment="1">
      <alignment horizontal="center" vertical="center"/>
    </xf>
    <xf numFmtId="0" fontId="0" fillId="13" borderId="51" xfId="0" applyFill="1" applyBorder="1" applyAlignment="1">
      <alignment horizontal="center" vertical="center"/>
    </xf>
    <xf numFmtId="0" fontId="0" fillId="13" borderId="92" xfId="0" applyFill="1" applyBorder="1" applyAlignment="1">
      <alignment horizontal="center" vertical="center"/>
    </xf>
    <xf numFmtId="0" fontId="0" fillId="13" borderId="45" xfId="0" applyFill="1" applyBorder="1" applyAlignment="1" applyProtection="1">
      <alignment vertical="center" wrapText="1"/>
      <protection locked="0"/>
    </xf>
    <xf numFmtId="0" fontId="0" fillId="13" borderId="80" xfId="0" applyFill="1" applyBorder="1" applyAlignment="1" applyProtection="1">
      <alignment vertical="center" wrapText="1"/>
      <protection locked="0"/>
    </xf>
    <xf numFmtId="0" fontId="1" fillId="11" borderId="8" xfId="0" applyFont="1" applyFill="1" applyBorder="1" applyAlignment="1">
      <alignment horizontal="right" vertical="center"/>
    </xf>
    <xf numFmtId="0" fontId="1" fillId="6" borderId="22" xfId="0" applyFont="1" applyFill="1" applyBorder="1" applyAlignment="1">
      <alignment horizontal="justify" vertical="center"/>
    </xf>
    <xf numFmtId="0" fontId="0" fillId="0" borderId="1" xfId="0" applyBorder="1" applyAlignment="1">
      <alignment horizontal="right" vertical="center"/>
    </xf>
    <xf numFmtId="0" fontId="11" fillId="0" borderId="1" xfId="0" applyFont="1" applyFill="1" applyBorder="1" applyAlignment="1">
      <alignment horizontal="center" vertical="center"/>
    </xf>
    <xf numFmtId="0" fontId="0" fillId="9" borderId="36" xfId="0" applyFill="1" applyBorder="1" applyAlignment="1">
      <alignment horizontal="right" vertical="center"/>
    </xf>
    <xf numFmtId="0" fontId="11" fillId="9" borderId="30" xfId="0" applyFont="1" applyFill="1" applyBorder="1" applyAlignment="1">
      <alignment horizontal="center" vertical="center"/>
    </xf>
    <xf numFmtId="174" fontId="7" fillId="11" borderId="37" xfId="0" applyNumberFormat="1" applyFont="1" applyFill="1" applyBorder="1" applyAlignment="1" applyProtection="1">
      <alignment horizontal="center" vertical="center"/>
    </xf>
    <xf numFmtId="165" fontId="11" fillId="6" borderId="12" xfId="0" applyNumberFormat="1" applyFont="1" applyFill="1" applyBorder="1" applyAlignment="1" applyProtection="1">
      <alignment horizontal="center" vertical="center" wrapText="1"/>
      <protection locked="0"/>
    </xf>
    <xf numFmtId="0" fontId="11" fillId="9" borderId="20" xfId="0" applyFont="1" applyFill="1" applyBorder="1" applyAlignment="1">
      <alignment horizontal="center" vertical="center"/>
    </xf>
    <xf numFmtId="0" fontId="11" fillId="0" borderId="21" xfId="0" applyFont="1" applyBorder="1" applyAlignment="1">
      <alignment vertical="center"/>
    </xf>
    <xf numFmtId="0" fontId="19" fillId="9" borderId="20" xfId="0" applyFont="1" applyFill="1" applyBorder="1" applyAlignment="1">
      <alignment horizontal="center" vertical="center"/>
    </xf>
    <xf numFmtId="0" fontId="19" fillId="0" borderId="21" xfId="0" applyFont="1" applyBorder="1" applyAlignment="1">
      <alignment vertical="center"/>
    </xf>
    <xf numFmtId="0" fontId="12" fillId="9" borderId="20" xfId="0" applyFont="1" applyFill="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6" fillId="11" borderId="16" xfId="0" applyFont="1" applyFill="1" applyBorder="1" applyAlignment="1">
      <alignment vertical="center" wrapText="1"/>
    </xf>
    <xf numFmtId="0" fontId="0" fillId="11" borderId="27" xfId="0" applyFill="1" applyBorder="1" applyAlignment="1">
      <alignment vertical="center" wrapText="1"/>
    </xf>
    <xf numFmtId="0" fontId="0" fillId="11" borderId="17" xfId="0" applyFill="1" applyBorder="1" applyAlignment="1">
      <alignment vertical="center" wrapText="1"/>
    </xf>
    <xf numFmtId="0" fontId="12" fillId="9" borderId="23" xfId="0" applyFont="1" applyFill="1" applyBorder="1" applyAlignment="1">
      <alignment vertical="center" wrapText="1"/>
    </xf>
    <xf numFmtId="0" fontId="0" fillId="9" borderId="24" xfId="0" applyFill="1" applyBorder="1" applyAlignment="1">
      <alignment vertical="center" wrapText="1"/>
    </xf>
    <xf numFmtId="0" fontId="0" fillId="9" borderId="25" xfId="0" applyFill="1" applyBorder="1" applyAlignment="1">
      <alignment vertical="center" wrapText="1"/>
    </xf>
    <xf numFmtId="0" fontId="12" fillId="11" borderId="23" xfId="0" applyFont="1" applyFill="1" applyBorder="1" applyAlignment="1">
      <alignment vertical="center" wrapText="1"/>
    </xf>
    <xf numFmtId="0" fontId="12" fillId="11" borderId="24" xfId="0" applyFont="1" applyFill="1" applyBorder="1" applyAlignment="1">
      <alignment vertical="center" wrapText="1"/>
    </xf>
    <xf numFmtId="0" fontId="12" fillId="11" borderId="25" xfId="0" applyFont="1" applyFill="1" applyBorder="1" applyAlignment="1">
      <alignment vertical="center" wrapText="1"/>
    </xf>
    <xf numFmtId="0" fontId="0" fillId="11" borderId="23" xfId="0" applyFill="1" applyBorder="1" applyAlignment="1">
      <alignment vertical="center" wrapText="1"/>
    </xf>
    <xf numFmtId="0" fontId="0" fillId="11" borderId="24" xfId="0" applyFill="1" applyBorder="1" applyAlignment="1">
      <alignment vertical="center" wrapText="1"/>
    </xf>
    <xf numFmtId="0" fontId="0" fillId="11" borderId="25" xfId="0" applyFill="1" applyBorder="1" applyAlignment="1">
      <alignment vertical="center" wrapText="1"/>
    </xf>
    <xf numFmtId="0" fontId="12" fillId="0" borderId="23"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75"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27" fillId="14" borderId="20" xfId="0" applyFont="1" applyFill="1" applyBorder="1" applyAlignment="1">
      <alignment horizontal="center" vertical="center"/>
    </xf>
    <xf numFmtId="0" fontId="0" fillId="14" borderId="11" xfId="0" applyFill="1" applyBorder="1" applyAlignment="1">
      <alignment horizontal="center" vertical="center"/>
    </xf>
    <xf numFmtId="0" fontId="0" fillId="14" borderId="21" xfId="0" applyFill="1" applyBorder="1" applyAlignment="1">
      <alignment horizontal="center" vertical="center"/>
    </xf>
    <xf numFmtId="174" fontId="20" fillId="11" borderId="12" xfId="0" applyNumberFormat="1" applyFont="1" applyFill="1"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23" fillId="11" borderId="49" xfId="0" applyFont="1" applyFill="1" applyBorder="1" applyAlignment="1" applyProtection="1">
      <alignment horizontal="center" vertical="center"/>
    </xf>
    <xf numFmtId="0" fontId="0" fillId="0" borderId="27" xfId="0" applyBorder="1" applyAlignment="1">
      <alignment vertical="center"/>
    </xf>
    <xf numFmtId="0" fontId="0" fillId="0" borderId="17" xfId="0" applyBorder="1" applyAlignment="1">
      <alignment vertical="center"/>
    </xf>
    <xf numFmtId="0" fontId="0" fillId="11" borderId="50" xfId="0" applyFill="1" applyBorder="1" applyAlignment="1">
      <alignment vertical="center" wrapText="1"/>
    </xf>
    <xf numFmtId="0" fontId="0" fillId="9" borderId="0" xfId="0" applyFill="1" applyBorder="1" applyAlignment="1" applyProtection="1">
      <alignment horizontal="right" vertical="center" wrapText="1"/>
    </xf>
    <xf numFmtId="0" fontId="0" fillId="9" borderId="3" xfId="0" applyFill="1" applyBorder="1" applyAlignment="1" applyProtection="1">
      <alignment horizontal="right" vertical="center" wrapText="1"/>
    </xf>
    <xf numFmtId="0" fontId="0" fillId="2" borderId="16" xfId="0" applyFill="1"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Fill="1" applyBorder="1" applyAlignment="1" applyProtection="1">
      <alignment horizontal="right" vertical="center" wrapText="1"/>
    </xf>
    <xf numFmtId="0" fontId="0" fillId="0" borderId="0" xfId="0" applyBorder="1" applyAlignment="1" applyProtection="1">
      <alignment horizontal="right" vertical="center" wrapText="1"/>
    </xf>
    <xf numFmtId="0" fontId="0" fillId="0" borderId="0" xfId="0" applyAlignment="1">
      <alignment horizontal="right" vertical="center"/>
    </xf>
    <xf numFmtId="0" fontId="0" fillId="2" borderId="20" xfId="0" applyFill="1" applyBorder="1" applyAlignment="1" applyProtection="1">
      <alignment vertical="center" wrapText="1"/>
      <protection locked="0"/>
    </xf>
    <xf numFmtId="0" fontId="0" fillId="0" borderId="11" xfId="0" applyBorder="1" applyAlignment="1" applyProtection="1">
      <alignment wrapText="1"/>
      <protection locked="0"/>
    </xf>
    <xf numFmtId="0" fontId="0" fillId="0" borderId="21" xfId="0" applyBorder="1" applyAlignment="1" applyProtection="1">
      <alignment wrapText="1"/>
      <protection locked="0"/>
    </xf>
    <xf numFmtId="0" fontId="12" fillId="10" borderId="16" xfId="0" applyFont="1" applyFill="1" applyBorder="1" applyAlignment="1" applyProtection="1">
      <alignment vertical="center" wrapText="1"/>
      <protection locked="0"/>
    </xf>
    <xf numFmtId="0" fontId="12" fillId="10" borderId="27" xfId="0" applyFont="1" applyFill="1" applyBorder="1" applyAlignment="1" applyProtection="1">
      <alignment vertical="center" wrapText="1"/>
      <protection locked="0"/>
    </xf>
    <xf numFmtId="0" fontId="12" fillId="10" borderId="17" xfId="0" applyFont="1" applyFill="1" applyBorder="1" applyAlignment="1" applyProtection="1">
      <alignment vertical="center" wrapText="1"/>
      <protection locked="0"/>
    </xf>
    <xf numFmtId="0" fontId="11" fillId="0" borderId="56" xfId="0" applyFont="1" applyFill="1" applyBorder="1" applyAlignment="1" applyProtection="1">
      <alignment horizontal="center" vertical="center"/>
      <protection locked="0"/>
    </xf>
    <xf numFmtId="0" fontId="11" fillId="0" borderId="11"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0" fillId="0" borderId="10" xfId="0" applyBorder="1" applyAlignment="1" applyProtection="1">
      <alignment horizontal="center" vertical="center" wrapText="1"/>
    </xf>
    <xf numFmtId="0" fontId="0" fillId="0" borderId="0" xfId="0" applyBorder="1" applyAlignment="1" applyProtection="1">
      <alignment horizontal="center" vertical="center" wrapText="1"/>
    </xf>
    <xf numFmtId="0" fontId="6" fillId="5" borderId="16"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6" fillId="0" borderId="27" xfId="0" applyFont="1" applyBorder="1" applyAlignment="1" applyProtection="1">
      <alignment vertical="center"/>
    </xf>
    <xf numFmtId="0" fontId="6" fillId="0" borderId="17" xfId="0" applyFont="1" applyBorder="1" applyAlignment="1" applyProtection="1">
      <alignment vertical="center"/>
    </xf>
    <xf numFmtId="0" fontId="12" fillId="10" borderId="20" xfId="0" applyFont="1" applyFill="1" applyBorder="1" applyAlignment="1" applyProtection="1">
      <alignment vertical="center" wrapText="1"/>
      <protection locked="0"/>
    </xf>
    <xf numFmtId="0" fontId="12" fillId="10" borderId="11" xfId="0" applyFont="1" applyFill="1" applyBorder="1" applyAlignment="1" applyProtection="1">
      <alignment vertical="center" wrapText="1"/>
      <protection locked="0"/>
    </xf>
    <xf numFmtId="0" fontId="12" fillId="10" borderId="21" xfId="0" applyFont="1" applyFill="1" applyBorder="1" applyAlignment="1" applyProtection="1">
      <alignment vertical="center" wrapText="1"/>
      <protection locked="0"/>
    </xf>
    <xf numFmtId="0" fontId="0" fillId="9" borderId="18" xfId="0" applyFill="1" applyBorder="1" applyAlignment="1" applyProtection="1">
      <alignment horizontal="right" vertical="center" wrapText="1"/>
    </xf>
    <xf numFmtId="0" fontId="0" fillId="0" borderId="26" xfId="0" applyBorder="1" applyAlignment="1" applyProtection="1">
      <alignment vertical="center"/>
    </xf>
    <xf numFmtId="0" fontId="1" fillId="0" borderId="14" xfId="0" applyFont="1" applyFill="1" applyBorder="1" applyAlignment="1" applyProtection="1">
      <alignment horizontal="right" vertical="center" wrapText="1"/>
    </xf>
    <xf numFmtId="0" fontId="0" fillId="0" borderId="1" xfId="0" applyBorder="1" applyAlignment="1" applyProtection="1">
      <alignment vertical="center" wrapText="1"/>
    </xf>
    <xf numFmtId="0" fontId="1" fillId="9" borderId="18" xfId="0" applyFont="1" applyFill="1" applyBorder="1" applyAlignment="1" applyProtection="1">
      <alignment horizontal="right" vertical="center" wrapText="1"/>
    </xf>
    <xf numFmtId="0" fontId="1" fillId="0" borderId="26" xfId="0" applyFont="1" applyBorder="1" applyAlignment="1" applyProtection="1">
      <alignment vertical="center"/>
    </xf>
    <xf numFmtId="0" fontId="0" fillId="0" borderId="14" xfId="0" applyBorder="1" applyAlignment="1" applyProtection="1">
      <alignment horizontal="right" vertical="center" wrapText="1"/>
    </xf>
    <xf numFmtId="0" fontId="0" fillId="0" borderId="1" xfId="0" applyBorder="1" applyAlignment="1" applyProtection="1">
      <alignment horizontal="right" vertical="center" wrapText="1"/>
    </xf>
    <xf numFmtId="0" fontId="6" fillId="0" borderId="75" xfId="0" applyFont="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0" fontId="6" fillId="0" borderId="11" xfId="0" applyFont="1" applyBorder="1" applyAlignment="1" applyProtection="1">
      <alignment horizontal="center" vertical="center"/>
    </xf>
    <xf numFmtId="0" fontId="6" fillId="0" borderId="21" xfId="0" applyFont="1" applyBorder="1" applyAlignment="1" applyProtection="1">
      <alignment horizontal="center" vertical="center"/>
    </xf>
    <xf numFmtId="0" fontId="11" fillId="0" borderId="7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0" borderId="11" xfId="0" applyFont="1" applyBorder="1" applyAlignment="1" applyProtection="1">
      <alignment vertical="center"/>
    </xf>
    <xf numFmtId="0" fontId="6" fillId="0" borderId="21" xfId="0" applyFont="1" applyBorder="1" applyAlignment="1" applyProtection="1">
      <alignment vertical="center"/>
    </xf>
    <xf numFmtId="0" fontId="1" fillId="11" borderId="81" xfId="0" applyFont="1" applyFill="1" applyBorder="1" applyAlignment="1" applyProtection="1">
      <alignment vertical="center" wrapText="1"/>
    </xf>
    <xf numFmtId="0" fontId="1" fillId="11" borderId="85" xfId="0" applyFont="1" applyFill="1" applyBorder="1" applyAlignment="1" applyProtection="1">
      <alignment vertical="center" wrapText="1"/>
    </xf>
    <xf numFmtId="0" fontId="1" fillId="11" borderId="37" xfId="0" applyFont="1" applyFill="1" applyBorder="1" applyAlignment="1" applyProtection="1">
      <alignment vertical="center" wrapText="1"/>
    </xf>
    <xf numFmtId="0" fontId="1" fillId="11" borderId="34" xfId="0" applyFont="1" applyFill="1" applyBorder="1" applyAlignment="1" applyProtection="1">
      <alignment vertical="center" wrapText="1"/>
    </xf>
    <xf numFmtId="0" fontId="1" fillId="0" borderId="16" xfId="0" applyFont="1" applyBorder="1" applyAlignment="1" applyProtection="1">
      <alignment horizontal="right" vertical="center" wrapText="1"/>
    </xf>
    <xf numFmtId="0" fontId="0" fillId="0" borderId="27" xfId="0" applyBorder="1" applyAlignment="1" applyProtection="1">
      <alignment vertical="center" wrapText="1"/>
    </xf>
    <xf numFmtId="0" fontId="0" fillId="0" borderId="17" xfId="0" applyBorder="1" applyAlignment="1" applyProtection="1">
      <alignment vertical="center" wrapText="1"/>
    </xf>
    <xf numFmtId="0" fontId="12" fillId="0" borderId="44" xfId="0" applyFont="1" applyBorder="1" applyAlignment="1" applyProtection="1">
      <alignment horizontal="right" vertical="center" wrapText="1"/>
    </xf>
    <xf numFmtId="0" fontId="12" fillId="0" borderId="48" xfId="0" applyFont="1" applyBorder="1" applyAlignment="1" applyProtection="1">
      <alignment horizontal="right" vertical="center" wrapText="1"/>
    </xf>
    <xf numFmtId="0" fontId="0" fillId="0" borderId="43" xfId="0" applyBorder="1" applyAlignment="1" applyProtection="1">
      <alignment horizontal="center" vertical="center" wrapText="1"/>
      <protection locked="0"/>
    </xf>
    <xf numFmtId="0" fontId="0" fillId="10" borderId="20" xfId="0" applyFill="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21" xfId="0" applyBorder="1" applyAlignment="1" applyProtection="1">
      <alignment vertical="center"/>
      <protection locked="0"/>
    </xf>
    <xf numFmtId="0" fontId="6" fillId="5" borderId="56" xfId="0" applyFont="1" applyFill="1" applyBorder="1" applyAlignment="1" applyProtection="1">
      <alignment horizontal="center" vertical="center"/>
    </xf>
    <xf numFmtId="0" fontId="0" fillId="0" borderId="11" xfId="0" applyBorder="1" applyAlignment="1" applyProtection="1">
      <alignment horizontal="center" vertical="center"/>
    </xf>
    <xf numFmtId="0" fontId="0" fillId="0" borderId="21" xfId="0" applyBorder="1" applyAlignment="1" applyProtection="1">
      <alignment horizontal="center" vertical="center"/>
    </xf>
    <xf numFmtId="0" fontId="0" fillId="0" borderId="16" xfId="0" applyBorder="1" applyAlignment="1">
      <alignment horizontal="right" vertical="center" wrapText="1"/>
    </xf>
    <xf numFmtId="0" fontId="0" fillId="0" borderId="27" xfId="0" applyBorder="1" applyAlignment="1">
      <alignment horizontal="right" vertical="center" wrapText="1"/>
    </xf>
    <xf numFmtId="0" fontId="0" fillId="0" borderId="51" xfId="0" applyBorder="1" applyAlignment="1">
      <alignment horizontal="right" vertical="center" wrapText="1"/>
    </xf>
    <xf numFmtId="0" fontId="12" fillId="10" borderId="23" xfId="0" applyFont="1" applyFill="1" applyBorder="1" applyAlignment="1" applyProtection="1">
      <alignment vertical="center" wrapText="1"/>
      <protection locked="0"/>
    </xf>
    <xf numFmtId="0" fontId="0" fillId="9" borderId="44" xfId="0" applyFill="1" applyBorder="1" applyAlignment="1">
      <alignment horizontal="right" vertical="center"/>
    </xf>
    <xf numFmtId="0" fontId="0" fillId="9" borderId="48" xfId="0" applyFill="1" applyBorder="1" applyAlignment="1">
      <alignment horizontal="right" vertical="center"/>
    </xf>
    <xf numFmtId="0" fontId="0" fillId="9" borderId="45" xfId="0" applyFill="1" applyBorder="1" applyAlignment="1">
      <alignment horizontal="right" vertical="center"/>
    </xf>
    <xf numFmtId="0" fontId="0" fillId="9" borderId="10" xfId="0" applyFill="1" applyBorder="1" applyAlignment="1">
      <alignment horizontal="right" vertical="center"/>
    </xf>
    <xf numFmtId="0" fontId="0" fillId="9" borderId="0" xfId="0" applyFill="1" applyBorder="1" applyAlignment="1">
      <alignment horizontal="right" vertical="center"/>
    </xf>
    <xf numFmtId="0" fontId="0" fillId="9" borderId="3" xfId="0" applyFill="1" applyBorder="1" applyAlignment="1">
      <alignment horizontal="right" vertical="center"/>
    </xf>
    <xf numFmtId="0" fontId="12" fillId="10" borderId="31" xfId="0" applyFont="1" applyFill="1" applyBorder="1" applyAlignment="1" applyProtection="1">
      <alignment vertical="center" wrapText="1"/>
      <protection locked="0"/>
    </xf>
    <xf numFmtId="0" fontId="12" fillId="10" borderId="22" xfId="0" applyFont="1" applyFill="1" applyBorder="1" applyAlignment="1" applyProtection="1">
      <alignment vertical="center" wrapText="1"/>
      <protection locked="0"/>
    </xf>
    <xf numFmtId="0" fontId="6" fillId="9" borderId="27" xfId="0" applyFont="1" applyFill="1" applyBorder="1" applyAlignment="1">
      <alignment horizontal="center" vertical="center"/>
    </xf>
    <xf numFmtId="0" fontId="6" fillId="9" borderId="17" xfId="0" applyFont="1" applyFill="1" applyBorder="1" applyAlignment="1">
      <alignment horizontal="center" vertical="center"/>
    </xf>
    <xf numFmtId="0" fontId="6" fillId="5" borderId="20" xfId="0" applyFont="1" applyFill="1" applyBorder="1" applyAlignment="1">
      <alignment horizontal="center" vertical="center" wrapText="1"/>
    </xf>
    <xf numFmtId="0" fontId="6" fillId="9" borderId="11" xfId="0" applyFont="1" applyFill="1"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 fillId="9" borderId="23" xfId="0" applyFont="1" applyFill="1" applyBorder="1" applyAlignment="1">
      <alignment horizontal="right" vertical="center" wrapText="1"/>
    </xf>
    <xf numFmtId="0" fontId="0" fillId="9" borderId="24" xfId="0" applyFill="1" applyBorder="1" applyAlignment="1">
      <alignment vertical="center"/>
    </xf>
    <xf numFmtId="0" fontId="0" fillId="10" borderId="78" xfId="0" applyFill="1" applyBorder="1" applyAlignment="1">
      <alignment vertical="center"/>
    </xf>
    <xf numFmtId="0" fontId="0" fillId="10" borderId="76" xfId="0" applyFill="1" applyBorder="1" applyAlignment="1">
      <alignment vertical="center"/>
    </xf>
    <xf numFmtId="0" fontId="0" fillId="10" borderId="80" xfId="0" applyFill="1" applyBorder="1" applyAlignment="1">
      <alignment vertical="center"/>
    </xf>
    <xf numFmtId="0" fontId="6" fillId="5" borderId="56" xfId="0" applyFont="1" applyFill="1" applyBorder="1" applyAlignment="1">
      <alignment horizontal="center" vertical="center"/>
    </xf>
    <xf numFmtId="0" fontId="0" fillId="9" borderId="11" xfId="0" applyFill="1" applyBorder="1" applyAlignment="1">
      <alignment horizontal="center" vertical="center"/>
    </xf>
    <xf numFmtId="0" fontId="0" fillId="9" borderId="21" xfId="0" applyFill="1" applyBorder="1" applyAlignment="1">
      <alignment horizontal="center" vertical="center"/>
    </xf>
    <xf numFmtId="0" fontId="0" fillId="9" borderId="14" xfId="0" applyFill="1" applyBorder="1" applyAlignment="1">
      <alignment horizontal="right" vertical="center" wrapText="1"/>
    </xf>
    <xf numFmtId="0" fontId="0" fillId="9" borderId="1" xfId="0" applyFill="1" applyBorder="1" applyAlignment="1">
      <alignment horizontal="right" vertical="center"/>
    </xf>
    <xf numFmtId="0" fontId="0" fillId="9" borderId="2" xfId="0" applyFill="1" applyBorder="1" applyAlignment="1">
      <alignment horizontal="right" vertical="center"/>
    </xf>
    <xf numFmtId="0" fontId="0" fillId="9" borderId="27" xfId="0" applyFill="1" applyBorder="1" applyAlignment="1" applyProtection="1">
      <alignment vertical="center" wrapText="1"/>
      <protection locked="0"/>
    </xf>
    <xf numFmtId="0" fontId="0" fillId="9" borderId="17"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9" borderId="24" xfId="0" applyFill="1" applyBorder="1" applyAlignment="1" applyProtection="1">
      <alignment vertical="center" wrapText="1"/>
      <protection locked="0"/>
    </xf>
    <xf numFmtId="0" fontId="0" fillId="9" borderId="25" xfId="0" applyFill="1" applyBorder="1" applyAlignment="1" applyProtection="1">
      <alignment vertical="center" wrapText="1"/>
      <protection locked="0"/>
    </xf>
    <xf numFmtId="0" fontId="0" fillId="9" borderId="26" xfId="0" applyFill="1" applyBorder="1" applyAlignment="1" applyProtection="1">
      <alignment vertical="center" wrapText="1"/>
      <protection locked="0"/>
    </xf>
    <xf numFmtId="0" fontId="0" fillId="9" borderId="19" xfId="0" applyFill="1" applyBorder="1" applyAlignment="1" applyProtection="1">
      <alignment vertical="center" wrapText="1"/>
      <protection locked="0"/>
    </xf>
    <xf numFmtId="0" fontId="6" fillId="14" borderId="20"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0" fillId="9" borderId="84" xfId="0" applyFill="1" applyBorder="1" applyAlignment="1">
      <alignment horizontal="center" vertical="center"/>
    </xf>
    <xf numFmtId="0" fontId="12" fillId="9" borderId="46" xfId="0" applyFont="1" applyFill="1" applyBorder="1" applyAlignment="1">
      <alignment horizontal="right" vertical="center" wrapText="1"/>
    </xf>
    <xf numFmtId="0" fontId="12" fillId="9" borderId="41" xfId="0" applyFont="1" applyFill="1" applyBorder="1" applyAlignment="1">
      <alignment horizontal="right" vertical="center" wrapText="1"/>
    </xf>
    <xf numFmtId="0" fontId="0" fillId="9" borderId="42" xfId="0" applyFill="1" applyBorder="1" applyAlignment="1">
      <alignment vertical="center" wrapText="1"/>
    </xf>
    <xf numFmtId="0" fontId="12" fillId="9" borderId="34" xfId="0" applyFont="1" applyFill="1" applyBorder="1" applyAlignment="1">
      <alignment horizontal="right" vertical="center" wrapText="1"/>
    </xf>
    <xf numFmtId="0" fontId="12" fillId="9" borderId="85" xfId="0" applyFont="1" applyFill="1" applyBorder="1" applyAlignment="1">
      <alignment horizontal="right" vertical="center" wrapText="1"/>
    </xf>
    <xf numFmtId="0" fontId="0" fillId="9" borderId="78" xfId="0" applyFill="1" applyBorder="1" applyAlignment="1">
      <alignment vertical="center" wrapText="1"/>
    </xf>
    <xf numFmtId="0" fontId="0" fillId="9" borderId="29" xfId="0" applyFill="1" applyBorder="1" applyAlignment="1">
      <alignment horizontal="right" vertical="center" wrapText="1"/>
    </xf>
    <xf numFmtId="0" fontId="0" fillId="9" borderId="76" xfId="0" applyFill="1" applyBorder="1" applyAlignment="1">
      <alignment horizontal="right" vertical="center" wrapText="1"/>
    </xf>
    <xf numFmtId="0" fontId="0" fillId="9" borderId="16" xfId="0" applyFill="1" applyBorder="1" applyAlignment="1">
      <alignment horizontal="right" vertical="center" wrapText="1"/>
    </xf>
    <xf numFmtId="0" fontId="0" fillId="9" borderId="27" xfId="0" applyFill="1" applyBorder="1" applyAlignment="1">
      <alignment horizontal="right" vertical="center" wrapText="1"/>
    </xf>
    <xf numFmtId="0" fontId="8" fillId="5" borderId="2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1" xfId="0" applyFont="1" applyFill="1" applyBorder="1" applyAlignment="1">
      <alignment horizontal="center" vertical="center"/>
    </xf>
    <xf numFmtId="0" fontId="12" fillId="9" borderId="83" xfId="0" applyFont="1" applyFill="1" applyBorder="1" applyAlignment="1">
      <alignment vertical="center" wrapText="1"/>
    </xf>
    <xf numFmtId="0" fontId="0" fillId="0" borderId="29" xfId="0" applyBorder="1" applyAlignment="1">
      <alignment vertical="center" wrapText="1"/>
    </xf>
    <xf numFmtId="0" fontId="0" fillId="9" borderId="83" xfId="0" applyFill="1" applyBorder="1" applyAlignment="1">
      <alignment vertical="center" wrapText="1"/>
    </xf>
    <xf numFmtId="0" fontId="0" fillId="0" borderId="10" xfId="0" applyBorder="1" applyAlignment="1">
      <alignment vertical="center" wrapText="1"/>
    </xf>
    <xf numFmtId="0" fontId="6" fillId="5" borderId="11" xfId="0" applyFont="1" applyFill="1" applyBorder="1" applyAlignment="1">
      <alignment horizontal="center" vertical="center"/>
    </xf>
    <xf numFmtId="0" fontId="12" fillId="10" borderId="24" xfId="0" applyFont="1" applyFill="1" applyBorder="1" applyAlignment="1" applyProtection="1">
      <alignment vertical="center" wrapText="1"/>
      <protection locked="0"/>
    </xf>
    <xf numFmtId="0" fontId="12" fillId="10" borderId="25" xfId="0" applyFont="1" applyFill="1" applyBorder="1" applyAlignment="1" applyProtection="1">
      <alignment vertical="center" wrapText="1"/>
      <protection locked="0"/>
    </xf>
    <xf numFmtId="0" fontId="0" fillId="2" borderId="16"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10" borderId="16" xfId="0" applyFill="1" applyBorder="1" applyAlignment="1" applyProtection="1">
      <alignment horizontal="center" vertical="center" wrapText="1"/>
      <protection locked="0"/>
    </xf>
    <xf numFmtId="0" fontId="0" fillId="10" borderId="27"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9" fillId="3" borderId="14" xfId="0" applyFont="1" applyFill="1" applyBorder="1" applyAlignment="1">
      <alignment horizontal="center"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6" fillId="9" borderId="14"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0" fillId="9" borderId="20" xfId="0" quotePrefix="1" applyFill="1" applyBorder="1" applyAlignment="1">
      <alignment horizontal="right" vertical="center" wrapText="1"/>
    </xf>
    <xf numFmtId="0" fontId="0" fillId="0" borderId="82" xfId="0" applyBorder="1" applyAlignment="1">
      <alignment vertical="center" wrapText="1"/>
    </xf>
    <xf numFmtId="0" fontId="0" fillId="9" borderId="18" xfId="0" applyFill="1" applyBorder="1" applyAlignment="1">
      <alignment horizontal="right" vertical="center" wrapText="1"/>
    </xf>
    <xf numFmtId="0" fontId="0" fillId="9" borderId="26" xfId="0" applyFill="1" applyBorder="1" applyAlignment="1">
      <alignment vertical="center"/>
    </xf>
    <xf numFmtId="0" fontId="0" fillId="9" borderId="23" xfId="0" applyFill="1" applyBorder="1" applyAlignment="1">
      <alignment horizontal="right" vertical="center" wrapText="1"/>
    </xf>
    <xf numFmtId="0" fontId="0" fillId="9" borderId="24" xfId="0" applyFill="1" applyBorder="1" applyAlignment="1">
      <alignment horizontal="right" vertical="center" wrapText="1"/>
    </xf>
    <xf numFmtId="0" fontId="0" fillId="9" borderId="9" xfId="0" applyFill="1" applyBorder="1" applyAlignment="1">
      <alignment horizontal="right" vertical="center" wrapText="1"/>
    </xf>
    <xf numFmtId="0" fontId="0" fillId="10" borderId="12" xfId="0" applyFill="1" applyBorder="1" applyAlignment="1" applyProtection="1">
      <alignment vertical="center" wrapText="1"/>
      <protection locked="0"/>
    </xf>
    <xf numFmtId="0" fontId="0" fillId="9" borderId="7" xfId="0" applyFill="1" applyBorder="1" applyAlignment="1" applyProtection="1">
      <alignment vertical="center" wrapText="1"/>
      <protection locked="0"/>
    </xf>
    <xf numFmtId="0" fontId="0" fillId="10" borderId="75" xfId="0" applyFill="1" applyBorder="1" applyAlignment="1" applyProtection="1">
      <alignment vertical="center" wrapText="1"/>
      <protection locked="0"/>
    </xf>
    <xf numFmtId="0" fontId="0" fillId="10" borderId="26" xfId="0" applyFill="1" applyBorder="1" applyAlignment="1" applyProtection="1">
      <alignment vertical="center" wrapText="1"/>
      <protection locked="0"/>
    </xf>
    <xf numFmtId="0" fontId="0" fillId="10" borderId="19" xfId="0" applyFill="1" applyBorder="1" applyAlignment="1" applyProtection="1">
      <alignment vertical="center" wrapText="1"/>
      <protection locked="0"/>
    </xf>
    <xf numFmtId="172" fontId="19" fillId="0" borderId="93" xfId="0" applyNumberFormat="1" applyFont="1" applyFill="1" applyBorder="1" applyAlignment="1">
      <alignment horizontal="center" vertical="center"/>
    </xf>
    <xf numFmtId="172" fontId="19" fillId="0" borderId="94" xfId="0" applyNumberFormat="1" applyFont="1" applyFill="1" applyBorder="1" applyAlignment="1">
      <alignment horizontal="center" vertical="center"/>
    </xf>
    <xf numFmtId="0" fontId="12" fillId="9" borderId="10" xfId="0" applyFont="1" applyFill="1" applyBorder="1" applyAlignment="1">
      <alignment horizontal="right" vertical="center" wrapText="1"/>
    </xf>
    <xf numFmtId="0" fontId="0" fillId="9" borderId="44" xfId="0" applyFill="1" applyBorder="1" applyAlignment="1">
      <alignment horizontal="right" vertical="center" wrapText="1"/>
    </xf>
    <xf numFmtId="0" fontId="0" fillId="9" borderId="52" xfId="0" applyFill="1" applyBorder="1" applyAlignment="1">
      <alignment horizontal="right" vertical="center"/>
    </xf>
    <xf numFmtId="0" fontId="0" fillId="9" borderId="10" xfId="0" applyFill="1" applyBorder="1" applyAlignment="1">
      <alignment horizontal="right" vertical="center" wrapText="1"/>
    </xf>
    <xf numFmtId="0" fontId="0" fillId="9" borderId="0" xfId="0" applyFill="1" applyBorder="1" applyAlignment="1">
      <alignment vertical="center"/>
    </xf>
    <xf numFmtId="0" fontId="0" fillId="9" borderId="40" xfId="0" applyFill="1" applyBorder="1" applyAlignment="1">
      <alignment vertical="center"/>
    </xf>
    <xf numFmtId="0" fontId="9" fillId="3" borderId="83" xfId="0" applyFont="1" applyFill="1" applyBorder="1" applyAlignment="1">
      <alignment horizontal="center" vertical="center"/>
    </xf>
    <xf numFmtId="0" fontId="0" fillId="9" borderId="79" xfId="0" applyFill="1" applyBorder="1" applyAlignment="1">
      <alignment horizontal="center" vertical="center"/>
    </xf>
    <xf numFmtId="0" fontId="4" fillId="5" borderId="56" xfId="0" applyFont="1" applyFill="1" applyBorder="1" applyAlignment="1">
      <alignment horizontal="center" vertical="center"/>
    </xf>
    <xf numFmtId="0" fontId="4" fillId="5" borderId="21" xfId="0" applyFont="1" applyFill="1" applyBorder="1" applyAlignment="1">
      <alignment horizontal="center" vertical="center"/>
    </xf>
    <xf numFmtId="0" fontId="0" fillId="5" borderId="20" xfId="0" applyFill="1" applyBorder="1" applyAlignment="1">
      <alignment horizontal="center" vertical="center"/>
    </xf>
    <xf numFmtId="0" fontId="0" fillId="9" borderId="11" xfId="0" applyFill="1" applyBorder="1" applyAlignment="1">
      <alignment vertical="center"/>
    </xf>
    <xf numFmtId="0" fontId="0" fillId="9" borderId="21" xfId="0" applyFill="1" applyBorder="1" applyAlignment="1">
      <alignment vertical="center"/>
    </xf>
    <xf numFmtId="0" fontId="0" fillId="2" borderId="20"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82" xfId="0" applyFill="1" applyBorder="1" applyAlignment="1" applyProtection="1">
      <alignment horizontal="center" vertical="center" wrapText="1"/>
      <protection locked="0"/>
    </xf>
    <xf numFmtId="0" fontId="0" fillId="5" borderId="20" xfId="0" quotePrefix="1" applyFill="1" applyBorder="1" applyAlignment="1">
      <alignment horizontal="center" vertical="center"/>
    </xf>
    <xf numFmtId="0" fontId="0" fillId="5" borderId="11" xfId="0" applyFill="1" applyBorder="1" applyAlignment="1">
      <alignment horizontal="center" vertical="center"/>
    </xf>
    <xf numFmtId="0" fontId="0" fillId="4" borderId="44" xfId="0" applyFill="1" applyBorder="1" applyAlignment="1">
      <alignment vertical="center" wrapText="1"/>
    </xf>
    <xf numFmtId="0" fontId="0" fillId="4" borderId="10" xfId="0" applyFill="1" applyBorder="1" applyAlignment="1">
      <alignment vertical="center" wrapText="1"/>
    </xf>
    <xf numFmtId="0" fontId="0" fillId="9" borderId="14" xfId="0" applyFill="1" applyBorder="1" applyAlignment="1">
      <alignment vertical="center" wrapText="1"/>
    </xf>
    <xf numFmtId="0" fontId="4" fillId="11" borderId="0" xfId="0" applyFont="1" applyFill="1" applyBorder="1" applyAlignment="1">
      <alignment horizontal="center" vertical="center"/>
    </xf>
    <xf numFmtId="0" fontId="0" fillId="9" borderId="77" xfId="0" applyFill="1" applyBorder="1" applyAlignment="1">
      <alignment vertical="center" wrapText="1"/>
    </xf>
    <xf numFmtId="0" fontId="0" fillId="9" borderId="30" xfId="0" applyFill="1" applyBorder="1" applyAlignment="1">
      <alignment vertical="center" wrapText="1"/>
    </xf>
    <xf numFmtId="0" fontId="6" fillId="9" borderId="36" xfId="0" applyFont="1" applyFill="1" applyBorder="1" applyAlignment="1">
      <alignment horizontal="center" vertical="center"/>
    </xf>
    <xf numFmtId="0" fontId="12" fillId="9" borderId="77" xfId="0" applyFont="1" applyFill="1" applyBorder="1" applyAlignment="1">
      <alignment horizontal="center" vertical="center"/>
    </xf>
    <xf numFmtId="0" fontId="37" fillId="7" borderId="20" xfId="0" applyFont="1" applyFill="1" applyBorder="1" applyAlignment="1">
      <alignment horizontal="center" vertical="center"/>
    </xf>
    <xf numFmtId="0" fontId="34" fillId="9" borderId="11" xfId="0" applyFont="1" applyFill="1" applyBorder="1" applyAlignment="1">
      <alignment horizontal="center" vertical="center"/>
    </xf>
    <xf numFmtId="0" fontId="34" fillId="9" borderId="21" xfId="0" applyFont="1" applyFill="1" applyBorder="1" applyAlignment="1">
      <alignment horizontal="center" vertical="center"/>
    </xf>
    <xf numFmtId="0" fontId="0" fillId="0" borderId="9" xfId="0" applyBorder="1" applyAlignment="1">
      <alignment vertical="center" wrapText="1"/>
    </xf>
    <xf numFmtId="0" fontId="6" fillId="5" borderId="20" xfId="0" applyFont="1" applyFill="1" applyBorder="1" applyAlignment="1">
      <alignment horizontal="center" vertical="center"/>
    </xf>
    <xf numFmtId="0" fontId="6" fillId="0" borderId="11" xfId="0" applyFont="1" applyBorder="1" applyAlignment="1">
      <alignment horizontal="center" vertical="center"/>
    </xf>
    <xf numFmtId="0" fontId="6" fillId="0" borderId="82" xfId="0" applyFont="1" applyBorder="1" applyAlignment="1">
      <alignment horizontal="center" vertical="center"/>
    </xf>
    <xf numFmtId="0" fontId="8" fillId="8" borderId="20" xfId="0" applyFont="1" applyFill="1" applyBorder="1" applyAlignment="1">
      <alignment horizontal="center" vertical="center"/>
    </xf>
    <xf numFmtId="0" fontId="0" fillId="9" borderId="34" xfId="0" applyFill="1" applyBorder="1" applyAlignment="1">
      <alignment horizontal="right" vertical="center" wrapText="1"/>
    </xf>
    <xf numFmtId="0" fontId="0" fillId="9" borderId="85" xfId="0" applyFill="1" applyBorder="1" applyAlignment="1">
      <alignment horizontal="right" vertical="center" wrapText="1"/>
    </xf>
    <xf numFmtId="0" fontId="8" fillId="2" borderId="20" xfId="0" applyFont="1" applyFill="1" applyBorder="1" applyAlignment="1">
      <alignment horizontal="right" vertical="center"/>
    </xf>
    <xf numFmtId="0" fontId="0" fillId="2" borderId="11" xfId="0" applyFill="1" applyBorder="1" applyAlignment="1">
      <alignment horizontal="right" vertical="center"/>
    </xf>
    <xf numFmtId="0" fontId="0" fillId="2" borderId="21" xfId="0" applyFill="1" applyBorder="1" applyAlignment="1">
      <alignment horizontal="right" vertical="center"/>
    </xf>
    <xf numFmtId="0" fontId="6" fillId="5" borderId="16" xfId="0" applyFont="1" applyFill="1" applyBorder="1" applyAlignment="1">
      <alignment horizontal="center" vertical="center"/>
    </xf>
    <xf numFmtId="0" fontId="6" fillId="0" borderId="27" xfId="0" applyFont="1" applyBorder="1" applyAlignment="1">
      <alignment horizontal="center" vertical="center"/>
    </xf>
    <xf numFmtId="0" fontId="6" fillId="0" borderId="51" xfId="0" applyFont="1" applyBorder="1" applyAlignment="1">
      <alignment horizontal="center" vertical="center"/>
    </xf>
    <xf numFmtId="0" fontId="12" fillId="10" borderId="84" xfId="0" applyFont="1" applyFill="1"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28" xfId="0" applyBorder="1" applyAlignment="1" applyProtection="1">
      <alignment vertical="center" wrapText="1"/>
      <protection locked="0"/>
    </xf>
    <xf numFmtId="0" fontId="12" fillId="9" borderId="23" xfId="0" applyFont="1" applyFill="1" applyBorder="1" applyAlignment="1">
      <alignment horizontal="right" vertical="center"/>
    </xf>
    <xf numFmtId="0" fontId="0" fillId="0" borderId="24" xfId="0" applyBorder="1" applyAlignment="1">
      <alignment horizontal="right" vertical="center"/>
    </xf>
    <xf numFmtId="0" fontId="12" fillId="10" borderId="50" xfId="0" applyFont="1" applyFill="1" applyBorder="1" applyAlignment="1" applyProtection="1">
      <alignment horizontal="center"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6" fillId="14" borderId="20" xfId="0" applyFont="1" applyFill="1" applyBorder="1" applyAlignment="1">
      <alignment horizontal="center" vertical="center"/>
    </xf>
    <xf numFmtId="0" fontId="0" fillId="9" borderId="13" xfId="0" applyFill="1" applyBorder="1" applyAlignment="1">
      <alignment vertical="center" wrapText="1"/>
    </xf>
    <xf numFmtId="0" fontId="11" fillId="9" borderId="50"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6" fillId="9" borderId="12" xfId="0" quotePrefix="1" applyFont="1" applyFill="1" applyBorder="1" applyAlignment="1">
      <alignment horizontal="center" vertical="center"/>
    </xf>
    <xf numFmtId="0" fontId="6" fillId="9" borderId="12" xfId="0" applyFont="1" applyFill="1" applyBorder="1" applyAlignment="1">
      <alignment vertical="center"/>
    </xf>
    <xf numFmtId="0" fontId="6" fillId="3" borderId="16" xfId="0" applyFont="1" applyFill="1" applyBorder="1" applyAlignment="1">
      <alignment horizontal="left" vertical="center"/>
    </xf>
    <xf numFmtId="0" fontId="0" fillId="9" borderId="27" xfId="0" applyFill="1" applyBorder="1" applyAlignment="1">
      <alignment vertical="center"/>
    </xf>
    <xf numFmtId="0" fontId="0" fillId="9" borderId="17" xfId="0" applyFill="1" applyBorder="1" applyAlignment="1">
      <alignment vertical="center"/>
    </xf>
    <xf numFmtId="0" fontId="0" fillId="9" borderId="82" xfId="0" applyFill="1" applyBorder="1" applyAlignment="1">
      <alignment horizontal="center" vertical="center"/>
    </xf>
    <xf numFmtId="0" fontId="11" fillId="0" borderId="9" xfId="0" applyFont="1"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9" borderId="12" xfId="0" applyFill="1" applyBorder="1" applyAlignment="1">
      <alignment vertical="center" wrapText="1"/>
    </xf>
    <xf numFmtId="0" fontId="11" fillId="9" borderId="50" xfId="0" applyFont="1" applyFill="1" applyBorder="1" applyAlignment="1">
      <alignment horizontal="center" vertical="center"/>
    </xf>
    <xf numFmtId="0" fontId="31" fillId="0" borderId="9" xfId="0" applyFont="1" applyBorder="1" applyAlignment="1">
      <alignment vertical="center"/>
    </xf>
    <xf numFmtId="0" fontId="6" fillId="11" borderId="16" xfId="0" applyFont="1" applyFill="1" applyBorder="1" applyAlignment="1">
      <alignment horizontal="center" vertical="center"/>
    </xf>
    <xf numFmtId="0" fontId="38" fillId="0" borderId="49"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0" fillId="0" borderId="11" xfId="0" applyBorder="1" applyAlignment="1">
      <alignment horizontal="center"/>
    </xf>
    <xf numFmtId="0" fontId="41" fillId="3" borderId="20" xfId="0" applyFont="1" applyFill="1" applyBorder="1" applyAlignment="1">
      <alignment horizontal="center" vertical="center" wrapText="1"/>
    </xf>
    <xf numFmtId="0" fontId="41" fillId="0" borderId="21" xfId="0" applyFont="1" applyBorder="1" applyAlignment="1">
      <alignment horizontal="center" vertical="center"/>
    </xf>
    <xf numFmtId="0" fontId="11" fillId="11" borderId="56" xfId="0" applyFont="1" applyFill="1" applyBorder="1" applyAlignment="1">
      <alignment horizontal="center" wrapText="1"/>
    </xf>
    <xf numFmtId="0" fontId="0" fillId="0" borderId="21" xfId="0" applyBorder="1" applyAlignment="1">
      <alignment wrapText="1"/>
    </xf>
    <xf numFmtId="0" fontId="1" fillId="2" borderId="11" xfId="0" applyFont="1"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6" fillId="14" borderId="20" xfId="0" applyFont="1" applyFill="1" applyBorder="1" applyAlignment="1">
      <alignment vertical="center" wrapText="1"/>
    </xf>
    <xf numFmtId="0" fontId="0" fillId="14" borderId="11" xfId="0" applyFill="1" applyBorder="1" applyAlignment="1">
      <alignment vertical="center" wrapText="1"/>
    </xf>
    <xf numFmtId="0" fontId="0" fillId="14" borderId="21" xfId="0" applyFill="1" applyBorder="1" applyAlignment="1">
      <alignment vertical="center" wrapText="1"/>
    </xf>
    <xf numFmtId="0" fontId="11" fillId="11" borderId="20" xfId="0" applyFont="1" applyFill="1" applyBorder="1" applyAlignment="1">
      <alignment horizontal="right" vertical="center" wrapText="1"/>
    </xf>
    <xf numFmtId="0" fontId="11" fillId="11" borderId="11" xfId="0" applyFont="1" applyFill="1" applyBorder="1" applyAlignment="1">
      <alignment vertical="center" wrapText="1"/>
    </xf>
    <xf numFmtId="0" fontId="11" fillId="11" borderId="21" xfId="0" applyFont="1" applyFill="1" applyBorder="1" applyAlignment="1">
      <alignment vertical="center" wrapText="1"/>
    </xf>
    <xf numFmtId="0" fontId="35" fillId="11" borderId="16" xfId="0" applyFont="1" applyFill="1" applyBorder="1" applyAlignment="1">
      <alignment horizontal="center" vertical="center" wrapText="1"/>
    </xf>
    <xf numFmtId="0" fontId="35" fillId="11" borderId="51" xfId="0" applyFont="1" applyFill="1" applyBorder="1" applyAlignment="1">
      <alignment horizontal="center" vertical="center" wrapText="1"/>
    </xf>
    <xf numFmtId="0" fontId="32" fillId="10" borderId="20" xfId="0" applyFont="1" applyFill="1" applyBorder="1" applyAlignment="1" applyProtection="1">
      <alignment vertical="center" wrapText="1"/>
      <protection locked="0"/>
    </xf>
    <xf numFmtId="0" fontId="32" fillId="10" borderId="11" xfId="0" applyFont="1" applyFill="1" applyBorder="1" applyAlignment="1" applyProtection="1">
      <alignment vertical="center" wrapText="1"/>
      <protection locked="0"/>
    </xf>
    <xf numFmtId="0" fontId="32" fillId="10" borderId="21" xfId="0" applyFont="1" applyFill="1" applyBorder="1" applyAlignment="1" applyProtection="1">
      <alignment vertical="center" wrapText="1"/>
      <protection locked="0"/>
    </xf>
    <xf numFmtId="0" fontId="1" fillId="11" borderId="23" xfId="0" applyFont="1" applyFill="1" applyBorder="1" applyAlignment="1">
      <alignment vertical="center" wrapText="1"/>
    </xf>
    <xf numFmtId="0" fontId="0" fillId="3" borderId="11" xfId="0" applyFill="1" applyBorder="1" applyAlignment="1">
      <alignment horizontal="center" wrapText="1"/>
    </xf>
    <xf numFmtId="0" fontId="0" fillId="3" borderId="21" xfId="0" applyFill="1" applyBorder="1" applyAlignment="1">
      <alignment horizontal="center" wrapText="1"/>
    </xf>
    <xf numFmtId="0" fontId="6" fillId="0" borderId="24" xfId="0" applyFont="1" applyFill="1" applyBorder="1" applyAlignment="1">
      <alignment horizontal="center" vertical="center" wrapText="1"/>
    </xf>
    <xf numFmtId="0" fontId="6" fillId="0" borderId="24" xfId="0" applyFont="1" applyBorder="1" applyAlignment="1">
      <alignment horizontal="center" vertical="center" wrapText="1"/>
    </xf>
    <xf numFmtId="0" fontId="1" fillId="13" borderId="44" xfId="0" applyFont="1" applyFill="1" applyBorder="1" applyAlignment="1">
      <alignment horizontal="right" vertical="center" wrapText="1"/>
    </xf>
    <xf numFmtId="0" fontId="0" fillId="11" borderId="48" xfId="0" applyFill="1" applyBorder="1" applyAlignment="1">
      <alignment vertical="center" wrapText="1"/>
    </xf>
    <xf numFmtId="0" fontId="0" fillId="11" borderId="45" xfId="0" applyFill="1" applyBorder="1" applyAlignment="1">
      <alignment vertical="center" wrapText="1"/>
    </xf>
    <xf numFmtId="0" fontId="0" fillId="11" borderId="14" xfId="0" applyFill="1" applyBorder="1" applyAlignment="1">
      <alignment horizontal="right" vertical="center" wrapText="1"/>
    </xf>
    <xf numFmtId="0" fontId="0" fillId="11" borderId="1" xfId="0" applyFill="1" applyBorder="1" applyAlignment="1">
      <alignment vertical="center"/>
    </xf>
    <xf numFmtId="0" fontId="0" fillId="11" borderId="2" xfId="0" applyFill="1" applyBorder="1" applyAlignment="1">
      <alignment vertical="center"/>
    </xf>
    <xf numFmtId="0" fontId="0" fillId="11" borderId="10" xfId="0" applyFill="1" applyBorder="1" applyAlignment="1">
      <alignment horizontal="right" vertical="center" wrapText="1"/>
    </xf>
    <xf numFmtId="0" fontId="0" fillId="11" borderId="0" xfId="0" applyFill="1" applyBorder="1" applyAlignment="1">
      <alignment vertical="center"/>
    </xf>
    <xf numFmtId="0" fontId="0" fillId="11" borderId="3" xfId="0" applyFill="1" applyBorder="1" applyAlignment="1">
      <alignment vertical="center"/>
    </xf>
    <xf numFmtId="0" fontId="1" fillId="13" borderId="10" xfId="0" applyFont="1" applyFill="1" applyBorder="1" applyAlignment="1">
      <alignment horizontal="right" vertical="center" wrapText="1"/>
    </xf>
    <xf numFmtId="0" fontId="0" fillId="11" borderId="0" xfId="0" applyFill="1" applyBorder="1" applyAlignment="1">
      <alignment vertical="center" wrapText="1"/>
    </xf>
    <xf numFmtId="0" fontId="0" fillId="11" borderId="3" xfId="0" applyFill="1" applyBorder="1" applyAlignment="1">
      <alignment vertical="center" wrapText="1"/>
    </xf>
    <xf numFmtId="0" fontId="0" fillId="13" borderId="0" xfId="0" applyFill="1" applyAlignment="1">
      <alignment vertical="center" wrapText="1"/>
    </xf>
    <xf numFmtId="0" fontId="12" fillId="13" borderId="0" xfId="0" applyFont="1" applyFill="1" applyBorder="1" applyAlignment="1">
      <alignment horizontal="left" vertical="center" wrapText="1"/>
    </xf>
    <xf numFmtId="0" fontId="0" fillId="0" borderId="0" xfId="0" applyAlignment="1">
      <alignment vertical="center" wrapText="1"/>
    </xf>
    <xf numFmtId="0" fontId="6" fillId="13" borderId="0" xfId="0" applyFont="1" applyFill="1" applyAlignment="1">
      <alignment horizontal="center" vertical="center"/>
    </xf>
    <xf numFmtId="0" fontId="0" fillId="0" borderId="0" xfId="0" applyAlignment="1">
      <alignment vertical="center"/>
    </xf>
    <xf numFmtId="0" fontId="6" fillId="16" borderId="44" xfId="0" applyFont="1" applyFill="1" applyBorder="1" applyAlignment="1">
      <alignment horizontal="center" vertical="center" wrapText="1"/>
    </xf>
    <xf numFmtId="0" fontId="6" fillId="0" borderId="48" xfId="0" applyFont="1" applyBorder="1" applyAlignment="1">
      <alignment horizontal="center" vertical="center"/>
    </xf>
    <xf numFmtId="0" fontId="6" fillId="0" borderId="45" xfId="0" applyFont="1" applyBorder="1" applyAlignment="1">
      <alignment horizontal="center" vertical="center"/>
    </xf>
    <xf numFmtId="0" fontId="6" fillId="17" borderId="20" xfId="0" applyFont="1" applyFill="1" applyBorder="1" applyAlignment="1">
      <alignment horizontal="center" vertical="center"/>
    </xf>
    <xf numFmtId="0" fontId="0" fillId="14" borderId="11" xfId="0" applyFill="1" applyBorder="1" applyAlignment="1">
      <alignment vertical="center"/>
    </xf>
    <xf numFmtId="0" fontId="0" fillId="14" borderId="21" xfId="0" applyFill="1" applyBorder="1" applyAlignment="1">
      <alignment vertical="center"/>
    </xf>
    <xf numFmtId="0" fontId="12" fillId="9" borderId="0" xfId="0" applyFont="1" applyFill="1" applyBorder="1" applyAlignment="1">
      <alignment vertical="center"/>
    </xf>
    <xf numFmtId="0" fontId="19" fillId="2" borderId="12" xfId="0" applyFont="1" applyFill="1" applyBorder="1" applyAlignment="1" applyProtection="1">
      <alignment horizontal="center" vertical="center"/>
      <protection locked="0"/>
    </xf>
    <xf numFmtId="0" fontId="40" fillId="2" borderId="7" xfId="0" applyFont="1" applyFill="1" applyBorder="1" applyAlignment="1" applyProtection="1">
      <alignment horizontal="center" vertical="center"/>
      <protection locked="0"/>
    </xf>
    <xf numFmtId="0" fontId="19" fillId="9" borderId="12" xfId="0" applyFont="1" applyFill="1" applyBorder="1" applyAlignment="1" applyProtection="1">
      <alignment horizontal="center" vertical="center" wrapText="1"/>
    </xf>
    <xf numFmtId="0" fontId="19" fillId="0" borderId="7" xfId="0" applyFont="1" applyBorder="1" applyAlignment="1" applyProtection="1">
      <alignment vertical="center"/>
    </xf>
    <xf numFmtId="0" fontId="0" fillId="9" borderId="37" xfId="0" applyFill="1" applyBorder="1" applyAlignment="1">
      <alignment horizontal="right" vertical="center"/>
    </xf>
    <xf numFmtId="0" fontId="0" fillId="9" borderId="34" xfId="0" applyFill="1" applyBorder="1" applyAlignment="1">
      <alignment horizontal="right" vertical="center"/>
    </xf>
    <xf numFmtId="0" fontId="19" fillId="9" borderId="38" xfId="0"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5" borderId="16" xfId="0" applyFill="1" applyBorder="1" applyAlignment="1">
      <alignment horizontal="center"/>
    </xf>
    <xf numFmtId="0" fontId="0" fillId="5" borderId="27" xfId="0" applyFill="1" applyBorder="1" applyAlignment="1">
      <alignment horizontal="center"/>
    </xf>
    <xf numFmtId="0" fontId="0" fillId="5" borderId="17" xfId="0" applyFill="1" applyBorder="1" applyAlignment="1">
      <alignment horizontal="center"/>
    </xf>
    <xf numFmtId="0" fontId="0" fillId="9" borderId="12" xfId="0" applyFill="1" applyBorder="1" applyAlignment="1">
      <alignment horizontal="right" vertical="center" wrapText="1"/>
    </xf>
    <xf numFmtId="0" fontId="0" fillId="0" borderId="12" xfId="0" applyBorder="1" applyAlignment="1"/>
    <xf numFmtId="0" fontId="6" fillId="3" borderId="1" xfId="0" applyFont="1" applyFill="1"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196">
    <dxf>
      <fill>
        <patternFill>
          <bgColor indexed="11"/>
        </patternFill>
      </fill>
    </dxf>
    <dxf>
      <fill>
        <patternFill>
          <bgColor indexed="10"/>
        </patternFill>
      </fill>
    </dxf>
    <dxf>
      <font>
        <condense val="0"/>
        <extend val="0"/>
        <color indexed="9"/>
      </font>
      <fill>
        <patternFill>
          <bgColor indexed="10"/>
        </patternFill>
      </fill>
    </dxf>
    <dxf>
      <font>
        <b/>
        <i val="0"/>
        <condense val="0"/>
        <extend val="0"/>
        <color indexed="12"/>
      </font>
      <fill>
        <patternFill>
          <bgColor indexed="11"/>
        </patternFill>
      </fill>
    </dxf>
    <dxf>
      <font>
        <b/>
        <i val="0"/>
        <condense val="0"/>
        <extend val="0"/>
        <color indexed="9"/>
      </font>
      <fill>
        <patternFill>
          <bgColor indexed="10"/>
        </patternFill>
      </fill>
    </dxf>
    <dxf>
      <font>
        <b/>
        <i val="0"/>
        <condense val="0"/>
        <extend val="0"/>
        <color indexed="12"/>
      </font>
      <fill>
        <patternFill>
          <bgColor indexed="11"/>
        </patternFill>
      </fill>
    </dxf>
    <dxf>
      <font>
        <b/>
        <i val="0"/>
        <condense val="0"/>
        <extend val="0"/>
        <color indexed="9"/>
      </font>
      <fill>
        <patternFill>
          <bgColor indexed="10"/>
        </patternFill>
      </fill>
    </dxf>
    <dxf>
      <font>
        <b/>
        <i val="0"/>
        <condense val="0"/>
        <extend val="0"/>
        <color indexed="12"/>
      </font>
      <fill>
        <patternFill>
          <bgColor indexed="13"/>
        </patternFill>
      </fill>
    </dxf>
    <dxf>
      <font>
        <b/>
        <i val="0"/>
        <condense val="0"/>
        <extend val="0"/>
        <color indexed="12"/>
      </font>
      <fill>
        <patternFill>
          <bgColor indexed="11"/>
        </patternFill>
      </fill>
    </dxf>
    <dxf>
      <font>
        <b/>
        <i val="0"/>
        <condense val="0"/>
        <extend val="0"/>
        <color indexed="12"/>
      </font>
    </dxf>
    <dxf>
      <font>
        <b/>
        <i val="0"/>
        <condense val="0"/>
        <extend val="0"/>
        <color indexed="9"/>
      </font>
      <fill>
        <patternFill>
          <bgColor indexed="10"/>
        </patternFill>
      </fill>
    </dxf>
    <dxf>
      <fill>
        <patternFill>
          <bgColor indexed="10"/>
        </patternFill>
      </fill>
    </dxf>
    <dxf>
      <fill>
        <patternFill>
          <bgColor indexed="11"/>
        </patternFill>
      </fill>
    </dxf>
    <dxf>
      <font>
        <condense val="0"/>
        <extend val="0"/>
        <color indexed="9"/>
      </font>
      <fill>
        <patternFill patternType="none">
          <bgColor indexed="65"/>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b/>
        <i val="0"/>
        <condense val="0"/>
        <extend val="0"/>
        <color indexed="9"/>
      </font>
      <fill>
        <patternFill>
          <bgColor indexed="18"/>
        </patternFill>
      </fill>
    </dxf>
    <dxf>
      <font>
        <b/>
        <i val="0"/>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ont>
        <b/>
        <i val="0"/>
        <condense val="0"/>
        <extend val="0"/>
        <color indexed="12"/>
      </font>
      <fill>
        <patternFill>
          <bgColor indexed="11"/>
        </patternFill>
      </fill>
    </dxf>
    <dxf>
      <font>
        <b/>
        <i val="0"/>
        <condense val="0"/>
        <extend val="0"/>
        <color indexed="9"/>
      </font>
      <fill>
        <patternFill>
          <bgColor indexed="10"/>
        </patternFill>
      </fill>
    </dxf>
    <dxf>
      <font>
        <b/>
        <i val="0"/>
        <condense val="0"/>
        <extend val="0"/>
        <color indexed="12"/>
      </font>
      <fill>
        <patternFill>
          <bgColor indexed="11"/>
        </patternFill>
      </fill>
    </dxf>
    <dxf>
      <font>
        <b/>
        <i val="0"/>
        <condense val="0"/>
        <extend val="0"/>
        <color indexed="9"/>
      </font>
      <fill>
        <patternFill>
          <bgColor indexed="18"/>
        </patternFill>
      </fill>
    </dxf>
    <dxf>
      <fill>
        <patternFill>
          <bgColor indexed="11"/>
        </patternFill>
      </fill>
    </dxf>
    <dxf>
      <font>
        <b/>
        <i val="0"/>
        <condense val="0"/>
        <extend val="0"/>
      </font>
      <fill>
        <patternFill>
          <bgColor indexed="10"/>
        </patternFill>
      </fill>
    </dxf>
    <dxf>
      <fill>
        <patternFill>
          <bgColor indexed="11"/>
        </patternFill>
      </fill>
    </dxf>
    <dxf>
      <font>
        <b/>
        <i val="0"/>
        <condense val="0"/>
        <extend val="0"/>
        <color indexed="12"/>
      </font>
      <fill>
        <patternFill>
          <bgColor indexed="10"/>
        </patternFill>
      </fill>
    </dxf>
    <dxf>
      <font>
        <b/>
        <i val="0"/>
        <condense val="0"/>
        <extend val="0"/>
        <color indexed="9"/>
      </font>
      <fill>
        <patternFill>
          <bgColor indexed="10"/>
        </patternFill>
      </fill>
    </dxf>
    <dxf>
      <font>
        <b/>
        <i val="0"/>
        <condense val="0"/>
        <extend val="0"/>
        <color indexed="12"/>
      </font>
      <fill>
        <patternFill>
          <bgColor indexed="11"/>
        </patternFill>
      </fill>
    </dxf>
    <dxf>
      <font>
        <condense val="0"/>
        <extend val="0"/>
        <color auto="1"/>
      </font>
      <fill>
        <patternFill>
          <bgColor indexed="11"/>
        </patternFill>
      </fill>
    </dxf>
    <dxf>
      <fill>
        <patternFill>
          <bgColor indexed="11"/>
        </patternFill>
      </fill>
    </dxf>
    <dxf>
      <fill>
        <patternFill>
          <bgColor indexed="10"/>
        </patternFill>
      </fill>
    </dxf>
    <dxf>
      <fill>
        <patternFill>
          <bgColor indexed="11"/>
        </patternFill>
      </fill>
    </dxf>
    <dxf>
      <font>
        <b/>
        <i val="0"/>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ill>
        <patternFill>
          <bgColor indexed="9"/>
        </patternFill>
      </fill>
    </dxf>
    <dxf>
      <font>
        <condense val="0"/>
        <extend val="0"/>
        <color auto="1"/>
      </font>
      <fill>
        <patternFill>
          <bgColor indexed="45"/>
        </patternFill>
      </fill>
    </dxf>
    <dxf>
      <fill>
        <patternFill>
          <bgColor indexed="10"/>
        </patternFill>
      </fill>
    </dxf>
    <dxf>
      <font>
        <condense val="0"/>
        <extend val="0"/>
        <color auto="1"/>
      </font>
      <fill>
        <patternFill>
          <bgColor indexed="11"/>
        </patternFill>
      </fill>
    </dxf>
    <dxf>
      <fill>
        <patternFill>
          <bgColor indexed="11"/>
        </patternFill>
      </fill>
    </dxf>
    <dxf>
      <font>
        <b/>
        <i val="0"/>
        <condense val="0"/>
        <extend val="0"/>
      </font>
      <fill>
        <patternFill>
          <bgColor indexed="10"/>
        </patternFill>
      </fill>
    </dxf>
    <dxf>
      <fill>
        <patternFill>
          <bgColor indexed="11"/>
        </patternFill>
      </fill>
    </dxf>
    <dxf>
      <fill>
        <patternFill>
          <bgColor indexed="10"/>
        </patternFill>
      </fill>
    </dxf>
    <dxf>
      <fill>
        <patternFill>
          <bgColor indexed="10"/>
        </patternFill>
      </fill>
    </dxf>
    <dxf>
      <font>
        <b/>
        <i val="0"/>
        <condense val="0"/>
        <extend val="0"/>
      </font>
      <fill>
        <patternFill>
          <bgColor indexed="11"/>
        </patternFill>
      </fill>
    </dxf>
    <dxf>
      <font>
        <condense val="0"/>
        <extend val="0"/>
        <color indexed="9"/>
      </font>
      <fill>
        <patternFill>
          <bgColor indexed="9"/>
        </patternFill>
      </fill>
    </dxf>
    <dxf>
      <fill>
        <patternFill>
          <bgColor indexed="11"/>
        </patternFill>
      </fill>
    </dxf>
    <dxf>
      <fill>
        <patternFill>
          <bgColor indexed="10"/>
        </patternFill>
      </fill>
    </dxf>
    <dxf>
      <fill>
        <patternFill>
          <bgColor indexed="11"/>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ont>
        <b/>
        <i val="0"/>
        <condense val="0"/>
        <extend val="0"/>
        <color indexed="12"/>
      </font>
      <fill>
        <patternFill>
          <bgColor indexed="11"/>
        </patternFill>
      </fill>
    </dxf>
    <dxf>
      <font>
        <b/>
        <i val="0"/>
        <condense val="0"/>
        <extend val="0"/>
        <color indexed="9"/>
      </font>
      <fill>
        <patternFill>
          <bgColor indexed="10"/>
        </patternFill>
      </fill>
    </dxf>
    <dxf>
      <font>
        <condense val="0"/>
        <extend val="0"/>
        <color indexed="11"/>
      </font>
      <fill>
        <patternFill>
          <bgColor indexed="11"/>
        </patternFill>
      </fill>
    </dxf>
    <dxf>
      <font>
        <condense val="0"/>
        <extend val="0"/>
        <color indexed="11"/>
      </font>
      <fill>
        <patternFill>
          <bgColor indexed="11"/>
        </patternFill>
      </fill>
    </dxf>
    <dxf>
      <font>
        <b/>
        <i val="0"/>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ill>
        <patternFill>
          <bgColor indexed="11"/>
        </patternFill>
      </fill>
    </dxf>
    <dxf>
      <fill>
        <patternFill>
          <bgColor indexed="11"/>
        </patternFill>
      </fill>
    </dxf>
    <dxf>
      <font>
        <b/>
        <i val="0"/>
        <condense val="0"/>
        <extend val="0"/>
        <color indexed="9"/>
      </font>
      <fill>
        <patternFill>
          <bgColor indexed="10"/>
        </patternFill>
      </fill>
    </dxf>
    <dxf>
      <fill>
        <patternFill>
          <bgColor indexed="11"/>
        </patternFill>
      </fill>
    </dxf>
    <dxf>
      <fill>
        <patternFill>
          <bgColor indexed="10"/>
        </patternFill>
      </fill>
    </dxf>
    <dxf>
      <fill>
        <patternFill>
          <bgColor indexed="52"/>
        </patternFill>
      </fill>
    </dxf>
    <dxf>
      <fill>
        <patternFill>
          <bgColor indexed="53"/>
        </patternFill>
      </fill>
    </dxf>
    <dxf>
      <fill>
        <patternFill>
          <bgColor indexed="53"/>
        </patternFill>
      </fill>
    </dxf>
    <dxf>
      <fill>
        <patternFill>
          <bgColor indexed="10"/>
        </patternFill>
      </fill>
    </dxf>
    <dxf>
      <fill>
        <patternFill>
          <bgColor indexed="11"/>
        </patternFill>
      </fill>
    </dxf>
    <dxf>
      <font>
        <condense val="0"/>
        <extend val="0"/>
        <color indexed="9"/>
      </font>
    </dxf>
    <dxf>
      <fill>
        <patternFill>
          <bgColor indexed="11"/>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1"/>
        </patternFill>
      </fill>
    </dxf>
    <dxf>
      <font>
        <b/>
        <i val="0"/>
        <condense val="0"/>
        <extend val="0"/>
        <color indexed="9"/>
      </font>
      <fill>
        <patternFill>
          <bgColor indexed="10"/>
        </patternFill>
      </fill>
    </dxf>
    <dxf>
      <fill>
        <patternFill>
          <bgColor indexed="10"/>
        </patternFill>
      </fill>
    </dxf>
    <dxf>
      <fill>
        <patternFill>
          <bgColor indexed="10"/>
        </patternFill>
      </fill>
    </dxf>
    <dxf>
      <font>
        <condense val="0"/>
        <extend val="0"/>
        <color indexed="9"/>
      </font>
    </dxf>
    <dxf>
      <fill>
        <patternFill>
          <bgColor indexed="13"/>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0"/>
        </patternFill>
      </fill>
    </dxf>
    <dxf>
      <font>
        <b/>
        <i val="0"/>
        <condense val="0"/>
        <extend val="0"/>
        <color indexed="10"/>
      </font>
      <fill>
        <patternFill>
          <bgColor indexed="42"/>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bgColor indexed="13"/>
        </patternFill>
      </fill>
    </dxf>
    <dxf>
      <fill>
        <patternFill>
          <bgColor indexed="11"/>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bgColor indexed="11"/>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1"/>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bgColor indexed="41"/>
        </patternFill>
      </fill>
    </dxf>
    <dxf>
      <fill>
        <patternFill>
          <bgColor indexed="42"/>
        </patternFill>
      </fill>
    </dxf>
    <dxf>
      <fill>
        <patternFill>
          <bgColor indexed="41"/>
        </patternFill>
      </fill>
    </dxf>
    <dxf>
      <fill>
        <patternFill>
          <bgColor indexed="13"/>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fgColor indexed="9"/>
        </patternFill>
      </fill>
    </dxf>
    <dxf>
      <fill>
        <patternFill>
          <bgColor indexed="10"/>
        </patternFill>
      </fill>
    </dxf>
    <dxf>
      <font>
        <condense val="0"/>
        <extend val="0"/>
        <color indexed="9"/>
      </font>
    </dxf>
    <dxf>
      <fill>
        <patternFill>
          <bgColor indexed="11"/>
        </patternFill>
      </fill>
    </dxf>
    <dxf>
      <font>
        <condense val="0"/>
        <extend val="0"/>
        <color indexed="9"/>
      </font>
      <fill>
        <patternFill>
          <bgColor indexed="10"/>
        </patternFill>
      </fill>
    </dxf>
    <dxf>
      <font>
        <b/>
        <i val="0"/>
        <condense val="0"/>
        <extend val="0"/>
        <color indexed="9"/>
      </font>
      <fill>
        <patternFill>
          <bgColor indexed="10"/>
        </patternFill>
      </fill>
    </dxf>
    <dxf>
      <fill>
        <patternFill>
          <bgColor indexed="11"/>
        </patternFill>
      </fill>
    </dxf>
    <dxf>
      <font>
        <condense val="0"/>
        <extend val="0"/>
        <color auto="1"/>
      </font>
      <fill>
        <patternFill>
          <bgColor indexed="11"/>
        </patternFill>
      </fill>
    </dxf>
    <dxf>
      <font>
        <condense val="0"/>
        <extend val="0"/>
        <color indexed="9"/>
      </font>
      <fill>
        <patternFill>
          <bgColor indexed="10"/>
        </patternFill>
      </fill>
    </dxf>
    <dxf>
      <fill>
        <patternFill>
          <bgColor indexed="10"/>
        </patternFill>
      </fill>
    </dxf>
    <dxf>
      <fill>
        <patternFill>
          <bgColor indexed="11"/>
        </patternFill>
      </fill>
    </dxf>
    <dxf>
      <fill>
        <patternFill>
          <bgColor indexed="1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ill>
        <patternFill>
          <bgColor indexed="52"/>
        </patternFill>
      </fill>
    </dxf>
    <dxf>
      <font>
        <condense val="0"/>
        <extend val="0"/>
        <color indexed="9"/>
      </font>
      <fill>
        <patternFill>
          <bgColor indexed="53"/>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1"/>
        </patternFill>
      </fill>
    </dxf>
    <dxf>
      <fill>
        <patternFill>
          <bgColor indexed="10"/>
        </patternFill>
      </fill>
    </dxf>
    <dxf>
      <font>
        <b/>
        <i val="0"/>
        <condense val="0"/>
        <extend val="0"/>
      </font>
      <fill>
        <patternFill>
          <bgColor indexed="10"/>
        </patternFill>
      </fill>
    </dxf>
    <dxf>
      <fill>
        <patternFill>
          <bgColor indexed="11"/>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41"/>
        </patternFill>
      </fill>
    </dxf>
    <dxf>
      <fill>
        <patternFill>
          <bgColor indexed="13"/>
        </patternFill>
      </fill>
    </dxf>
    <dxf>
      <fill>
        <patternFill>
          <bgColor indexed="11"/>
        </patternFill>
      </fill>
    </dxf>
    <dxf>
      <font>
        <b/>
        <i val="0"/>
        <condense val="0"/>
        <extend val="0"/>
      </font>
      <fill>
        <patternFill>
          <bgColor indexed="10"/>
        </patternFill>
      </fill>
    </dxf>
    <dxf>
      <font>
        <b/>
        <i val="0"/>
        <condense val="0"/>
        <extend val="0"/>
        <color indexed="9"/>
      </font>
      <fill>
        <patternFill>
          <bgColor indexed="10"/>
        </patternFill>
      </fill>
    </dxf>
    <dxf>
      <font>
        <b/>
        <i val="0"/>
        <condense val="0"/>
        <extend val="0"/>
        <color indexed="10"/>
      </font>
      <fill>
        <patternFill patternType="solid">
          <bgColor indexed="42"/>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ill>
        <patternFill>
          <bgColor indexed="53"/>
        </patternFill>
      </fill>
    </dxf>
    <dxf>
      <fill>
        <patternFill>
          <bgColor indexed="47"/>
        </patternFill>
      </fill>
    </dxf>
    <dxf>
      <font>
        <b/>
        <i val="0"/>
        <condense val="0"/>
        <extend val="0"/>
      </font>
      <fill>
        <patternFill>
          <bgColor indexed="10"/>
        </patternFill>
      </fill>
    </dxf>
    <dxf>
      <fill>
        <patternFill>
          <bgColor indexed="47"/>
        </patternFill>
      </fill>
    </dxf>
    <dxf>
      <fill>
        <patternFill>
          <bgColor indexed="10"/>
        </patternFill>
      </fill>
    </dxf>
    <dxf>
      <fill>
        <patternFill>
          <bgColor indexed="10"/>
        </patternFill>
      </fill>
    </dxf>
    <dxf>
      <fill>
        <patternFill>
          <bgColor indexed="11"/>
        </patternFill>
      </fill>
    </dxf>
    <dxf>
      <font>
        <b/>
        <i val="0"/>
        <condense val="0"/>
        <extend val="0"/>
      </font>
      <fill>
        <patternFill>
          <bgColor indexed="10"/>
        </patternFill>
      </fill>
    </dxf>
    <dxf>
      <fill>
        <patternFill>
          <bgColor indexed="10"/>
        </patternFill>
      </fill>
    </dxf>
    <dxf>
      <fill>
        <patternFill>
          <bgColor indexed="11"/>
        </patternFill>
      </fill>
    </dxf>
    <dxf>
      <fill>
        <patternFill>
          <bgColor indexed="11"/>
        </patternFill>
      </fill>
    </dxf>
    <dxf>
      <font>
        <b/>
        <i val="0"/>
        <condense val="0"/>
        <extend val="0"/>
        <color indexed="9"/>
      </font>
      <fill>
        <patternFill>
          <bgColor indexed="10"/>
        </patternFill>
      </fill>
    </dxf>
    <dxf>
      <fill>
        <patternFill>
          <bgColor indexed="11"/>
        </patternFill>
      </fill>
    </dxf>
    <dxf>
      <font>
        <b/>
        <i val="0"/>
        <condense val="0"/>
        <extend val="0"/>
        <color indexed="9"/>
      </font>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ont>
        <b/>
        <i val="0"/>
        <condense val="0"/>
        <extend val="0"/>
      </font>
      <fill>
        <patternFill>
          <bgColor indexed="10"/>
        </patternFill>
      </fill>
    </dxf>
    <dxf>
      <fill>
        <patternFill>
          <bgColor indexed="11"/>
        </patternFill>
      </fill>
    </dxf>
    <dxf>
      <font>
        <b/>
        <i val="0"/>
        <condense val="0"/>
        <extend val="0"/>
      </font>
      <fill>
        <patternFill>
          <bgColor indexed="10"/>
        </patternFill>
      </fill>
    </dxf>
    <dxf>
      <fill>
        <patternFill>
          <bgColor indexed="11"/>
        </patternFill>
      </fill>
    </dxf>
    <dxf>
      <font>
        <b/>
        <i val="0"/>
        <condense val="0"/>
        <extend val="0"/>
      </font>
      <fill>
        <patternFill>
          <bgColor indexed="10"/>
        </patternFill>
      </fill>
    </dxf>
    <dxf>
      <fill>
        <patternFill>
          <bgColor indexed="41"/>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5" fmlaLink="Factors!$J$6" fmlaRange="Factors!$J4:$J5" val="0"/>
</file>

<file path=xl/ctrlProps/ctrlProp10.xml><?xml version="1.0" encoding="utf-8"?>
<formControlPr xmlns="http://schemas.microsoft.com/office/spreadsheetml/2009/9/main" objectType="Drop" dropLines="3" dropStyle="combo" dx="15" fmlaLink="Factors!$J$90" fmlaRange="Factors!$J88:$J89" sel="2" val="0"/>
</file>

<file path=xl/ctrlProps/ctrlProp11.xml><?xml version="1.0" encoding="utf-8"?>
<formControlPr xmlns="http://schemas.microsoft.com/office/spreadsheetml/2009/9/main" objectType="Drop" dropLines="2" dropStyle="combo" dx="15" fmlaLink="Factors!$J$97" fmlaRange="Factors!$J95:$J96" val="0"/>
</file>

<file path=xl/ctrlProps/ctrlProp12.xml><?xml version="1.0" encoding="utf-8"?>
<formControlPr xmlns="http://schemas.microsoft.com/office/spreadsheetml/2009/9/main" objectType="Drop" dropLines="2" dropStyle="combo" dx="15" fmlaLink="Factors!$J$80" fmlaRange="Factors!$J78:$J79" val="0"/>
</file>

<file path=xl/ctrlProps/ctrlProp13.xml><?xml version="1.0" encoding="utf-8"?>
<formControlPr xmlns="http://schemas.microsoft.com/office/spreadsheetml/2009/9/main" objectType="Drop" dropLines="2" dropStyle="combo" dx="15" fmlaLink="Factors!$J$93" fmlaRange="Factors!$J8:$J9" val="0"/>
</file>

<file path=xl/ctrlProps/ctrlProp14.xml><?xml version="1.0" encoding="utf-8"?>
<formControlPr xmlns="http://schemas.microsoft.com/office/spreadsheetml/2009/9/main" objectType="Drop" dropLines="2" dropStyle="combo" dx="15" fmlaLink="Factors!$J$72" fmlaRange="Factors!$J70:$J71" sel="2" val="0"/>
</file>

<file path=xl/ctrlProps/ctrlProp15.xml><?xml version="1.0" encoding="utf-8"?>
<formControlPr xmlns="http://schemas.microsoft.com/office/spreadsheetml/2009/9/main" objectType="Drop" dropLines="10" dropStyle="combo" dx="15" fmlaLink="Factors!$AE$14" fmlaRange="Factors!$AE$4:$AE$13" sel="4" val="0"/>
</file>

<file path=xl/ctrlProps/ctrlProp16.xml><?xml version="1.0" encoding="utf-8"?>
<formControlPr xmlns="http://schemas.microsoft.com/office/spreadsheetml/2009/9/main" objectType="Drop" dropLines="10" dropStyle="combo" dx="15" fmlaLink="Factors!$AE$11" fmlaRange="Factors!$AE4:$AE13" sel="2" val="0"/>
</file>

<file path=xl/ctrlProps/ctrlProp17.xml><?xml version="1.0" encoding="utf-8"?>
<formControlPr xmlns="http://schemas.microsoft.com/office/spreadsheetml/2009/9/main" objectType="Drop" dropLines="10" dropStyle="combo" dx="15" fmlaLink="Factors!$AE$34" fmlaRange="Factors!$AE4:$AE13" val="0"/>
</file>

<file path=xl/ctrlProps/ctrlProp18.xml><?xml version="1.0" encoding="utf-8"?>
<formControlPr xmlns="http://schemas.microsoft.com/office/spreadsheetml/2009/9/main" objectType="Drop" dropLines="2" dropStyle="combo" dx="15" fmlaLink="Factors!$AL$5" fmlaRange="Factors!$J8:$J9" val="0"/>
</file>

<file path=xl/ctrlProps/ctrlProp19.xml><?xml version="1.0" encoding="utf-8"?>
<formControlPr xmlns="http://schemas.microsoft.com/office/spreadsheetml/2009/9/main" objectType="Drop" dropLines="2" dropStyle="combo" dx="15" fmlaLink="Factors!$J$27" fmlaRange="Factors!$J25:$J26" val="0"/>
</file>

<file path=xl/ctrlProps/ctrlProp2.xml><?xml version="1.0" encoding="utf-8"?>
<formControlPr xmlns="http://schemas.microsoft.com/office/spreadsheetml/2009/9/main" objectType="Drop" dropLines="50" dropStyle="combo" dx="15" fmlaLink="Factors!$A66" fmlaRange="Factors!$B3:$B65" sel="22" val="21"/>
</file>

<file path=xl/ctrlProps/ctrlProp20.xml><?xml version="1.0" encoding="utf-8"?>
<formControlPr xmlns="http://schemas.microsoft.com/office/spreadsheetml/2009/9/main" objectType="Drop" dropLines="2" dropStyle="combo" dx="15" fmlaLink="Factors!$J$35" fmlaRange="Factors!$J33:$J34" val="0"/>
</file>

<file path=xl/ctrlProps/ctrlProp21.xml><?xml version="1.0" encoding="utf-8"?>
<formControlPr xmlns="http://schemas.microsoft.com/office/spreadsheetml/2009/9/main" objectType="Drop" dropLines="2" dropStyle="combo" dx="15" fmlaLink="Factors!$J$47" fmlaRange="Factors!$J45:$J46" val="0"/>
</file>

<file path=xl/ctrlProps/ctrlProp22.xml><?xml version="1.0" encoding="utf-8"?>
<formControlPr xmlns="http://schemas.microsoft.com/office/spreadsheetml/2009/9/main" objectType="Drop" dropLines="2" dropStyle="combo" dx="15" fmlaLink="Factors!$J$51" fmlaRange="Factors!$J49:$J50" val="0"/>
</file>

<file path=xl/ctrlProps/ctrlProp23.xml><?xml version="1.0" encoding="utf-8"?>
<formControlPr xmlns="http://schemas.microsoft.com/office/spreadsheetml/2009/9/main" objectType="Drop" dropLines="7" dropStyle="combo" dx="15" fmlaLink="Factors!$AE$23" fmlaRange="Factors!$AE16:$AE22" sel="6" val="0"/>
</file>

<file path=xl/ctrlProps/ctrlProp24.xml><?xml version="1.0" encoding="utf-8"?>
<formControlPr xmlns="http://schemas.microsoft.com/office/spreadsheetml/2009/9/main" objectType="Drop" dropLines="2" dropStyle="combo" dx="15" fmlaLink="Factors!$J$58" fmlaRange="Factors!$J8:$J9" sel="2" val="0"/>
</file>

<file path=xl/ctrlProps/ctrlProp25.xml><?xml version="1.0" encoding="utf-8"?>
<formControlPr xmlns="http://schemas.microsoft.com/office/spreadsheetml/2009/9/main" objectType="Drop" dropLines="12" dropStyle="combo" dx="15" fmlaLink="Factors!$E$36" fmlaRange="Factors!$E$4:$E$15" sel="5" val="0"/>
</file>

<file path=xl/ctrlProps/ctrlProp26.xml><?xml version="1.0" encoding="utf-8"?>
<formControlPr xmlns="http://schemas.microsoft.com/office/spreadsheetml/2009/9/main" objectType="Drop" dropLines="31" dropStyle="combo" dx="15" fmlaLink="Factors!$F$36" fmlaRange="Factors!$F$4:$F$34" sel="5" val="0"/>
</file>

<file path=xl/ctrlProps/ctrlProp27.xml><?xml version="1.0" encoding="utf-8"?>
<formControlPr xmlns="http://schemas.microsoft.com/office/spreadsheetml/2009/9/main" objectType="Drop" dropLines="12" dropStyle="combo" dx="15" fmlaLink="Factors!$E$37" fmlaRange="Factors!$E$4:$E$15" sel="11" val="0"/>
</file>

<file path=xl/ctrlProps/ctrlProp28.xml><?xml version="1.0" encoding="utf-8"?>
<formControlPr xmlns="http://schemas.microsoft.com/office/spreadsheetml/2009/9/main" objectType="Drop" dropLines="31" dropStyle="combo" dx="15" fmlaLink="Factors!$F$37" fmlaRange="Factors!$F$4:$F$34" sel="29" val="0"/>
</file>

<file path=xl/ctrlProps/ctrlProp29.xml><?xml version="1.0" encoding="utf-8"?>
<formControlPr xmlns="http://schemas.microsoft.com/office/spreadsheetml/2009/9/main" objectType="Drop" dropLines="2" dropStyle="combo" dx="15" fmlaLink="Factors!$J$105" fmlaRange="Factors!$J$103:$J$104" sel="2" val="0"/>
</file>

<file path=xl/ctrlProps/ctrlProp3.xml><?xml version="1.0" encoding="utf-8"?>
<formControlPr xmlns="http://schemas.microsoft.com/office/spreadsheetml/2009/9/main" objectType="Drop" dropLines="75" dropStyle="combo" dx="15" fmlaLink="Factors!$A67" fmlaRange="Factors!$B69:$B987" sel="53" val="52"/>
</file>

<file path=xl/ctrlProps/ctrlProp30.xml><?xml version="1.0" encoding="utf-8"?>
<formControlPr xmlns="http://schemas.microsoft.com/office/spreadsheetml/2009/9/main" objectType="Drop" dropLines="2" dropStyle="combo" dx="15" fmlaLink="Factors!$AL$4" fmlaRange="Factors!$J8:$J9" val="0"/>
</file>

<file path=xl/ctrlProps/ctrlProp31.xml><?xml version="1.0" encoding="utf-8"?>
<formControlPr xmlns="http://schemas.microsoft.com/office/spreadsheetml/2009/9/main" objectType="Drop" dropLines="2" dropStyle="combo" dx="15" fmlaLink="Factors!$J$109" fmlaRange="Factors!$J107:$J108" val="0"/>
</file>

<file path=xl/ctrlProps/ctrlProp32.xml><?xml version="1.0" encoding="utf-8"?>
<formControlPr xmlns="http://schemas.microsoft.com/office/spreadsheetml/2009/9/main" objectType="Drop" dropLines="3" dropStyle="combo" dx="15" fmlaLink="Factors!$V$14" fmlaRange="Factors!$V11:$V13" sel="2" val="0"/>
</file>

<file path=xl/ctrlProps/ctrlProp33.xml><?xml version="1.0" encoding="utf-8"?>
<formControlPr xmlns="http://schemas.microsoft.com/office/spreadsheetml/2009/9/main" objectType="Drop" dropLines="2" dropStyle="combo" dx="15" fmlaLink="Factors!$T13" fmlaRange="Factors!$T11:$T12" sel="2" val="0"/>
</file>

<file path=xl/ctrlProps/ctrlProp34.xml><?xml version="1.0" encoding="utf-8"?>
<formControlPr xmlns="http://schemas.microsoft.com/office/spreadsheetml/2009/9/main" objectType="Drop" dropLines="3" dropStyle="combo" dx="15" fmlaLink="Factors!$V$20" fmlaRange="Factors!$V11:$V13" sel="2" val="0"/>
</file>

<file path=xl/ctrlProps/ctrlProp35.xml><?xml version="1.0" encoding="utf-8"?>
<formControlPr xmlns="http://schemas.microsoft.com/office/spreadsheetml/2009/9/main" objectType="Drop" dropLines="3" dropStyle="combo" dx="15" fmlaLink="Factors!J67" fmlaRange="Factors!$J64:$J66" val="0"/>
</file>

<file path=xl/ctrlProps/ctrlProp36.xml><?xml version="1.0" encoding="utf-8"?>
<formControlPr xmlns="http://schemas.microsoft.com/office/spreadsheetml/2009/9/main" objectType="Drop" dropLines="2" dropStyle="combo" dx="15" fmlaLink="Factors!$J$62" fmlaRange="Factors!$J60:$J61" val="0"/>
</file>

<file path=xl/ctrlProps/ctrlProp37.xml><?xml version="1.0" encoding="utf-8"?>
<formControlPr xmlns="http://schemas.microsoft.com/office/spreadsheetml/2009/9/main" objectType="Drop" dropLines="2" dropStyle="combo" dx="15" fmlaLink="Factors!$AL$6" fmlaRange="Factors!$J8:$J9" sel="2" val="0"/>
</file>

<file path=xl/ctrlProps/ctrlProp38.xml><?xml version="1.0" encoding="utf-8"?>
<formControlPr xmlns="http://schemas.microsoft.com/office/spreadsheetml/2009/9/main" objectType="Drop" dropLines="2" dropStyle="combo" dx="15" fmlaLink="Factors!$AE$28" fmlaRange="Factors!$AE$26:$AE$27" sel="2" val="0"/>
</file>

<file path=xl/ctrlProps/ctrlProp39.xml><?xml version="1.0" encoding="utf-8"?>
<formControlPr xmlns="http://schemas.microsoft.com/office/spreadsheetml/2009/9/main" objectType="Drop" dropLines="2" dropStyle="combo" dx="15" fmlaLink="Factors!$J$10" fmlaRange="Factors!$J8:$J9" val="0"/>
</file>

<file path=xl/ctrlProps/ctrlProp4.xml><?xml version="1.0" encoding="utf-8"?>
<formControlPr xmlns="http://schemas.microsoft.com/office/spreadsheetml/2009/9/main" objectType="Drop" dropLines="2" dropStyle="combo" dx="15" fmlaLink="Factors!$J$23" fmlaRange="Factors!$J20:$J21" val="0"/>
</file>

<file path=xl/ctrlProps/ctrlProp40.xml><?xml version="1.0" encoding="utf-8"?>
<formControlPr xmlns="http://schemas.microsoft.com/office/spreadsheetml/2009/9/main" objectType="CheckBox" fmlaLink="Factors!P27" lockText="1"/>
</file>

<file path=xl/ctrlProps/ctrlProp41.xml><?xml version="1.0" encoding="utf-8"?>
<formControlPr xmlns="http://schemas.microsoft.com/office/spreadsheetml/2009/9/main" objectType="Drop" dropLines="3" dropStyle="combo" dx="15" fmlaLink="Factors!$Y$6" fmlaRange="Factors!$Y3:$Y5" val="0"/>
</file>

<file path=xl/ctrlProps/ctrlProp42.xml><?xml version="1.0" encoding="utf-8"?>
<formControlPr xmlns="http://schemas.microsoft.com/office/spreadsheetml/2009/9/main" objectType="Drop" dropLines="3" dropStyle="combo" dx="15" fmlaLink="Factors!$Z$6" fmlaRange="Factors!$Z3:$Z5" sel="2" val="0"/>
</file>

<file path=xl/ctrlProps/ctrlProp43.xml><?xml version="1.0" encoding="utf-8"?>
<formControlPr xmlns="http://schemas.microsoft.com/office/spreadsheetml/2009/9/main" objectType="Drop" dropLines="2" dropStyle="combo" dx="15" fmlaLink="Factors!$Y$40" fmlaRange="Factors!$Y$37:$Y38" val="0"/>
</file>

<file path=xl/ctrlProps/ctrlProp44.xml><?xml version="1.0" encoding="utf-8"?>
<formControlPr xmlns="http://schemas.microsoft.com/office/spreadsheetml/2009/9/main" objectType="Drop" dropLines="2" dropStyle="combo" dx="15" fmlaLink="Factors!$AA$40" fmlaRange="Factors!$AA$37:$AA38" val="0"/>
</file>

<file path=xl/ctrlProps/ctrlProp45.xml><?xml version="1.0" encoding="utf-8"?>
<formControlPr xmlns="http://schemas.microsoft.com/office/spreadsheetml/2009/9/main" objectType="Drop" dropLines="3" dropStyle="combo" dx="15" fmlaLink="Factors!$J$116" fmlaRange="Factors!$J111:$J113" val="0"/>
</file>

<file path=xl/ctrlProps/ctrlProp46.xml><?xml version="1.0" encoding="utf-8"?>
<formControlPr xmlns="http://schemas.microsoft.com/office/spreadsheetml/2009/9/main" objectType="Drop" dropLines="3" dropStyle="combo" dx="15" fmlaLink="Factors!$J$114" fmlaRange="Factors!$J111:$J113" val="0"/>
</file>

<file path=xl/ctrlProps/ctrlProp47.xml><?xml version="1.0" encoding="utf-8"?>
<formControlPr xmlns="http://schemas.microsoft.com/office/spreadsheetml/2009/9/main" objectType="Drop" dropLines="3" dropStyle="combo" dx="15" fmlaLink="Factors!$J$115" fmlaRange="Factors!$J111:$J113" val="0"/>
</file>

<file path=xl/ctrlProps/ctrlProp5.xml><?xml version="1.0" encoding="utf-8"?>
<formControlPr xmlns="http://schemas.microsoft.com/office/spreadsheetml/2009/9/main" objectType="Drop" dropLines="4" dropStyle="combo" dx="15" fmlaLink="Factors!$J$57" fmlaRange="Factors!$J53:$J56" val="0"/>
</file>

<file path=xl/ctrlProps/ctrlProp6.xml><?xml version="1.0" encoding="utf-8"?>
<formControlPr xmlns="http://schemas.microsoft.com/office/spreadsheetml/2009/9/main" objectType="Drop" dropLines="2" dropStyle="combo" dx="15" fmlaLink="Factors!$J$86" fmlaRange="Factors!$J83:$J84" val="0"/>
</file>

<file path=xl/ctrlProps/ctrlProp7.xml><?xml version="1.0" encoding="utf-8"?>
<formControlPr xmlns="http://schemas.microsoft.com/office/spreadsheetml/2009/9/main" objectType="Drop" dropLines="2" dropStyle="combo" dx="15" fmlaLink="Factors!$J$76" fmlaRange="Factors!$J74:$J75" val="0"/>
</file>

<file path=xl/ctrlProps/ctrlProp8.xml><?xml version="1.0" encoding="utf-8"?>
<formControlPr xmlns="http://schemas.microsoft.com/office/spreadsheetml/2009/9/main" objectType="Drop" dropLines="7" dropStyle="combo" dx="15" fmlaLink="Factors!$AE$32" fmlaRange="Factors!$AE4:$AE13" sel="0" val="0"/>
</file>

<file path=xl/ctrlProps/ctrlProp9.xml><?xml version="1.0" encoding="utf-8"?>
<formControlPr xmlns="http://schemas.microsoft.com/office/spreadsheetml/2009/9/main" objectType="Drop" dropLines="2" dropStyle="combo" dx="15" fmlaLink="Factors!$AL$12" fmlaRange="Factors!$J8:$J9"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647700</xdr:colOff>
          <xdr:row>5</xdr:row>
          <xdr:rowOff>142875</xdr:rowOff>
        </xdr:from>
        <xdr:to>
          <xdr:col>3</xdr:col>
          <xdr:colOff>2028825</xdr:colOff>
          <xdr:row>5</xdr:row>
          <xdr:rowOff>352425</xdr:rowOff>
        </xdr:to>
        <xdr:sp macro="" textlink="">
          <xdr:nvSpPr>
            <xdr:cNvPr id="3079" name="Drop Down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8</xdr:row>
          <xdr:rowOff>47625</xdr:rowOff>
        </xdr:from>
        <xdr:to>
          <xdr:col>3</xdr:col>
          <xdr:colOff>2028825</xdr:colOff>
          <xdr:row>8</xdr:row>
          <xdr:rowOff>247650</xdr:rowOff>
        </xdr:to>
        <xdr:sp macro="" textlink="">
          <xdr:nvSpPr>
            <xdr:cNvPr id="3080" name="Drop Down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9</xdr:row>
          <xdr:rowOff>47625</xdr:rowOff>
        </xdr:from>
        <xdr:to>
          <xdr:col>3</xdr:col>
          <xdr:colOff>1819275</xdr:colOff>
          <xdr:row>9</xdr:row>
          <xdr:rowOff>247650</xdr:rowOff>
        </xdr:to>
        <xdr:sp macro="" textlink="">
          <xdr:nvSpPr>
            <xdr:cNvPr id="3081" name="Drop Down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xdr:twoCellAnchor>
    <xdr:from>
      <xdr:col>6</xdr:col>
      <xdr:colOff>0</xdr:colOff>
      <xdr:row>14</xdr:row>
      <xdr:rowOff>114300</xdr:rowOff>
    </xdr:from>
    <xdr:to>
      <xdr:col>8</xdr:col>
      <xdr:colOff>609600</xdr:colOff>
      <xdr:row>20</xdr:row>
      <xdr:rowOff>57150</xdr:rowOff>
    </xdr:to>
    <xdr:sp macro="" textlink="">
      <xdr:nvSpPr>
        <xdr:cNvPr id="3093" name="AutoShape 21"/>
        <xdr:cNvSpPr>
          <a:spLocks noChangeArrowheads="1"/>
        </xdr:cNvSpPr>
      </xdr:nvSpPr>
      <xdr:spPr bwMode="auto">
        <a:xfrm>
          <a:off x="8477250" y="3562350"/>
          <a:ext cx="2124075" cy="1238250"/>
        </a:xfrm>
        <a:prstGeom prst="wedgeRectCallout">
          <a:avLst>
            <a:gd name="adj1" fmla="val -33231"/>
            <a:gd name="adj2" fmla="val 7323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Insert Explanation in this colored square/ column, if required by "Flag" in box to the left.  It will appear on the "Assessment Results" worksheet. (It does not matter if it is not all entirely visible on this worksheet)</a:t>
          </a: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31</xdr:row>
          <xdr:rowOff>104775</xdr:rowOff>
        </xdr:from>
        <xdr:to>
          <xdr:col>4</xdr:col>
          <xdr:colOff>952500</xdr:colOff>
          <xdr:row>31</xdr:row>
          <xdr:rowOff>381000</xdr:rowOff>
        </xdr:to>
        <xdr:sp macro="" textlink="">
          <xdr:nvSpPr>
            <xdr:cNvPr id="3114" name="Drop Down 42" hidden="1">
              <a:extLst>
                <a:ext uri="{63B3BB69-23CF-44E3-9099-C40C66FF867C}">
                  <a14:compatExt spid="_x0000_s3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2562225</xdr:colOff>
          <xdr:row>32</xdr:row>
          <xdr:rowOff>228600</xdr:rowOff>
        </xdr:from>
        <xdr:to>
          <xdr:col>4</xdr:col>
          <xdr:colOff>1076325</xdr:colOff>
          <xdr:row>32</xdr:row>
          <xdr:rowOff>495300</xdr:rowOff>
        </xdr:to>
        <xdr:sp macro="" textlink="">
          <xdr:nvSpPr>
            <xdr:cNvPr id="3126" name="Drop Down 54" hidden="1">
              <a:extLst>
                <a:ext uri="{63B3BB69-23CF-44E3-9099-C40C66FF867C}">
                  <a14:compatExt spid="_x0000_s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42</xdr:row>
          <xdr:rowOff>66675</xdr:rowOff>
        </xdr:from>
        <xdr:to>
          <xdr:col>4</xdr:col>
          <xdr:colOff>1028700</xdr:colOff>
          <xdr:row>42</xdr:row>
          <xdr:rowOff>314325</xdr:rowOff>
        </xdr:to>
        <xdr:sp macro="" textlink="">
          <xdr:nvSpPr>
            <xdr:cNvPr id="3127" name="Drop Down 55"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104775</xdr:rowOff>
        </xdr:from>
        <xdr:to>
          <xdr:col>4</xdr:col>
          <xdr:colOff>990600</xdr:colOff>
          <xdr:row>36</xdr:row>
          <xdr:rowOff>352425</xdr:rowOff>
        </xdr:to>
        <xdr:sp macro="" textlink="">
          <xdr:nvSpPr>
            <xdr:cNvPr id="3128" name="Drop Down 56" hidden="1">
              <a:extLst>
                <a:ext uri="{63B3BB69-23CF-44E3-9099-C40C66FF867C}">
                  <a14:compatExt spid="_x0000_s3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2667000</xdr:colOff>
          <xdr:row>36</xdr:row>
          <xdr:rowOff>0</xdr:rowOff>
        </xdr:from>
        <xdr:to>
          <xdr:col>20</xdr:col>
          <xdr:colOff>28575</xdr:colOff>
          <xdr:row>36</xdr:row>
          <xdr:rowOff>0</xdr:rowOff>
        </xdr:to>
        <xdr:sp macro="" textlink="">
          <xdr:nvSpPr>
            <xdr:cNvPr id="3129" name="Drop Down 57" hidden="1">
              <a:extLst>
                <a:ext uri="{63B3BB69-23CF-44E3-9099-C40C66FF867C}">
                  <a14:compatExt spid="_x0000_s3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38100</xdr:rowOff>
        </xdr:from>
        <xdr:to>
          <xdr:col>4</xdr:col>
          <xdr:colOff>1019175</xdr:colOff>
          <xdr:row>41</xdr:row>
          <xdr:rowOff>295275</xdr:rowOff>
        </xdr:to>
        <xdr:sp macro="" textlink="">
          <xdr:nvSpPr>
            <xdr:cNvPr id="3131" name="Drop Down 59" hidden="1">
              <a:extLst>
                <a:ext uri="{63B3BB69-23CF-44E3-9099-C40C66FF867C}">
                  <a14:compatExt spid="_x0000_s3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33</xdr:row>
          <xdr:rowOff>66675</xdr:rowOff>
        </xdr:from>
        <xdr:to>
          <xdr:col>4</xdr:col>
          <xdr:colOff>981075</xdr:colOff>
          <xdr:row>33</xdr:row>
          <xdr:rowOff>285750</xdr:rowOff>
        </xdr:to>
        <xdr:sp macro="" textlink="">
          <xdr:nvSpPr>
            <xdr:cNvPr id="3132" name="Drop Down 60" hidden="1">
              <a:extLst>
                <a:ext uri="{63B3BB69-23CF-44E3-9099-C40C66FF867C}">
                  <a14:compatExt spid="_x0000_s3132"/>
                </a:ext>
              </a:extLst>
            </xdr:cNvPr>
            <xdr:cNvSpPr/>
          </xdr:nvSpPr>
          <xdr:spPr>
            <a:xfrm>
              <a:off x="0" y="0"/>
              <a:ext cx="0" cy="0"/>
            </a:xfrm>
            <a:prstGeom prst="rect">
              <a:avLst/>
            </a:prstGeom>
          </xdr:spPr>
        </xdr:sp>
        <xdr:clientData/>
      </xdr:twoCellAnchor>
    </mc:Choice>
    <mc:Fallback/>
  </mc:AlternateContent>
  <xdr:twoCellAnchor>
    <xdr:from>
      <xdr:col>5</xdr:col>
      <xdr:colOff>295275</xdr:colOff>
      <xdr:row>3</xdr:row>
      <xdr:rowOff>0</xdr:rowOff>
    </xdr:from>
    <xdr:to>
      <xdr:col>8</xdr:col>
      <xdr:colOff>952500</xdr:colOff>
      <xdr:row>13</xdr:row>
      <xdr:rowOff>476250</xdr:rowOff>
    </xdr:to>
    <xdr:pic>
      <xdr:nvPicPr>
        <xdr:cNvPr id="3133" name="Picture 61" descr="peakofsea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533400"/>
          <a:ext cx="39719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161925</xdr:colOff>
          <xdr:row>44</xdr:row>
          <xdr:rowOff>200025</xdr:rowOff>
        </xdr:from>
        <xdr:to>
          <xdr:col>4</xdr:col>
          <xdr:colOff>1019175</xdr:colOff>
          <xdr:row>44</xdr:row>
          <xdr:rowOff>447675</xdr:rowOff>
        </xdr:to>
        <xdr:sp macro="" textlink="">
          <xdr:nvSpPr>
            <xdr:cNvPr id="3140" name="Drop Down 68" hidden="1">
              <a:extLst>
                <a:ext uri="{63B3BB69-23CF-44E3-9099-C40C66FF867C}">
                  <a14:compatExt spid="_x0000_s3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57150</xdr:rowOff>
        </xdr:from>
        <xdr:to>
          <xdr:col>4</xdr:col>
          <xdr:colOff>1019175</xdr:colOff>
          <xdr:row>43</xdr:row>
          <xdr:rowOff>304800</xdr:rowOff>
        </xdr:to>
        <xdr:sp macro="" textlink="">
          <xdr:nvSpPr>
            <xdr:cNvPr id="3142" name="Drop Down 70" hidden="1">
              <a:extLst>
                <a:ext uri="{63B3BB69-23CF-44E3-9099-C40C66FF867C}">
                  <a14:compatExt spid="_x0000_s31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190500</xdr:rowOff>
        </xdr:from>
        <xdr:to>
          <xdr:col>4</xdr:col>
          <xdr:colOff>981075</xdr:colOff>
          <xdr:row>47</xdr:row>
          <xdr:rowOff>438150</xdr:rowOff>
        </xdr:to>
        <xdr:sp macro="" textlink="">
          <xdr:nvSpPr>
            <xdr:cNvPr id="3143" name="Drop Down 71" hidden="1">
              <a:extLst>
                <a:ext uri="{63B3BB69-23CF-44E3-9099-C40C66FF867C}">
                  <a14:compatExt spid="_x0000_s3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48</xdr:row>
          <xdr:rowOff>142875</xdr:rowOff>
        </xdr:from>
        <xdr:to>
          <xdr:col>4</xdr:col>
          <xdr:colOff>990600</xdr:colOff>
          <xdr:row>48</xdr:row>
          <xdr:rowOff>390525</xdr:rowOff>
        </xdr:to>
        <xdr:sp macro="" textlink="">
          <xdr:nvSpPr>
            <xdr:cNvPr id="3144" name="Drop Down 72" hidden="1">
              <a:extLst>
                <a:ext uri="{63B3BB69-23CF-44E3-9099-C40C66FF867C}">
                  <a14:compatExt spid="_x0000_s3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37</xdr:row>
          <xdr:rowOff>142875</xdr:rowOff>
        </xdr:from>
        <xdr:to>
          <xdr:col>4</xdr:col>
          <xdr:colOff>1095375</xdr:colOff>
          <xdr:row>37</xdr:row>
          <xdr:rowOff>390525</xdr:rowOff>
        </xdr:to>
        <xdr:sp macro="" textlink="">
          <xdr:nvSpPr>
            <xdr:cNvPr id="3145" name="Drop Down 73" hidden="1">
              <a:extLst>
                <a:ext uri="{63B3BB69-23CF-44E3-9099-C40C66FF867C}">
                  <a14:compatExt spid="_x0000_s31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58</xdr:row>
          <xdr:rowOff>0</xdr:rowOff>
        </xdr:from>
        <xdr:to>
          <xdr:col>3</xdr:col>
          <xdr:colOff>0</xdr:colOff>
          <xdr:row>58</xdr:row>
          <xdr:rowOff>0</xdr:rowOff>
        </xdr:to>
        <xdr:sp macro="" textlink="">
          <xdr:nvSpPr>
            <xdr:cNvPr id="11267" name="Drop Down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1428750</xdr:colOff>
          <xdr:row>36</xdr:row>
          <xdr:rowOff>314325</xdr:rowOff>
        </xdr:from>
        <xdr:to>
          <xdr:col>5</xdr:col>
          <xdr:colOff>0</xdr:colOff>
          <xdr:row>36</xdr:row>
          <xdr:rowOff>619125</xdr:rowOff>
        </xdr:to>
        <xdr:sp macro="" textlink="">
          <xdr:nvSpPr>
            <xdr:cNvPr id="11268" name="Drop Down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xdr:row>
          <xdr:rowOff>114300</xdr:rowOff>
        </xdr:from>
        <xdr:to>
          <xdr:col>4</xdr:col>
          <xdr:colOff>981075</xdr:colOff>
          <xdr:row>40</xdr:row>
          <xdr:rowOff>361950</xdr:rowOff>
        </xdr:to>
        <xdr:sp macro="" textlink="">
          <xdr:nvSpPr>
            <xdr:cNvPr id="11269" name="Drop Down 5" hidden="1">
              <a:extLst>
                <a:ext uri="{63B3BB69-23CF-44E3-9099-C40C66FF867C}">
                  <a14:compatExt spid="_x0000_s112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42</xdr:row>
          <xdr:rowOff>219075</xdr:rowOff>
        </xdr:from>
        <xdr:to>
          <xdr:col>4</xdr:col>
          <xdr:colOff>981075</xdr:colOff>
          <xdr:row>42</xdr:row>
          <xdr:rowOff>466725</xdr:rowOff>
        </xdr:to>
        <xdr:sp macro="" textlink="">
          <xdr:nvSpPr>
            <xdr:cNvPr id="11270" name="Drop Down 6" hidden="1">
              <a:extLst>
                <a:ext uri="{63B3BB69-23CF-44E3-9099-C40C66FF867C}">
                  <a14:compatExt spid="_x0000_s11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43</xdr:row>
          <xdr:rowOff>9525</xdr:rowOff>
        </xdr:from>
        <xdr:to>
          <xdr:col>4</xdr:col>
          <xdr:colOff>981075</xdr:colOff>
          <xdr:row>43</xdr:row>
          <xdr:rowOff>257175</xdr:rowOff>
        </xdr:to>
        <xdr:sp macro="" textlink="">
          <xdr:nvSpPr>
            <xdr:cNvPr id="11271" name="Drop Down 7" hidden="1">
              <a:extLst>
                <a:ext uri="{63B3BB69-23CF-44E3-9099-C40C66FF867C}">
                  <a14:compatExt spid="_x0000_s112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47</xdr:row>
          <xdr:rowOff>28575</xdr:rowOff>
        </xdr:from>
        <xdr:to>
          <xdr:col>4</xdr:col>
          <xdr:colOff>1038225</xdr:colOff>
          <xdr:row>47</xdr:row>
          <xdr:rowOff>276225</xdr:rowOff>
        </xdr:to>
        <xdr:sp macro="" textlink="">
          <xdr:nvSpPr>
            <xdr:cNvPr id="11272" name="Drop Down 8" hidden="1">
              <a:extLst>
                <a:ext uri="{63B3BB69-23CF-44E3-9099-C40C66FF867C}">
                  <a14:compatExt spid="_x0000_s11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48</xdr:row>
          <xdr:rowOff>180975</xdr:rowOff>
        </xdr:from>
        <xdr:to>
          <xdr:col>4</xdr:col>
          <xdr:colOff>1038225</xdr:colOff>
          <xdr:row>48</xdr:row>
          <xdr:rowOff>428625</xdr:rowOff>
        </xdr:to>
        <xdr:sp macro="" textlink="">
          <xdr:nvSpPr>
            <xdr:cNvPr id="11273" name="Drop Down 9" hidden="1">
              <a:extLst>
                <a:ext uri="{63B3BB69-23CF-44E3-9099-C40C66FF867C}">
                  <a14:compatExt spid="_x0000_s11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53</xdr:row>
          <xdr:rowOff>28575</xdr:rowOff>
        </xdr:from>
        <xdr:to>
          <xdr:col>5</xdr:col>
          <xdr:colOff>28575</xdr:colOff>
          <xdr:row>53</xdr:row>
          <xdr:rowOff>266700</xdr:rowOff>
        </xdr:to>
        <xdr:sp macro="" textlink="">
          <xdr:nvSpPr>
            <xdr:cNvPr id="11274" name="Drop Down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57</xdr:row>
          <xdr:rowOff>66675</xdr:rowOff>
        </xdr:from>
        <xdr:to>
          <xdr:col>4</xdr:col>
          <xdr:colOff>1047750</xdr:colOff>
          <xdr:row>57</xdr:row>
          <xdr:rowOff>314325</xdr:rowOff>
        </xdr:to>
        <xdr:sp macro="" textlink="">
          <xdr:nvSpPr>
            <xdr:cNvPr id="11275" name="Drop Down 11" hidden="1">
              <a:extLst>
                <a:ext uri="{63B3BB69-23CF-44E3-9099-C40C66FF867C}">
                  <a14:compatExt spid="_x0000_s112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47625</xdr:rowOff>
        </xdr:from>
        <xdr:to>
          <xdr:col>4</xdr:col>
          <xdr:colOff>800100</xdr:colOff>
          <xdr:row>4</xdr:row>
          <xdr:rowOff>257175</xdr:rowOff>
        </xdr:to>
        <xdr:sp macro="" textlink="">
          <xdr:nvSpPr>
            <xdr:cNvPr id="11276" name="Drop Down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4</xdr:row>
          <xdr:rowOff>66675</xdr:rowOff>
        </xdr:from>
        <xdr:to>
          <xdr:col>5</xdr:col>
          <xdr:colOff>209550</xdr:colOff>
          <xdr:row>4</xdr:row>
          <xdr:rowOff>276225</xdr:rowOff>
        </xdr:to>
        <xdr:sp macro="" textlink="">
          <xdr:nvSpPr>
            <xdr:cNvPr id="11277" name="Drop Down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304800</xdr:rowOff>
        </xdr:from>
        <xdr:to>
          <xdr:col>4</xdr:col>
          <xdr:colOff>809625</xdr:colOff>
          <xdr:row>5</xdr:row>
          <xdr:rowOff>161925</xdr:rowOff>
        </xdr:to>
        <xdr:sp macro="" textlink="">
          <xdr:nvSpPr>
            <xdr:cNvPr id="11278" name="Drop Down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4</xdr:row>
          <xdr:rowOff>304800</xdr:rowOff>
        </xdr:from>
        <xdr:to>
          <xdr:col>5</xdr:col>
          <xdr:colOff>219075</xdr:colOff>
          <xdr:row>5</xdr:row>
          <xdr:rowOff>161925</xdr:rowOff>
        </xdr:to>
        <xdr:sp macro="" textlink="">
          <xdr:nvSpPr>
            <xdr:cNvPr id="11279" name="Drop Down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xdr:twoCellAnchor>
    <xdr:from>
      <xdr:col>5</xdr:col>
      <xdr:colOff>419100</xdr:colOff>
      <xdr:row>15</xdr:row>
      <xdr:rowOff>47625</xdr:rowOff>
    </xdr:from>
    <xdr:to>
      <xdr:col>8</xdr:col>
      <xdr:colOff>1057275</xdr:colOff>
      <xdr:row>19</xdr:row>
      <xdr:rowOff>266700</xdr:rowOff>
    </xdr:to>
    <xdr:sp macro="" textlink="">
      <xdr:nvSpPr>
        <xdr:cNvPr id="11282" name="AutoShape 18"/>
        <xdr:cNvSpPr>
          <a:spLocks noChangeArrowheads="1"/>
        </xdr:cNvSpPr>
      </xdr:nvSpPr>
      <xdr:spPr bwMode="auto">
        <a:xfrm>
          <a:off x="7134225" y="4248150"/>
          <a:ext cx="3733800" cy="1181100"/>
        </a:xfrm>
        <a:prstGeom prst="wedgeRectCallout">
          <a:avLst>
            <a:gd name="adj1" fmla="val -57653"/>
            <a:gd name="adj2" fmla="val 2742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sz="1000" b="0" i="0" u="none" strike="noStrike" baseline="0">
              <a:solidFill>
                <a:srgbClr val="000000"/>
              </a:solidFill>
              <a:latin typeface="Arial"/>
              <a:cs typeface="Arial"/>
            </a:rPr>
            <a:t>Note: High or Medium Consequence sites trigger a check on Punchthrough going onto location: calculations to be used rather than estimates of Survivability: and a check against scour or sliding on location for mat units.  If mitigations exist that downrates the consequence, then type "downrated" instead of the number to indicate there "was" a consequence that is downrated and the number will reduce to the default addition of other consequences</a:t>
          </a:r>
        </a:p>
      </xdr:txBody>
    </xdr:sp>
    <xdr:clientData/>
  </xdr:twoCellAnchor>
  <xdr:twoCellAnchor>
    <xdr:from>
      <xdr:col>5</xdr:col>
      <xdr:colOff>390525</xdr:colOff>
      <xdr:row>25</xdr:row>
      <xdr:rowOff>66675</xdr:rowOff>
    </xdr:from>
    <xdr:to>
      <xdr:col>8</xdr:col>
      <xdr:colOff>1028700</xdr:colOff>
      <xdr:row>27</xdr:row>
      <xdr:rowOff>142875</xdr:rowOff>
    </xdr:to>
    <xdr:sp macro="" textlink="">
      <xdr:nvSpPr>
        <xdr:cNvPr id="11284" name="AutoShape 20"/>
        <xdr:cNvSpPr>
          <a:spLocks noChangeArrowheads="1"/>
        </xdr:cNvSpPr>
      </xdr:nvSpPr>
      <xdr:spPr bwMode="auto">
        <a:xfrm>
          <a:off x="7105650" y="7172325"/>
          <a:ext cx="3733800" cy="438150"/>
        </a:xfrm>
        <a:prstGeom prst="wedgeRectCallout">
          <a:avLst>
            <a:gd name="adj1" fmla="val -57653"/>
            <a:gd name="adj2" fmla="val 869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As above, type in "downrated"  if mitigating factors presented in  the Explanation provide for downgrading of risk from criteria set.</a:t>
          </a:r>
        </a:p>
      </xdr:txBody>
    </xdr:sp>
    <xdr:clientData/>
  </xdr:twoCellAnchor>
  <mc:AlternateContent xmlns:mc="http://schemas.openxmlformats.org/markup-compatibility/2006">
    <mc:Choice xmlns:a14="http://schemas.microsoft.com/office/drawing/2010/main" Requires="a14">
      <xdr:twoCellAnchor>
        <xdr:from>
          <xdr:col>4</xdr:col>
          <xdr:colOff>114300</xdr:colOff>
          <xdr:row>53</xdr:row>
          <xdr:rowOff>333375</xdr:rowOff>
        </xdr:from>
        <xdr:to>
          <xdr:col>4</xdr:col>
          <xdr:colOff>1143000</xdr:colOff>
          <xdr:row>53</xdr:row>
          <xdr:rowOff>571500</xdr:rowOff>
        </xdr:to>
        <xdr:sp macro="" textlink="">
          <xdr:nvSpPr>
            <xdr:cNvPr id="11285" name="Drop Down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41</xdr:row>
          <xdr:rowOff>123825</xdr:rowOff>
        </xdr:from>
        <xdr:to>
          <xdr:col>4</xdr:col>
          <xdr:colOff>990600</xdr:colOff>
          <xdr:row>41</xdr:row>
          <xdr:rowOff>371475</xdr:rowOff>
        </xdr:to>
        <xdr:sp macro="" textlink="">
          <xdr:nvSpPr>
            <xdr:cNvPr id="11286" name="Drop Down 22" hidden="1">
              <a:extLst>
                <a:ext uri="{63B3BB69-23CF-44E3-9099-C40C66FF867C}">
                  <a14:compatExt spid="_x0000_s11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43</xdr:row>
          <xdr:rowOff>295275</xdr:rowOff>
        </xdr:from>
        <xdr:to>
          <xdr:col>4</xdr:col>
          <xdr:colOff>981075</xdr:colOff>
          <xdr:row>43</xdr:row>
          <xdr:rowOff>542925</xdr:rowOff>
        </xdr:to>
        <xdr:sp macro="" textlink="">
          <xdr:nvSpPr>
            <xdr:cNvPr id="11287" name="Drop Down 23" hidden="1">
              <a:extLst>
                <a:ext uri="{63B3BB69-23CF-44E3-9099-C40C66FF867C}">
                  <a14:compatExt spid="_x0000_s11287"/>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36</xdr:row>
          <xdr:rowOff>457200</xdr:rowOff>
        </xdr:from>
        <xdr:to>
          <xdr:col>2</xdr:col>
          <xdr:colOff>1143000</xdr:colOff>
          <xdr:row>36</xdr:row>
          <xdr:rowOff>723900</xdr:rowOff>
        </xdr:to>
        <xdr:sp macro="" textlink="">
          <xdr:nvSpPr>
            <xdr:cNvPr id="4100" name="Drop Down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36</xdr:row>
          <xdr:rowOff>142875</xdr:rowOff>
        </xdr:from>
        <xdr:to>
          <xdr:col>2</xdr:col>
          <xdr:colOff>1143000</xdr:colOff>
          <xdr:row>36</xdr:row>
          <xdr:rowOff>400050</xdr:rowOff>
        </xdr:to>
        <xdr:sp macro="" textlink="">
          <xdr:nvSpPr>
            <xdr:cNvPr id="4101" name="Drop Down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44</xdr:row>
          <xdr:rowOff>219075</xdr:rowOff>
        </xdr:from>
        <xdr:to>
          <xdr:col>5</xdr:col>
          <xdr:colOff>1181100</xdr:colOff>
          <xdr:row>45</xdr:row>
          <xdr:rowOff>257175</xdr:rowOff>
        </xdr:to>
        <xdr:sp macro="" textlink="">
          <xdr:nvSpPr>
            <xdr:cNvPr id="4106" name="Drop Down 10" hidden="1">
              <a:extLst>
                <a:ext uri="{63B3BB69-23CF-44E3-9099-C40C66FF867C}">
                  <a14:compatExt spid="_x0000_s4106"/>
                </a:ext>
              </a:extLst>
            </xdr:cNvPr>
            <xdr:cNvSpPr/>
          </xdr:nvSpPr>
          <xdr:spPr>
            <a:xfrm>
              <a:off x="0" y="0"/>
              <a:ext cx="0" cy="0"/>
            </a:xfrm>
            <a:prstGeom prst="rect">
              <a:avLst/>
            </a:prstGeom>
          </xdr:spPr>
        </xdr:sp>
        <xdr:clientData fLocksWithSheet="0"/>
      </xdr:twoCellAnchor>
    </mc:Choice>
    <mc:Fallback/>
  </mc:AlternateContent>
  <xdr:twoCellAnchor>
    <xdr:from>
      <xdr:col>3</xdr:col>
      <xdr:colOff>114300</xdr:colOff>
      <xdr:row>3</xdr:row>
      <xdr:rowOff>0</xdr:rowOff>
    </xdr:from>
    <xdr:to>
      <xdr:col>6</xdr:col>
      <xdr:colOff>542925</xdr:colOff>
      <xdr:row>6</xdr:row>
      <xdr:rowOff>9525</xdr:rowOff>
    </xdr:to>
    <xdr:sp macro="" textlink="">
      <xdr:nvSpPr>
        <xdr:cNvPr id="4114" name="AutoShape 18"/>
        <xdr:cNvSpPr>
          <a:spLocks noChangeArrowheads="1"/>
        </xdr:cNvSpPr>
      </xdr:nvSpPr>
      <xdr:spPr bwMode="auto">
        <a:xfrm>
          <a:off x="4619625" y="533400"/>
          <a:ext cx="4486275" cy="828675"/>
        </a:xfrm>
        <a:prstGeom prst="wedgeRectCallout">
          <a:avLst>
            <a:gd name="adj1" fmla="val -19491"/>
            <a:gd name="adj2" fmla="val 5153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worksheet's job is to develop the appropriate airgap, API 95J, or API Int-Met and to interrogate the various standards for wave height, wind speed, and current parameters from API 95J, API Int-Met and GOM Annex. If Site Specific numbers are available it requires you fill in those numbers here. Int-Met data is provided for comparison purposes only. </a:t>
          </a:r>
        </a:p>
      </xdr:txBody>
    </xdr:sp>
    <xdr:clientData/>
  </xdr:twoCellAnchor>
  <xdr:twoCellAnchor>
    <xdr:from>
      <xdr:col>3</xdr:col>
      <xdr:colOff>85725</xdr:colOff>
      <xdr:row>18</xdr:row>
      <xdr:rowOff>85725</xdr:rowOff>
    </xdr:from>
    <xdr:to>
      <xdr:col>3</xdr:col>
      <xdr:colOff>485775</xdr:colOff>
      <xdr:row>18</xdr:row>
      <xdr:rowOff>85725</xdr:rowOff>
    </xdr:to>
    <xdr:sp macro="" textlink="">
      <xdr:nvSpPr>
        <xdr:cNvPr id="4115" name="Line 19"/>
        <xdr:cNvSpPr>
          <a:spLocks noChangeShapeType="1"/>
        </xdr:cNvSpPr>
      </xdr:nvSpPr>
      <xdr:spPr bwMode="auto">
        <a:xfrm>
          <a:off x="4591050" y="5076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85725</xdr:colOff>
      <xdr:row>28</xdr:row>
      <xdr:rowOff>123825</xdr:rowOff>
    </xdr:from>
    <xdr:to>
      <xdr:col>3</xdr:col>
      <xdr:colOff>485775</xdr:colOff>
      <xdr:row>28</xdr:row>
      <xdr:rowOff>123825</xdr:rowOff>
    </xdr:to>
    <xdr:sp macro="" textlink="">
      <xdr:nvSpPr>
        <xdr:cNvPr id="4117" name="Line 21"/>
        <xdr:cNvSpPr>
          <a:spLocks noChangeShapeType="1"/>
        </xdr:cNvSpPr>
      </xdr:nvSpPr>
      <xdr:spPr bwMode="auto">
        <a:xfrm>
          <a:off x="4591050" y="6981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95250</xdr:colOff>
      <xdr:row>34</xdr:row>
      <xdr:rowOff>66675</xdr:rowOff>
    </xdr:from>
    <xdr:to>
      <xdr:col>3</xdr:col>
      <xdr:colOff>495300</xdr:colOff>
      <xdr:row>34</xdr:row>
      <xdr:rowOff>66675</xdr:rowOff>
    </xdr:to>
    <xdr:sp macro="" textlink="">
      <xdr:nvSpPr>
        <xdr:cNvPr id="4119" name="Line 23"/>
        <xdr:cNvSpPr>
          <a:spLocks noChangeShapeType="1"/>
        </xdr:cNvSpPr>
      </xdr:nvSpPr>
      <xdr:spPr bwMode="auto">
        <a:xfrm>
          <a:off x="4600575" y="8343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1057275</xdr:colOff>
      <xdr:row>6</xdr:row>
      <xdr:rowOff>152400</xdr:rowOff>
    </xdr:from>
    <xdr:to>
      <xdr:col>5</xdr:col>
      <xdr:colOff>838200</xdr:colOff>
      <xdr:row>13</xdr:row>
      <xdr:rowOff>28575</xdr:rowOff>
    </xdr:to>
    <xdr:sp macro="" textlink="">
      <xdr:nvSpPr>
        <xdr:cNvPr id="4121" name="AutoShape 25"/>
        <xdr:cNvSpPr>
          <a:spLocks noChangeArrowheads="1"/>
        </xdr:cNvSpPr>
      </xdr:nvSpPr>
      <xdr:spPr bwMode="auto">
        <a:xfrm>
          <a:off x="6172200" y="1504950"/>
          <a:ext cx="1857375" cy="2019300"/>
        </a:xfrm>
        <a:prstGeom prst="wedgeRectCallout">
          <a:avLst>
            <a:gd name="adj1" fmla="val 47958"/>
            <a:gd name="adj2" fmla="val 7956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Arial"/>
              <a:cs typeface="Arial"/>
            </a:rPr>
            <a:t>P</a:t>
          </a:r>
          <a:r>
            <a:rPr lang="en-US" sz="1000" b="1" i="0" u="none" strike="noStrike" baseline="0">
              <a:solidFill>
                <a:srgbClr val="000000"/>
              </a:solidFill>
              <a:latin typeface="Arial"/>
              <a:cs typeface="Arial"/>
            </a:rPr>
            <a:t>lease NOTE WARNING: </a:t>
          </a:r>
        </a:p>
        <a:p>
          <a:pPr algn="l" rtl="0">
            <a:defRPr sz="1000"/>
          </a:pPr>
          <a:r>
            <a:rPr lang="en-US" sz="1000" b="1" i="0" u="none" strike="noStrike" baseline="0">
              <a:solidFill>
                <a:srgbClr val="000000"/>
              </a:solidFill>
              <a:latin typeface="Arial"/>
              <a:cs typeface="Arial"/>
            </a:rPr>
            <a:t>The numbers generated for the GoM Annex and API Int-Met need to be verified for correctness and accuracy. They are produced by curve fitting to the charts within these documents which should be referenced for correctness and change as appropriate.</a:t>
          </a: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3</xdr:col>
      <xdr:colOff>38100</xdr:colOff>
      <xdr:row>38</xdr:row>
      <xdr:rowOff>76200</xdr:rowOff>
    </xdr:from>
    <xdr:to>
      <xdr:col>3</xdr:col>
      <xdr:colOff>571500</xdr:colOff>
      <xdr:row>38</xdr:row>
      <xdr:rowOff>76200</xdr:rowOff>
    </xdr:to>
    <xdr:sp macro="" textlink="">
      <xdr:nvSpPr>
        <xdr:cNvPr id="4122" name="Line 26"/>
        <xdr:cNvSpPr>
          <a:spLocks noChangeShapeType="1"/>
        </xdr:cNvSpPr>
      </xdr:nvSpPr>
      <xdr:spPr bwMode="auto">
        <a:xfrm>
          <a:off x="4543425" y="974407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1228725</xdr:colOff>
          <xdr:row>26</xdr:row>
          <xdr:rowOff>38100</xdr:rowOff>
        </xdr:from>
        <xdr:to>
          <xdr:col>1</xdr:col>
          <xdr:colOff>1762125</xdr:colOff>
          <xdr:row>26</xdr:row>
          <xdr:rowOff>238125</xdr:rowOff>
        </xdr:to>
        <xdr:sp macro="" textlink="">
          <xdr:nvSpPr>
            <xdr:cNvPr id="4129" name="Drop Down 33" hidden="1">
              <a:extLst>
                <a:ext uri="{63B3BB69-23CF-44E3-9099-C40C66FF867C}">
                  <a14:compatExt spid="_x0000_s4129"/>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36</xdr:row>
          <xdr:rowOff>57150</xdr:rowOff>
        </xdr:from>
        <xdr:to>
          <xdr:col>1</xdr:col>
          <xdr:colOff>1238250</xdr:colOff>
          <xdr:row>36</xdr:row>
          <xdr:rowOff>266700</xdr:rowOff>
        </xdr:to>
        <xdr:sp macro="" textlink="">
          <xdr:nvSpPr>
            <xdr:cNvPr id="8223" name="Drop Down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22</xdr:row>
          <xdr:rowOff>47625</xdr:rowOff>
        </xdr:from>
        <xdr:to>
          <xdr:col>1</xdr:col>
          <xdr:colOff>1428750</xdr:colOff>
          <xdr:row>22</xdr:row>
          <xdr:rowOff>247650</xdr:rowOff>
        </xdr:to>
        <xdr:sp macro="" textlink="">
          <xdr:nvSpPr>
            <xdr:cNvPr id="8233" name="Drop Down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21</xdr:row>
          <xdr:rowOff>85725</xdr:rowOff>
        </xdr:from>
        <xdr:to>
          <xdr:col>1</xdr:col>
          <xdr:colOff>1514475</xdr:colOff>
          <xdr:row>21</xdr:row>
          <xdr:rowOff>295275</xdr:rowOff>
        </xdr:to>
        <xdr:sp macro="" textlink="">
          <xdr:nvSpPr>
            <xdr:cNvPr id="8234" name="Drop Down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xdr:twoCellAnchor>
    <xdr:from>
      <xdr:col>1</xdr:col>
      <xdr:colOff>1562100</xdr:colOff>
      <xdr:row>29</xdr:row>
      <xdr:rowOff>161925</xdr:rowOff>
    </xdr:from>
    <xdr:to>
      <xdr:col>2</xdr:col>
      <xdr:colOff>923925</xdr:colOff>
      <xdr:row>29</xdr:row>
      <xdr:rowOff>161925</xdr:rowOff>
    </xdr:to>
    <xdr:sp macro="" textlink="">
      <xdr:nvSpPr>
        <xdr:cNvPr id="8241" name="Line 49"/>
        <xdr:cNvSpPr>
          <a:spLocks noChangeShapeType="1"/>
        </xdr:cNvSpPr>
      </xdr:nvSpPr>
      <xdr:spPr bwMode="auto">
        <a:xfrm>
          <a:off x="4562475" y="10696575"/>
          <a:ext cx="101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295275</xdr:colOff>
      <xdr:row>17</xdr:row>
      <xdr:rowOff>285750</xdr:rowOff>
    </xdr:from>
    <xdr:to>
      <xdr:col>1</xdr:col>
      <xdr:colOff>1314450</xdr:colOff>
      <xdr:row>17</xdr:row>
      <xdr:rowOff>285750</xdr:rowOff>
    </xdr:to>
    <xdr:sp macro="" textlink="">
      <xdr:nvSpPr>
        <xdr:cNvPr id="8254" name="Line 62"/>
        <xdr:cNvSpPr>
          <a:spLocks noChangeShapeType="1"/>
        </xdr:cNvSpPr>
      </xdr:nvSpPr>
      <xdr:spPr bwMode="auto">
        <a:xfrm>
          <a:off x="3295650" y="5991225"/>
          <a:ext cx="101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295275</xdr:colOff>
      <xdr:row>8</xdr:row>
      <xdr:rowOff>66675</xdr:rowOff>
    </xdr:from>
    <xdr:to>
      <xdr:col>1</xdr:col>
      <xdr:colOff>1314450</xdr:colOff>
      <xdr:row>8</xdr:row>
      <xdr:rowOff>66675</xdr:rowOff>
    </xdr:to>
    <xdr:sp macro="" textlink="">
      <xdr:nvSpPr>
        <xdr:cNvPr id="8256" name="Line 64"/>
        <xdr:cNvSpPr>
          <a:spLocks noChangeShapeType="1"/>
        </xdr:cNvSpPr>
      </xdr:nvSpPr>
      <xdr:spPr bwMode="auto">
        <a:xfrm>
          <a:off x="3295650" y="1895475"/>
          <a:ext cx="101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10</xdr:row>
      <xdr:rowOff>123825</xdr:rowOff>
    </xdr:from>
    <xdr:to>
      <xdr:col>1</xdr:col>
      <xdr:colOff>1400175</xdr:colOff>
      <xdr:row>10</xdr:row>
      <xdr:rowOff>123825</xdr:rowOff>
    </xdr:to>
    <xdr:sp macro="" textlink="">
      <xdr:nvSpPr>
        <xdr:cNvPr id="8257" name="Line 65"/>
        <xdr:cNvSpPr>
          <a:spLocks noChangeShapeType="1"/>
        </xdr:cNvSpPr>
      </xdr:nvSpPr>
      <xdr:spPr bwMode="auto">
        <a:xfrm>
          <a:off x="3381375" y="2924175"/>
          <a:ext cx="101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238125</xdr:colOff>
      <xdr:row>11</xdr:row>
      <xdr:rowOff>285750</xdr:rowOff>
    </xdr:from>
    <xdr:to>
      <xdr:col>2</xdr:col>
      <xdr:colOff>1257300</xdr:colOff>
      <xdr:row>11</xdr:row>
      <xdr:rowOff>285750</xdr:rowOff>
    </xdr:to>
    <xdr:sp macro="" textlink="">
      <xdr:nvSpPr>
        <xdr:cNvPr id="8258" name="Line 66"/>
        <xdr:cNvSpPr>
          <a:spLocks noChangeShapeType="1"/>
        </xdr:cNvSpPr>
      </xdr:nvSpPr>
      <xdr:spPr bwMode="auto">
        <a:xfrm>
          <a:off x="4895850" y="3667125"/>
          <a:ext cx="101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3028950</xdr:colOff>
      <xdr:row>76</xdr:row>
      <xdr:rowOff>114300</xdr:rowOff>
    </xdr:from>
    <xdr:to>
      <xdr:col>3</xdr:col>
      <xdr:colOff>4048125</xdr:colOff>
      <xdr:row>76</xdr:row>
      <xdr:rowOff>114300</xdr:rowOff>
    </xdr:to>
    <xdr:sp macro="" textlink="">
      <xdr:nvSpPr>
        <xdr:cNvPr id="8259" name="Line 67"/>
        <xdr:cNvSpPr>
          <a:spLocks noChangeShapeType="1"/>
        </xdr:cNvSpPr>
      </xdr:nvSpPr>
      <xdr:spPr bwMode="auto">
        <a:xfrm>
          <a:off x="9220200" y="20031075"/>
          <a:ext cx="101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895350</xdr:colOff>
      <xdr:row>0</xdr:row>
      <xdr:rowOff>0</xdr:rowOff>
    </xdr:from>
    <xdr:to>
      <xdr:col>3</xdr:col>
      <xdr:colOff>3552825</xdr:colOff>
      <xdr:row>2</xdr:row>
      <xdr:rowOff>57150</xdr:rowOff>
    </xdr:to>
    <xdr:sp macro="" textlink="">
      <xdr:nvSpPr>
        <xdr:cNvPr id="8261" name="AutoShape 69"/>
        <xdr:cNvSpPr>
          <a:spLocks noChangeArrowheads="1"/>
        </xdr:cNvSpPr>
      </xdr:nvSpPr>
      <xdr:spPr bwMode="auto">
        <a:xfrm>
          <a:off x="7086600" y="0"/>
          <a:ext cx="2657475" cy="638175"/>
        </a:xfrm>
        <a:prstGeom prst="wedgeRectCallout">
          <a:avLst>
            <a:gd name="adj1" fmla="val -32796"/>
            <a:gd name="adj2" fmla="val 6044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Many of the items on this worksheet are input from other worksheets, and assembled on this page as a reminder of answers given elsewhere related to Geotech matters.</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19</xdr:row>
          <xdr:rowOff>371475</xdr:rowOff>
        </xdr:from>
        <xdr:to>
          <xdr:col>1</xdr:col>
          <xdr:colOff>828675</xdr:colOff>
          <xdr:row>19</xdr:row>
          <xdr:rowOff>581025</xdr:rowOff>
        </xdr:to>
        <xdr:sp macro="" textlink="">
          <xdr:nvSpPr>
            <xdr:cNvPr id="6153" name="Drop Down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1295400</xdr:colOff>
          <xdr:row>41</xdr:row>
          <xdr:rowOff>0</xdr:rowOff>
        </xdr:from>
        <xdr:to>
          <xdr:col>4</xdr:col>
          <xdr:colOff>609600</xdr:colOff>
          <xdr:row>41</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57150</xdr:rowOff>
        </xdr:from>
        <xdr:to>
          <xdr:col>5</xdr:col>
          <xdr:colOff>0</xdr:colOff>
          <xdr:row>25</xdr:row>
          <xdr:rowOff>304800</xdr:rowOff>
        </xdr:to>
        <xdr:sp macro="" textlink="">
          <xdr:nvSpPr>
            <xdr:cNvPr id="6160" name="Drop Down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57150</xdr:rowOff>
        </xdr:from>
        <xdr:to>
          <xdr:col>6</xdr:col>
          <xdr:colOff>0</xdr:colOff>
          <xdr:row>25</xdr:row>
          <xdr:rowOff>295275</xdr:rowOff>
        </xdr:to>
        <xdr:sp macro="" textlink="">
          <xdr:nvSpPr>
            <xdr:cNvPr id="6163" name="Drop Down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35</xdr:row>
          <xdr:rowOff>114300</xdr:rowOff>
        </xdr:from>
        <xdr:to>
          <xdr:col>6</xdr:col>
          <xdr:colOff>1304925</xdr:colOff>
          <xdr:row>35</xdr:row>
          <xdr:rowOff>371475</xdr:rowOff>
        </xdr:to>
        <xdr:sp macro="" textlink="">
          <xdr:nvSpPr>
            <xdr:cNvPr id="6173" name="Drop Down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35</xdr:row>
          <xdr:rowOff>104775</xdr:rowOff>
        </xdr:from>
        <xdr:to>
          <xdr:col>7</xdr:col>
          <xdr:colOff>1066800</xdr:colOff>
          <xdr:row>35</xdr:row>
          <xdr:rowOff>361950</xdr:rowOff>
        </xdr:to>
        <xdr:sp macro="" textlink="">
          <xdr:nvSpPr>
            <xdr:cNvPr id="6175" name="Drop Down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8</xdr:row>
          <xdr:rowOff>95250</xdr:rowOff>
        </xdr:from>
        <xdr:to>
          <xdr:col>4</xdr:col>
          <xdr:colOff>800100</xdr:colOff>
          <xdr:row>8</xdr:row>
          <xdr:rowOff>295275</xdr:rowOff>
        </xdr:to>
        <xdr:sp macro="" textlink="">
          <xdr:nvSpPr>
            <xdr:cNvPr id="14337" name="Drop Down 1" hidden="1">
              <a:extLst>
                <a:ext uri="{63B3BB69-23CF-44E3-9099-C40C66FF867C}">
                  <a14:compatExt spid="_x0000_s143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xdr:row>
          <xdr:rowOff>57150</xdr:rowOff>
        </xdr:from>
        <xdr:to>
          <xdr:col>4</xdr:col>
          <xdr:colOff>819150</xdr:colOff>
          <xdr:row>6</xdr:row>
          <xdr:rowOff>257175</xdr:rowOff>
        </xdr:to>
        <xdr:sp macro="" textlink="">
          <xdr:nvSpPr>
            <xdr:cNvPr id="14338" name="Drop Down 2" hidden="1">
              <a:extLst>
                <a:ext uri="{63B3BB69-23CF-44E3-9099-C40C66FF867C}">
                  <a14:compatExt spid="_x0000_s143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xdr:row>
          <xdr:rowOff>180975</xdr:rowOff>
        </xdr:from>
        <xdr:to>
          <xdr:col>4</xdr:col>
          <xdr:colOff>819150</xdr:colOff>
          <xdr:row>7</xdr:row>
          <xdr:rowOff>361950</xdr:rowOff>
        </xdr:to>
        <xdr:sp macro="" textlink="">
          <xdr:nvSpPr>
            <xdr:cNvPr id="14339" name="Drop Down 3" hidden="1">
              <a:extLst>
                <a:ext uri="{63B3BB69-23CF-44E3-9099-C40C66FF867C}">
                  <a14:compatExt spid="_x0000_s14339"/>
                </a:ext>
              </a:extLst>
            </xdr:cNvPr>
            <xdr:cNvSpPr/>
          </xdr:nvSpPr>
          <xdr:spPr>
            <a:xfrm>
              <a:off x="0" y="0"/>
              <a:ext cx="0" cy="0"/>
            </a:xfrm>
            <a:prstGeom prst="rect">
              <a:avLst/>
            </a:prstGeom>
          </xdr:spPr>
        </xdr:sp>
        <xdr:clientData fLocksWithSheet="0"/>
      </xdr:twoCellAnchor>
    </mc:Choice>
    <mc:Fallback/>
  </mc:AlternateContent>
  <xdr:twoCellAnchor>
    <xdr:from>
      <xdr:col>5</xdr:col>
      <xdr:colOff>1257300</xdr:colOff>
      <xdr:row>10</xdr:row>
      <xdr:rowOff>104775</xdr:rowOff>
    </xdr:from>
    <xdr:to>
      <xdr:col>5</xdr:col>
      <xdr:colOff>1447800</xdr:colOff>
      <xdr:row>10</xdr:row>
      <xdr:rowOff>114300</xdr:rowOff>
    </xdr:to>
    <xdr:sp macro="" textlink="">
      <xdr:nvSpPr>
        <xdr:cNvPr id="14340" name="Line 4"/>
        <xdr:cNvSpPr>
          <a:spLocks noChangeShapeType="1"/>
        </xdr:cNvSpPr>
      </xdr:nvSpPr>
      <xdr:spPr bwMode="auto">
        <a:xfrm flipV="1">
          <a:off x="7143750" y="3533775"/>
          <a:ext cx="190500" cy="95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1247775</xdr:colOff>
      <xdr:row>9</xdr:row>
      <xdr:rowOff>85725</xdr:rowOff>
    </xdr:from>
    <xdr:to>
      <xdr:col>5</xdr:col>
      <xdr:colOff>1447800</xdr:colOff>
      <xdr:row>9</xdr:row>
      <xdr:rowOff>95250</xdr:rowOff>
    </xdr:to>
    <xdr:sp macro="" textlink="">
      <xdr:nvSpPr>
        <xdr:cNvPr id="14341" name="Line 5"/>
        <xdr:cNvSpPr>
          <a:spLocks noChangeShapeType="1"/>
        </xdr:cNvSpPr>
      </xdr:nvSpPr>
      <xdr:spPr bwMode="auto">
        <a:xfrm flipV="1">
          <a:off x="7134225" y="3038475"/>
          <a:ext cx="200025" cy="95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752475</xdr:colOff>
      <xdr:row>63</xdr:row>
      <xdr:rowOff>152400</xdr:rowOff>
    </xdr:from>
    <xdr:to>
      <xdr:col>1</xdr:col>
      <xdr:colOff>2152650</xdr:colOff>
      <xdr:row>63</xdr:row>
      <xdr:rowOff>152400</xdr:rowOff>
    </xdr:to>
    <xdr:sp macro="" textlink="">
      <xdr:nvSpPr>
        <xdr:cNvPr id="10246" name="Line 6"/>
        <xdr:cNvSpPr>
          <a:spLocks noChangeShapeType="1"/>
        </xdr:cNvSpPr>
      </xdr:nvSpPr>
      <xdr:spPr bwMode="auto">
        <a:xfrm>
          <a:off x="4933950" y="21869400"/>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752475</xdr:colOff>
      <xdr:row>67</xdr:row>
      <xdr:rowOff>123825</xdr:rowOff>
    </xdr:from>
    <xdr:to>
      <xdr:col>1</xdr:col>
      <xdr:colOff>2152650</xdr:colOff>
      <xdr:row>67</xdr:row>
      <xdr:rowOff>123825</xdr:rowOff>
    </xdr:to>
    <xdr:sp macro="" textlink="">
      <xdr:nvSpPr>
        <xdr:cNvPr id="10247" name="Line 7"/>
        <xdr:cNvSpPr>
          <a:spLocks noChangeShapeType="1"/>
        </xdr:cNvSpPr>
      </xdr:nvSpPr>
      <xdr:spPr bwMode="auto">
        <a:xfrm>
          <a:off x="4933950" y="24317325"/>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752475</xdr:colOff>
      <xdr:row>39</xdr:row>
      <xdr:rowOff>200025</xdr:rowOff>
    </xdr:from>
    <xdr:to>
      <xdr:col>1</xdr:col>
      <xdr:colOff>2152650</xdr:colOff>
      <xdr:row>39</xdr:row>
      <xdr:rowOff>200025</xdr:rowOff>
    </xdr:to>
    <xdr:sp macro="" textlink="">
      <xdr:nvSpPr>
        <xdr:cNvPr id="10248" name="Line 8"/>
        <xdr:cNvSpPr>
          <a:spLocks noChangeShapeType="1"/>
        </xdr:cNvSpPr>
      </xdr:nvSpPr>
      <xdr:spPr bwMode="auto">
        <a:xfrm>
          <a:off x="4933950" y="13354050"/>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752475</xdr:colOff>
      <xdr:row>77</xdr:row>
      <xdr:rowOff>304800</xdr:rowOff>
    </xdr:from>
    <xdr:to>
      <xdr:col>1</xdr:col>
      <xdr:colOff>2152650</xdr:colOff>
      <xdr:row>77</xdr:row>
      <xdr:rowOff>304800</xdr:rowOff>
    </xdr:to>
    <xdr:sp macro="" textlink="">
      <xdr:nvSpPr>
        <xdr:cNvPr id="10250" name="Line 10"/>
        <xdr:cNvSpPr>
          <a:spLocks noChangeShapeType="1"/>
        </xdr:cNvSpPr>
      </xdr:nvSpPr>
      <xdr:spPr bwMode="auto">
        <a:xfrm>
          <a:off x="4933950" y="30022800"/>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752475</xdr:colOff>
      <xdr:row>60</xdr:row>
      <xdr:rowOff>200025</xdr:rowOff>
    </xdr:from>
    <xdr:to>
      <xdr:col>1</xdr:col>
      <xdr:colOff>2152650</xdr:colOff>
      <xdr:row>60</xdr:row>
      <xdr:rowOff>200025</xdr:rowOff>
    </xdr:to>
    <xdr:sp macro="" textlink="">
      <xdr:nvSpPr>
        <xdr:cNvPr id="10251" name="Line 11"/>
        <xdr:cNvSpPr>
          <a:spLocks noChangeShapeType="1"/>
        </xdr:cNvSpPr>
      </xdr:nvSpPr>
      <xdr:spPr bwMode="auto">
        <a:xfrm>
          <a:off x="4933950" y="20059650"/>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733425</xdr:colOff>
      <xdr:row>71</xdr:row>
      <xdr:rowOff>390525</xdr:rowOff>
    </xdr:from>
    <xdr:to>
      <xdr:col>1</xdr:col>
      <xdr:colOff>2133600</xdr:colOff>
      <xdr:row>71</xdr:row>
      <xdr:rowOff>390525</xdr:rowOff>
    </xdr:to>
    <xdr:sp macro="" textlink="">
      <xdr:nvSpPr>
        <xdr:cNvPr id="10252" name="Line 12"/>
        <xdr:cNvSpPr>
          <a:spLocks noChangeShapeType="1"/>
        </xdr:cNvSpPr>
      </xdr:nvSpPr>
      <xdr:spPr bwMode="auto">
        <a:xfrm>
          <a:off x="4914900" y="26393775"/>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5.vml"/><Relationship Id="rId7"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um(G63:G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0"/>
  <sheetViews>
    <sheetView tabSelected="1" topLeftCell="A4" zoomScale="75" zoomScaleNormal="75" zoomScaleSheetLayoutView="75" workbookViewId="0">
      <selection activeCell="B6" sqref="B6:G6"/>
    </sheetView>
  </sheetViews>
  <sheetFormatPr defaultRowHeight="12.75" x14ac:dyDescent="0.2"/>
  <cols>
    <col min="1" max="1" width="9.7109375" style="51" bestFit="1" customWidth="1"/>
    <col min="2" max="2" width="9.140625" style="51"/>
    <col min="3" max="3" width="9.42578125" style="51" bestFit="1" customWidth="1"/>
    <col min="4" max="6" width="9.140625" style="51"/>
    <col min="7" max="7" width="30.5703125" style="51" customWidth="1"/>
    <col min="8" max="8" width="3.5703125" style="51" customWidth="1"/>
    <col min="9" max="9" width="11.85546875" style="51" customWidth="1"/>
    <col min="10" max="16384" width="9.140625" style="51"/>
  </cols>
  <sheetData>
    <row r="1" spans="1:12" ht="32.25" customHeight="1" thickTop="1" thickBot="1" x14ac:dyDescent="0.25">
      <c r="A1" s="920" t="s">
        <v>700</v>
      </c>
      <c r="B1" s="921"/>
      <c r="C1" s="921"/>
      <c r="D1" s="921"/>
      <c r="E1" s="921"/>
      <c r="F1" s="921"/>
      <c r="G1" s="922"/>
      <c r="H1" s="69"/>
      <c r="I1" s="69"/>
      <c r="J1" s="69"/>
      <c r="K1" s="69"/>
      <c r="L1" s="69"/>
    </row>
    <row r="2" spans="1:12" ht="14.25" thickTop="1" thickBot="1" x14ac:dyDescent="0.25">
      <c r="A2" s="226"/>
      <c r="B2" s="226"/>
      <c r="C2" s="226"/>
      <c r="D2" s="226"/>
      <c r="E2" s="226"/>
      <c r="F2" s="226"/>
      <c r="G2" s="239"/>
      <c r="H2" s="239"/>
      <c r="I2" s="239"/>
      <c r="J2" s="239"/>
      <c r="K2" s="226"/>
      <c r="L2" s="226"/>
    </row>
    <row r="3" spans="1:12" ht="13.5" thickTop="1" x14ac:dyDescent="0.2">
      <c r="A3" s="577" t="s">
        <v>431</v>
      </c>
      <c r="B3" s="926" t="s">
        <v>538</v>
      </c>
      <c r="C3" s="927"/>
      <c r="D3" s="927"/>
      <c r="E3" s="927"/>
      <c r="F3" s="927"/>
      <c r="G3" s="928"/>
      <c r="H3" s="226"/>
      <c r="I3" s="226"/>
      <c r="J3" s="226"/>
      <c r="K3" s="226"/>
      <c r="L3" s="226"/>
    </row>
    <row r="4" spans="1:12" ht="20.25" customHeight="1" x14ac:dyDescent="0.2">
      <c r="A4" s="578">
        <v>39883</v>
      </c>
      <c r="B4" s="923" t="s">
        <v>365</v>
      </c>
      <c r="C4" s="924"/>
      <c r="D4" s="924"/>
      <c r="E4" s="924"/>
      <c r="F4" s="924"/>
      <c r="G4" s="925"/>
      <c r="H4" s="226"/>
      <c r="I4" s="226"/>
      <c r="J4" s="226"/>
      <c r="K4" s="226"/>
      <c r="L4" s="226"/>
    </row>
    <row r="5" spans="1:12" ht="120" customHeight="1" x14ac:dyDescent="0.2">
      <c r="A5" s="893">
        <v>39896</v>
      </c>
      <c r="B5" s="911" t="s">
        <v>775</v>
      </c>
      <c r="C5" s="912"/>
      <c r="D5" s="912"/>
      <c r="E5" s="912"/>
      <c r="F5" s="912"/>
      <c r="G5" s="913"/>
      <c r="H5" s="226"/>
      <c r="I5" s="226"/>
      <c r="J5" s="226"/>
      <c r="K5" s="226"/>
      <c r="L5" s="226"/>
    </row>
    <row r="6" spans="1:12" ht="30.75" customHeight="1" x14ac:dyDescent="0.2">
      <c r="A6" s="893">
        <v>39910</v>
      </c>
      <c r="B6" s="929" t="s">
        <v>421</v>
      </c>
      <c r="C6" s="915"/>
      <c r="D6" s="915"/>
      <c r="E6" s="915"/>
      <c r="F6" s="915"/>
      <c r="G6" s="916"/>
      <c r="H6" s="226"/>
      <c r="I6" s="226"/>
      <c r="J6" s="226"/>
      <c r="K6" s="226"/>
      <c r="L6" s="226"/>
    </row>
    <row r="7" spans="1:12" ht="12.75" customHeight="1" thickBot="1" x14ac:dyDescent="0.25">
      <c r="A7" s="579" t="s">
        <v>222</v>
      </c>
      <c r="B7" s="917" t="s">
        <v>222</v>
      </c>
      <c r="C7" s="918"/>
      <c r="D7" s="918"/>
      <c r="E7" s="918"/>
      <c r="F7" s="918"/>
      <c r="G7" s="919"/>
      <c r="H7" s="226"/>
      <c r="I7" s="157"/>
      <c r="J7" s="157"/>
      <c r="K7" s="157"/>
      <c r="L7" s="157"/>
    </row>
    <row r="8" spans="1:12" ht="14.25" thickTop="1" thickBot="1" x14ac:dyDescent="0.25">
      <c r="A8" s="226"/>
      <c r="B8" s="226"/>
      <c r="C8" s="226"/>
      <c r="D8" s="226"/>
      <c r="E8" s="226"/>
      <c r="F8" s="226"/>
      <c r="G8" s="226"/>
      <c r="H8" s="226"/>
      <c r="I8" s="157"/>
      <c r="J8" s="157"/>
      <c r="K8" s="157"/>
      <c r="L8" s="157"/>
    </row>
    <row r="9" spans="1:12" ht="13.5" thickTop="1" x14ac:dyDescent="0.2">
      <c r="A9" s="902" t="s">
        <v>62</v>
      </c>
      <c r="B9" s="903"/>
      <c r="C9" s="903"/>
      <c r="D9" s="903"/>
      <c r="E9" s="903"/>
      <c r="F9" s="903"/>
      <c r="G9" s="904"/>
      <c r="H9" s="226"/>
      <c r="I9" s="157"/>
      <c r="J9" s="157"/>
      <c r="K9" s="157"/>
      <c r="L9" s="157"/>
    </row>
    <row r="10" spans="1:12" ht="25.5" customHeight="1" x14ac:dyDescent="0.2">
      <c r="A10" s="908" t="s">
        <v>491</v>
      </c>
      <c r="B10" s="909"/>
      <c r="C10" s="909"/>
      <c r="D10" s="909"/>
      <c r="E10" s="909"/>
      <c r="F10" s="909"/>
      <c r="G10" s="910"/>
      <c r="H10" s="226"/>
      <c r="I10" s="157"/>
      <c r="J10" s="157"/>
      <c r="K10" s="157"/>
      <c r="L10" s="157"/>
    </row>
    <row r="11" spans="1:12" ht="29.25" customHeight="1" x14ac:dyDescent="0.2">
      <c r="A11" s="911" t="s">
        <v>467</v>
      </c>
      <c r="B11" s="912"/>
      <c r="C11" s="912"/>
      <c r="D11" s="912"/>
      <c r="E11" s="912"/>
      <c r="F11" s="912"/>
      <c r="G11" s="913"/>
      <c r="H11" s="226"/>
      <c r="I11" s="157"/>
      <c r="J11" s="157"/>
      <c r="K11" s="157"/>
      <c r="L11" s="157"/>
    </row>
    <row r="12" spans="1:12" ht="29.25" customHeight="1" x14ac:dyDescent="0.2">
      <c r="A12" s="355" t="s">
        <v>704</v>
      </c>
      <c r="B12" s="339"/>
      <c r="C12" s="339"/>
      <c r="D12" s="339"/>
      <c r="E12" s="339"/>
      <c r="F12" s="339"/>
      <c r="G12" s="340"/>
      <c r="H12" s="226"/>
      <c r="I12" s="157"/>
      <c r="J12" s="157"/>
      <c r="K12" s="157"/>
      <c r="L12" s="157"/>
    </row>
    <row r="13" spans="1:12" x14ac:dyDescent="0.2">
      <c r="A13" s="72" t="s">
        <v>60</v>
      </c>
      <c r="B13" s="74"/>
      <c r="C13" s="74"/>
      <c r="D13" s="74"/>
      <c r="E13" s="74"/>
      <c r="F13" s="74"/>
      <c r="G13" s="75"/>
      <c r="I13" s="69"/>
      <c r="J13" s="69"/>
      <c r="K13" s="69"/>
      <c r="L13" s="69"/>
    </row>
    <row r="14" spans="1:12" ht="33" customHeight="1" x14ac:dyDescent="0.2">
      <c r="A14" s="905" t="s">
        <v>492</v>
      </c>
      <c r="B14" s="906"/>
      <c r="C14" s="906"/>
      <c r="D14" s="906"/>
      <c r="E14" s="906"/>
      <c r="F14" s="906"/>
      <c r="G14" s="907"/>
      <c r="I14" s="226"/>
      <c r="J14" s="226"/>
      <c r="K14" s="226"/>
      <c r="L14" s="226"/>
    </row>
    <row r="15" spans="1:12" x14ac:dyDescent="0.2">
      <c r="A15" s="905" t="s">
        <v>59</v>
      </c>
      <c r="B15" s="906"/>
      <c r="C15" s="906"/>
      <c r="D15" s="906"/>
      <c r="E15" s="906"/>
      <c r="F15" s="906"/>
      <c r="G15" s="907"/>
      <c r="L15" s="226"/>
    </row>
    <row r="16" spans="1:12" ht="18.75" customHeight="1" x14ac:dyDescent="0.2">
      <c r="A16" s="72" t="s">
        <v>61</v>
      </c>
      <c r="B16" s="73"/>
      <c r="C16" s="73"/>
      <c r="D16" s="74"/>
      <c r="E16" s="74"/>
      <c r="F16" s="74"/>
      <c r="G16" s="75"/>
      <c r="L16" s="226"/>
    </row>
    <row r="17" spans="1:12" ht="27.75" customHeight="1" thickBot="1" x14ac:dyDescent="0.25">
      <c r="A17" s="914" t="s">
        <v>656</v>
      </c>
      <c r="B17" s="915"/>
      <c r="C17" s="915"/>
      <c r="D17" s="915"/>
      <c r="E17" s="915"/>
      <c r="F17" s="915"/>
      <c r="G17" s="916"/>
      <c r="L17" s="226"/>
    </row>
    <row r="18" spans="1:12" ht="105" customHeight="1" thickTop="1" thickBot="1" x14ac:dyDescent="0.25">
      <c r="A18" s="899" t="s">
        <v>396</v>
      </c>
      <c r="B18" s="900"/>
      <c r="C18" s="900"/>
      <c r="D18" s="900"/>
      <c r="E18" s="900"/>
      <c r="F18" s="900"/>
      <c r="G18" s="901"/>
      <c r="L18" s="226"/>
    </row>
    <row r="19" spans="1:12" ht="14.25" thickTop="1" thickBot="1" x14ac:dyDescent="0.25">
      <c r="A19" s="78"/>
      <c r="B19" s="78"/>
      <c r="C19" s="78"/>
      <c r="E19" s="51" t="s">
        <v>222</v>
      </c>
      <c r="L19" s="226"/>
    </row>
    <row r="20" spans="1:12" ht="13.5" thickTop="1" x14ac:dyDescent="0.2">
      <c r="A20" s="43"/>
      <c r="B20" s="44"/>
      <c r="C20" s="79" t="s">
        <v>489</v>
      </c>
      <c r="D20" s="80"/>
      <c r="E20" s="80"/>
      <c r="F20" s="80"/>
      <c r="G20" s="81"/>
      <c r="L20" s="226"/>
    </row>
    <row r="21" spans="1:12" ht="13.5" thickBot="1" x14ac:dyDescent="0.25">
      <c r="A21" s="45"/>
      <c r="B21" s="46"/>
      <c r="C21" s="72" t="s">
        <v>490</v>
      </c>
      <c r="D21" s="74"/>
      <c r="E21" s="74"/>
      <c r="F21" s="74"/>
      <c r="G21" s="75"/>
      <c r="L21" s="226"/>
    </row>
    <row r="22" spans="1:12" ht="15" customHeight="1" thickTop="1" thickBot="1" x14ac:dyDescent="0.25">
      <c r="A22" s="47"/>
      <c r="B22" s="48"/>
      <c r="C22" s="72" t="s">
        <v>736</v>
      </c>
      <c r="D22" s="74"/>
      <c r="E22" s="74"/>
      <c r="F22" s="74"/>
      <c r="G22" s="75"/>
      <c r="I22" s="225"/>
      <c r="J22" s="225"/>
      <c r="K22" s="225"/>
      <c r="L22" s="225"/>
    </row>
    <row r="23" spans="1:12" ht="14.25" thickTop="1" thickBot="1" x14ac:dyDescent="0.25">
      <c r="A23" s="49"/>
      <c r="B23" s="50"/>
      <c r="C23" s="76" t="s">
        <v>392</v>
      </c>
      <c r="D23" s="77"/>
      <c r="E23" s="77"/>
      <c r="F23" s="77"/>
      <c r="G23" s="82"/>
      <c r="I23" s="226"/>
      <c r="J23" s="226"/>
      <c r="K23" s="226"/>
      <c r="L23" s="226"/>
    </row>
    <row r="24" spans="1:12" ht="14.25" thickTop="1" thickBot="1" x14ac:dyDescent="0.25">
      <c r="A24" s="171"/>
      <c r="B24" s="172"/>
      <c r="C24" s="170" t="s">
        <v>2</v>
      </c>
      <c r="D24" s="106"/>
      <c r="E24" s="106"/>
      <c r="F24" s="106"/>
      <c r="G24" s="90"/>
    </row>
    <row r="25" spans="1:12" ht="14.25" thickTop="1" thickBot="1" x14ac:dyDescent="0.25">
      <c r="A25" s="895">
        <v>123</v>
      </c>
      <c r="B25" s="896"/>
      <c r="C25" s="95" t="s">
        <v>393</v>
      </c>
      <c r="D25" s="96"/>
      <c r="E25" s="96"/>
      <c r="F25" s="96"/>
      <c r="G25" s="94"/>
    </row>
    <row r="26" spans="1:12" ht="14.25" thickTop="1" thickBot="1" x14ac:dyDescent="0.25">
      <c r="A26" s="897">
        <v>123</v>
      </c>
      <c r="B26" s="898"/>
      <c r="C26" s="95" t="s">
        <v>394</v>
      </c>
      <c r="D26" s="96"/>
      <c r="E26" s="96"/>
      <c r="F26" s="96"/>
      <c r="G26" s="94"/>
    </row>
    <row r="27" spans="1:12" ht="14.25" thickTop="1" thickBot="1" x14ac:dyDescent="0.25"/>
    <row r="28" spans="1:12" s="541" customFormat="1" ht="40.5" customHeight="1" thickTop="1" x14ac:dyDescent="0.2">
      <c r="A28" s="930" t="s">
        <v>391</v>
      </c>
      <c r="B28" s="930"/>
      <c r="C28" s="930"/>
      <c r="D28" s="931"/>
      <c r="E28" s="932" t="s">
        <v>222</v>
      </c>
      <c r="F28" s="933"/>
      <c r="G28" s="934"/>
      <c r="J28" s="489"/>
    </row>
    <row r="29" spans="1:12" s="541" customFormat="1" ht="40.5" customHeight="1" thickBot="1" x14ac:dyDescent="0.25">
      <c r="A29" s="930" t="s">
        <v>613</v>
      </c>
      <c r="B29" s="930"/>
      <c r="C29" s="930"/>
      <c r="D29" s="931"/>
      <c r="E29" s="935" t="s">
        <v>222</v>
      </c>
      <c r="F29" s="936"/>
      <c r="G29" s="937"/>
      <c r="J29" s="489"/>
    </row>
    <row r="30" spans="1:12" ht="13.5" thickTop="1" x14ac:dyDescent="0.2"/>
    <row r="31" spans="1:12" ht="18" customHeight="1" x14ac:dyDescent="0.2"/>
    <row r="32" spans="1:12" ht="18" customHeight="1" x14ac:dyDescent="0.2">
      <c r="A32" s="78"/>
      <c r="B32" s="78"/>
      <c r="C32" s="78"/>
    </row>
    <row r="33" spans="1:3" x14ac:dyDescent="0.2">
      <c r="A33" s="78"/>
      <c r="B33" s="78"/>
      <c r="C33" s="78"/>
    </row>
    <row r="34" spans="1:3" x14ac:dyDescent="0.2">
      <c r="A34" s="78"/>
      <c r="B34" s="71"/>
      <c r="C34" s="78"/>
    </row>
    <row r="35" spans="1:3" x14ac:dyDescent="0.2">
      <c r="A35" s="78"/>
      <c r="B35" s="78"/>
      <c r="C35" s="78"/>
    </row>
    <row r="36" spans="1:3" x14ac:dyDescent="0.2">
      <c r="A36" s="78"/>
      <c r="B36" s="78"/>
      <c r="C36" s="78"/>
    </row>
    <row r="37" spans="1:3" x14ac:dyDescent="0.2">
      <c r="A37" s="78"/>
      <c r="B37" s="78"/>
      <c r="C37" s="78"/>
    </row>
    <row r="38" spans="1:3" x14ac:dyDescent="0.2">
      <c r="A38" s="78"/>
      <c r="B38" s="78"/>
      <c r="C38" s="78"/>
    </row>
    <row r="39" spans="1:3" x14ac:dyDescent="0.2">
      <c r="A39" s="78"/>
      <c r="B39" s="78"/>
      <c r="C39" s="78"/>
    </row>
    <row r="40" spans="1:3" x14ac:dyDescent="0.2">
      <c r="A40" s="78"/>
      <c r="B40" s="78"/>
      <c r="C40" s="78"/>
    </row>
    <row r="41" spans="1:3" x14ac:dyDescent="0.2">
      <c r="A41" s="78"/>
      <c r="B41" s="78"/>
      <c r="C41" s="78"/>
    </row>
    <row r="42" spans="1:3" x14ac:dyDescent="0.2">
      <c r="A42" s="78"/>
      <c r="B42" s="71"/>
      <c r="C42" s="78"/>
    </row>
    <row r="43" spans="1:3" x14ac:dyDescent="0.2">
      <c r="A43" s="78"/>
      <c r="B43" s="78"/>
      <c r="C43" s="78"/>
    </row>
    <row r="44" spans="1:3" x14ac:dyDescent="0.2">
      <c r="A44" s="78"/>
      <c r="B44" s="78"/>
      <c r="C44" s="78"/>
    </row>
    <row r="45" spans="1:3" x14ac:dyDescent="0.2">
      <c r="A45" s="78"/>
      <c r="B45" s="78"/>
      <c r="C45" s="78"/>
    </row>
    <row r="46" spans="1:3" x14ac:dyDescent="0.2">
      <c r="A46" s="78"/>
      <c r="B46" s="78"/>
      <c r="C46" s="78"/>
    </row>
    <row r="47" spans="1:3" x14ac:dyDescent="0.2">
      <c r="A47" s="78"/>
      <c r="B47" s="78"/>
      <c r="C47" s="78"/>
    </row>
    <row r="48" spans="1:3" x14ac:dyDescent="0.2">
      <c r="A48" s="78"/>
      <c r="B48" s="78"/>
      <c r="C48" s="78"/>
    </row>
    <row r="49" spans="1:3" x14ac:dyDescent="0.2">
      <c r="A49" s="78"/>
      <c r="B49" s="78"/>
      <c r="C49" s="78"/>
    </row>
    <row r="50" spans="1:3" x14ac:dyDescent="0.2">
      <c r="A50" s="78"/>
      <c r="B50" s="78"/>
      <c r="C50" s="78"/>
    </row>
    <row r="51" spans="1:3" x14ac:dyDescent="0.2">
      <c r="A51" s="78"/>
      <c r="B51" s="78"/>
      <c r="C51" s="78"/>
    </row>
    <row r="52" spans="1:3" x14ac:dyDescent="0.2">
      <c r="A52" s="78"/>
      <c r="B52" s="78"/>
      <c r="C52" s="78"/>
    </row>
    <row r="53" spans="1:3" x14ac:dyDescent="0.2">
      <c r="A53" s="78"/>
      <c r="B53" s="78"/>
      <c r="C53" s="78"/>
    </row>
    <row r="54" spans="1:3" x14ac:dyDescent="0.2">
      <c r="A54" s="78"/>
      <c r="B54" s="78"/>
      <c r="C54" s="78"/>
    </row>
    <row r="55" spans="1:3" x14ac:dyDescent="0.2">
      <c r="A55" s="78"/>
      <c r="B55" s="78"/>
      <c r="C55" s="78"/>
    </row>
    <row r="56" spans="1:3" x14ac:dyDescent="0.2">
      <c r="A56" s="78"/>
      <c r="B56" s="78"/>
      <c r="C56" s="78"/>
    </row>
    <row r="57" spans="1:3" x14ac:dyDescent="0.2">
      <c r="A57" s="78"/>
      <c r="B57" s="78"/>
      <c r="C57" s="78"/>
    </row>
    <row r="58" spans="1:3" x14ac:dyDescent="0.2">
      <c r="A58" s="78"/>
      <c r="B58" s="78"/>
      <c r="C58" s="78"/>
    </row>
    <row r="59" spans="1:3" x14ac:dyDescent="0.2">
      <c r="A59" s="78"/>
      <c r="B59" s="78"/>
      <c r="C59" s="78"/>
    </row>
    <row r="60" spans="1:3" x14ac:dyDescent="0.2">
      <c r="A60" s="78"/>
      <c r="B60" s="78"/>
      <c r="C60" s="78"/>
    </row>
    <row r="61" spans="1:3" x14ac:dyDescent="0.2">
      <c r="A61" s="78"/>
      <c r="B61" s="78"/>
      <c r="C61" s="78"/>
    </row>
    <row r="62" spans="1:3" x14ac:dyDescent="0.2">
      <c r="A62" s="78"/>
      <c r="B62" s="78"/>
      <c r="C62" s="78"/>
    </row>
    <row r="63" spans="1:3" x14ac:dyDescent="0.2">
      <c r="A63" s="78"/>
      <c r="B63" s="78"/>
      <c r="C63" s="78"/>
    </row>
    <row r="64" spans="1:3" x14ac:dyDescent="0.2">
      <c r="A64" s="78"/>
      <c r="B64" s="78"/>
      <c r="C64" s="78"/>
    </row>
    <row r="65" spans="1:3" x14ac:dyDescent="0.2">
      <c r="A65" s="78"/>
      <c r="B65" s="78"/>
      <c r="C65" s="78"/>
    </row>
    <row r="66" spans="1:3" x14ac:dyDescent="0.2">
      <c r="A66" s="78"/>
      <c r="B66" s="78"/>
      <c r="C66" s="78"/>
    </row>
    <row r="67" spans="1:3" x14ac:dyDescent="0.2">
      <c r="A67" s="78"/>
      <c r="B67" s="78"/>
      <c r="C67" s="78"/>
    </row>
    <row r="68" spans="1:3" x14ac:dyDescent="0.2">
      <c r="A68" s="78"/>
      <c r="B68" s="78"/>
      <c r="C68" s="78"/>
    </row>
    <row r="69" spans="1:3" x14ac:dyDescent="0.2">
      <c r="A69" s="78"/>
      <c r="B69" s="78"/>
      <c r="C69" s="78"/>
    </row>
    <row r="70" spans="1:3" x14ac:dyDescent="0.2">
      <c r="A70" s="78"/>
      <c r="B70" s="78"/>
      <c r="C70" s="78"/>
    </row>
  </sheetData>
  <sheetProtection password="83AF" sheet="1" objects="1" scenarios="1" formatRows="0"/>
  <mergeCells count="19">
    <mergeCell ref="A28:D28"/>
    <mergeCell ref="E28:G28"/>
    <mergeCell ref="E29:G29"/>
    <mergeCell ref="A29:D29"/>
    <mergeCell ref="B7:G7"/>
    <mergeCell ref="A1:G1"/>
    <mergeCell ref="B4:G4"/>
    <mergeCell ref="B3:G3"/>
    <mergeCell ref="B5:G5"/>
    <mergeCell ref="B6:G6"/>
    <mergeCell ref="A25:B25"/>
    <mergeCell ref="A26:B26"/>
    <mergeCell ref="A18:G18"/>
    <mergeCell ref="A9:G9"/>
    <mergeCell ref="A14:G14"/>
    <mergeCell ref="A15:G15"/>
    <mergeCell ref="A10:G10"/>
    <mergeCell ref="A11:G11"/>
    <mergeCell ref="A17:G17"/>
  </mergeCells>
  <phoneticPr fontId="4" type="noConversion"/>
  <pageMargins left="0.87" right="0.25" top="1" bottom="0.65" header="0.5" footer="0.5"/>
  <pageSetup scale="90" orientation="portrait" horizontalDpi="1200" verticalDpi="1200" r:id="rId1"/>
  <headerFooter alignWithMargins="0">
    <oddHeader>&amp;L&amp;F&amp;C&amp;A</oddHead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0"/>
    <pageSetUpPr fitToPage="1"/>
  </sheetPr>
  <dimension ref="A1:X75"/>
  <sheetViews>
    <sheetView topLeftCell="A12" zoomScaleNormal="100" workbookViewId="0">
      <selection activeCell="B13" sqref="B13"/>
    </sheetView>
  </sheetViews>
  <sheetFormatPr defaultRowHeight="12.75" x14ac:dyDescent="0.2"/>
  <cols>
    <col min="1" max="1" width="18.85546875" style="83" customWidth="1"/>
    <col min="2" max="2" width="37.7109375" style="83" customWidth="1"/>
    <col min="3" max="3" width="23.140625" style="83" customWidth="1"/>
    <col min="4" max="4" width="7.85546875" style="83" customWidth="1"/>
    <col min="5" max="5" width="23.140625" style="83" customWidth="1"/>
    <col min="6" max="6" width="8.7109375" style="84" customWidth="1"/>
    <col min="7" max="7" width="16.28515625" style="84" customWidth="1"/>
    <col min="8" max="9" width="9.140625" style="84"/>
    <col min="10" max="16384" width="9.140625" style="83"/>
  </cols>
  <sheetData>
    <row r="1" spans="1:24" s="135" customFormat="1" ht="14.25" thickTop="1" thickBot="1" x14ac:dyDescent="0.25">
      <c r="A1" s="140" t="s">
        <v>284</v>
      </c>
      <c r="B1" s="775"/>
      <c r="C1" s="141"/>
      <c r="D1" s="83"/>
      <c r="E1" s="83"/>
      <c r="F1" s="83"/>
      <c r="G1" s="83"/>
      <c r="H1" s="83"/>
      <c r="I1" s="83"/>
      <c r="J1" s="83"/>
      <c r="K1" s="83"/>
      <c r="L1" s="83"/>
      <c r="M1" s="83"/>
      <c r="N1" s="83"/>
      <c r="O1" s="83"/>
      <c r="P1" s="83"/>
      <c r="Q1" s="83"/>
      <c r="R1" s="83"/>
      <c r="S1" s="83"/>
      <c r="T1" s="83"/>
      <c r="U1" s="83"/>
      <c r="V1" s="83"/>
      <c r="W1" s="83"/>
      <c r="X1" s="83"/>
    </row>
    <row r="2" spans="1:24" s="135" customFormat="1" ht="14.25" thickTop="1" thickBot="1" x14ac:dyDescent="0.25">
      <c r="A2" s="144" t="s">
        <v>517</v>
      </c>
      <c r="B2" s="776"/>
      <c r="C2" s="145" t="s">
        <v>222</v>
      </c>
      <c r="D2" s="83"/>
      <c r="E2" s="219"/>
      <c r="F2" s="83"/>
      <c r="G2" s="83"/>
      <c r="H2" s="83"/>
      <c r="I2" s="83"/>
      <c r="J2" s="83"/>
      <c r="K2" s="83"/>
      <c r="L2" s="83"/>
      <c r="M2" s="83"/>
      <c r="N2" s="83"/>
      <c r="O2" s="83"/>
      <c r="P2" s="83"/>
      <c r="Q2" s="83"/>
      <c r="R2" s="83"/>
      <c r="S2" s="83"/>
      <c r="T2" s="83"/>
      <c r="U2" s="83"/>
      <c r="V2" s="83"/>
      <c r="W2" s="83"/>
      <c r="X2" s="83"/>
    </row>
    <row r="3" spans="1:24" s="18" customFormat="1" ht="13.5" thickTop="1" x14ac:dyDescent="0.2">
      <c r="A3" s="142" t="s">
        <v>514</v>
      </c>
      <c r="B3" s="777"/>
      <c r="C3" s="143"/>
      <c r="D3" s="83"/>
      <c r="E3" s="221"/>
      <c r="F3" s="83"/>
      <c r="G3" s="83"/>
      <c r="H3" s="83"/>
      <c r="I3" s="83"/>
      <c r="J3" s="83"/>
      <c r="K3" s="83"/>
      <c r="L3" s="83"/>
      <c r="M3" s="83"/>
      <c r="N3" s="83"/>
      <c r="O3" s="83"/>
      <c r="P3" s="83"/>
      <c r="Q3" s="83"/>
      <c r="R3" s="83"/>
      <c r="S3" s="83"/>
      <c r="T3" s="83"/>
      <c r="U3" s="83"/>
      <c r="V3" s="83"/>
      <c r="W3" s="83"/>
      <c r="X3" s="83"/>
    </row>
    <row r="4" spans="1:24" x14ac:dyDescent="0.2">
      <c r="A4" s="121" t="s">
        <v>272</v>
      </c>
      <c r="B4" s="778">
        <f xml:space="preserve"> 2.16124*10^-9*$B$12^4 - 2.31488*10^-6*$B$12^3 + 8.41479*10^-4*$B$12^2 - 1.22302*10^-1*$B$12^1 + 7.31946*10^1</f>
        <v>67.480884902400007</v>
      </c>
      <c r="C4" s="122" t="s">
        <v>226</v>
      </c>
      <c r="E4" s="222"/>
      <c r="F4" s="83"/>
      <c r="G4" s="83"/>
      <c r="H4" s="83"/>
      <c r="I4" s="83"/>
    </row>
    <row r="5" spans="1:24" x14ac:dyDescent="0.2">
      <c r="A5" s="121" t="s">
        <v>273</v>
      </c>
      <c r="B5" s="779">
        <f xml:space="preserve"> 1.58675*10^-9*$B$12^4 - 1.48344*10^-6*$B$12^3 + 4.48201*10^-4*$B$12^2 - 4.33168*10^-2*$B$12^1 + 6.0708*10^1</f>
        <v>60.885726719999994</v>
      </c>
      <c r="C5" s="122" t="s">
        <v>226</v>
      </c>
      <c r="E5" s="222"/>
      <c r="F5" s="83"/>
      <c r="G5" s="83"/>
      <c r="H5" s="83"/>
      <c r="I5" s="83"/>
    </row>
    <row r="6" spans="1:24" x14ac:dyDescent="0.2">
      <c r="A6" s="121" t="s">
        <v>274</v>
      </c>
      <c r="B6" s="780">
        <f xml:space="preserve"> 3.2381*10^-10*B12^4 - 2.2381*10^-7*B12^3 + 2.33333*10^-5*B12^2 + 1.18095*10^-2*B12 + 5.09771*10^1</f>
        <v>53.135752505600003</v>
      </c>
      <c r="C6" s="123" t="s">
        <v>226</v>
      </c>
      <c r="E6" s="223"/>
      <c r="F6" s="83"/>
      <c r="G6" s="83"/>
      <c r="H6" s="83"/>
      <c r="I6" s="83"/>
    </row>
    <row r="7" spans="1:24" s="18" customFormat="1" x14ac:dyDescent="0.2">
      <c r="A7" s="136" t="s">
        <v>515</v>
      </c>
      <c r="B7" s="781"/>
      <c r="C7" s="137"/>
      <c r="D7" s="83"/>
      <c r="E7" s="223"/>
      <c r="F7" s="83"/>
      <c r="G7" s="83"/>
      <c r="H7" s="83"/>
      <c r="I7" s="83"/>
      <c r="J7" s="83"/>
      <c r="K7" s="83"/>
      <c r="L7" s="83"/>
      <c r="M7" s="83"/>
      <c r="N7" s="83"/>
      <c r="O7" s="83"/>
      <c r="P7" s="83"/>
      <c r="Q7" s="83"/>
      <c r="R7" s="83"/>
      <c r="S7" s="83"/>
      <c r="T7" s="83"/>
      <c r="U7" s="83"/>
      <c r="V7" s="83"/>
      <c r="W7" s="83"/>
      <c r="X7" s="83"/>
    </row>
    <row r="8" spans="1:24" x14ac:dyDescent="0.2">
      <c r="A8" s="121" t="s">
        <v>272</v>
      </c>
      <c r="B8" s="782">
        <f xml:space="preserve"> -2.95714*10^-9*$B$12^4 + 3.28214*10^-6*$B$12^3 - 1.37*10^-3*$B$12^2 + 2.64607*10^-1*$B$12^1 + 2.02529*10^1</f>
        <v>40.407802553599993</v>
      </c>
      <c r="C8" s="122" t="s">
        <v>352</v>
      </c>
      <c r="E8" s="222"/>
    </row>
    <row r="9" spans="1:24" ht="13.5" thickBot="1" x14ac:dyDescent="0.25">
      <c r="A9" s="121" t="s">
        <v>273</v>
      </c>
      <c r="B9" s="779">
        <f xml:space="preserve"> -7.42857*10^-10*$B$12^4 + 1.10952*10^-6*$B$12^3 - 6.4*10^-4*$B$12^2 + 1.67976*10^-1*$B$12^1 + 2.05671*10^1</f>
        <v>36.89072323968</v>
      </c>
      <c r="C9" s="122" t="s">
        <v>352</v>
      </c>
      <c r="E9" s="220"/>
    </row>
    <row r="10" spans="1:24" ht="13.5" thickTop="1" x14ac:dyDescent="0.2">
      <c r="A10" s="121" t="s">
        <v>274</v>
      </c>
      <c r="B10" s="783">
        <f xml:space="preserve"> -2.00952*10^-9*B12^4 + 2.25952*10^-6*B12^3 - 9.68333*10^-4*B12^2 + 1.97476*10^-1*B12 + 1.61771*10^1</f>
        <v>32.363858604800001</v>
      </c>
      <c r="C10" s="122" t="s">
        <v>352</v>
      </c>
      <c r="E10" s="23" t="s">
        <v>314</v>
      </c>
      <c r="F10" s="119"/>
      <c r="G10" s="119"/>
      <c r="H10" s="119"/>
      <c r="I10" s="120"/>
    </row>
    <row r="11" spans="1:24" s="18" customFormat="1" x14ac:dyDescent="0.2">
      <c r="A11" s="136" t="s">
        <v>516</v>
      </c>
      <c r="B11" s="781"/>
      <c r="C11" s="137"/>
      <c r="E11" s="136" t="s">
        <v>168</v>
      </c>
      <c r="F11" s="138">
        <f>LOCATION!$D$19</f>
        <v>92</v>
      </c>
      <c r="G11" s="138"/>
      <c r="H11" s="138"/>
      <c r="I11" s="139"/>
      <c r="K11" s="83"/>
      <c r="L11" s="83"/>
      <c r="M11" s="83"/>
      <c r="N11" s="83"/>
      <c r="O11" s="83"/>
      <c r="P11" s="83"/>
      <c r="Q11" s="83"/>
      <c r="R11" s="83"/>
      <c r="S11" s="83"/>
      <c r="T11" s="83"/>
      <c r="U11" s="83"/>
      <c r="V11" s="83"/>
      <c r="W11" s="83"/>
      <c r="X11" s="83"/>
    </row>
    <row r="12" spans="1:24" x14ac:dyDescent="0.2">
      <c r="A12" s="121" t="s">
        <v>69</v>
      </c>
      <c r="B12" s="784">
        <f>LOCATION!$D$12</f>
        <v>240</v>
      </c>
      <c r="C12" s="122" t="s">
        <v>352</v>
      </c>
      <c r="E12" s="121"/>
      <c r="F12" s="124" t="s">
        <v>222</v>
      </c>
      <c r="G12" s="124" t="s">
        <v>309</v>
      </c>
      <c r="H12" s="124" t="s">
        <v>308</v>
      </c>
      <c r="I12" s="125" t="s">
        <v>310</v>
      </c>
    </row>
    <row r="13" spans="1:24" x14ac:dyDescent="0.2">
      <c r="A13" s="121" t="s">
        <v>69</v>
      </c>
      <c r="B13" s="784">
        <f>B12/3.2808</f>
        <v>73.152889539136794</v>
      </c>
      <c r="C13" s="122" t="s">
        <v>327</v>
      </c>
      <c r="E13" s="121" t="s">
        <v>303</v>
      </c>
      <c r="F13" s="124">
        <v>0</v>
      </c>
      <c r="G13" s="124"/>
      <c r="H13" s="124"/>
      <c r="I13" s="125"/>
    </row>
    <row r="14" spans="1:24" ht="13.5" thickBot="1" x14ac:dyDescent="0.25">
      <c r="A14" s="146" t="s">
        <v>300</v>
      </c>
      <c r="B14" s="785">
        <f>IF(LOCATION!$D$19&gt;97.0001,0,IF(LOCATION!$D$19&gt;95.0001,1,IF(LOCATION!$D$19&gt;94,2,IF(LOCATION!$D$19&gt;90.5,3,IF(LOCATION!$D$19&gt;89.5,4,IF(LOCATION!$D$19&gt;86.5,5,IF(LOCATION!$D$19&gt;85.5,6,IF(LOCATION!$D$19&gt;82.499,7))))))))</f>
        <v>3</v>
      </c>
      <c r="C14" s="147" t="s">
        <v>353</v>
      </c>
      <c r="E14" s="121" t="s">
        <v>232</v>
      </c>
      <c r="F14" s="124">
        <v>1</v>
      </c>
      <c r="G14" s="124"/>
      <c r="H14" s="124"/>
      <c r="I14" s="125" t="s">
        <v>222</v>
      </c>
      <c r="J14" s="83" t="s">
        <v>222</v>
      </c>
    </row>
    <row r="15" spans="1:24" ht="14.25" thickTop="1" thickBot="1" x14ac:dyDescent="0.25">
      <c r="A15" s="150" t="s">
        <v>333</v>
      </c>
      <c r="B15" s="786"/>
      <c r="C15" s="151"/>
      <c r="E15" s="121" t="s">
        <v>304</v>
      </c>
      <c r="F15" s="124">
        <v>2</v>
      </c>
      <c r="G15" s="124" t="s">
        <v>83</v>
      </c>
      <c r="H15" s="124">
        <f>($F$11-94)/1</f>
        <v>-2</v>
      </c>
      <c r="I15" s="125">
        <f>ABS(H15)</f>
        <v>2</v>
      </c>
    </row>
    <row r="16" spans="1:24" ht="13.5" thickTop="1" x14ac:dyDescent="0.2">
      <c r="A16" s="148" t="s">
        <v>276</v>
      </c>
      <c r="B16" s="787">
        <f>IF($B$14=7,B27,IF($B$14=5,B33,IF($B$14=3,B39,IF($B$14=1,B45,IF($B$14=6,$I$21*B27+(1-$I$21)*B33,IF($B$14=4,$I$21*B33+(1-$I$21)*B39,IF($B$14=2,$I$21*B39+($I$21-1)*B45)))))))</f>
        <v>13.19693595986277</v>
      </c>
      <c r="C16" s="149" t="s">
        <v>327</v>
      </c>
      <c r="D16" s="152"/>
      <c r="E16" s="121" t="s">
        <v>305</v>
      </c>
      <c r="F16" s="124">
        <v>3</v>
      </c>
      <c r="G16" s="124"/>
      <c r="H16" s="124"/>
      <c r="I16" s="125"/>
    </row>
    <row r="17" spans="1:16" x14ac:dyDescent="0.2">
      <c r="A17" s="121" t="s">
        <v>277</v>
      </c>
      <c r="B17" s="784">
        <f>IF($B$14=7,B28,IF($B$14=5,B34,IF($B$14=3,B40,IF($B$14=1,B46,IF($B$14=6,$I$21*B28+(1-$I$21)*B34,IF($B$14=4,$I$21*B34+(1-$I$21)*B40,IF($B$14=2,$I$21*B40+($I$21-1)*B46)))))))</f>
        <v>18.89105944150235</v>
      </c>
      <c r="C17" s="122" t="s">
        <v>327</v>
      </c>
      <c r="D17" s="152" t="s">
        <v>222</v>
      </c>
      <c r="E17" s="121" t="s">
        <v>306</v>
      </c>
      <c r="F17" s="124">
        <v>4</v>
      </c>
      <c r="G17" s="124" t="s">
        <v>79</v>
      </c>
      <c r="H17" s="124">
        <f>($F$11-89.5)/1</f>
        <v>2.5</v>
      </c>
      <c r="I17" s="125">
        <f>ABS(H17)</f>
        <v>2.5</v>
      </c>
    </row>
    <row r="18" spans="1:16" x14ac:dyDescent="0.2">
      <c r="A18" s="121" t="s">
        <v>278</v>
      </c>
      <c r="B18" s="784">
        <f>IF($B$14=7,B29,IF($B$14=5,B35,IF($B$14=3,B41,IF($B$14=1,B47,IF($B$14=6,$I$21*B29+(1-$I$21)*B35,IF($B$14=4,$I$21*B35+(1-$I$21)*B41,IF($B$14=2,$I$21*B41+($I$21-1)*B47)))))))</f>
        <v>17.710063498238082</v>
      </c>
      <c r="C18" s="122" t="s">
        <v>327</v>
      </c>
      <c r="D18" s="152" t="s">
        <v>521</v>
      </c>
      <c r="E18" s="121" t="s">
        <v>234</v>
      </c>
      <c r="F18" s="124">
        <v>5</v>
      </c>
      <c r="G18" s="124"/>
      <c r="H18" s="124"/>
      <c r="I18" s="125"/>
    </row>
    <row r="19" spans="1:16" x14ac:dyDescent="0.2">
      <c r="A19" s="121" t="s">
        <v>279</v>
      </c>
      <c r="B19" s="784">
        <f>IF($B$14=7,B30,IF($B$14=5,B36,IF($B$14=3,B42,IF($B$14=1,B48,IF($B$14=6,$I$21*B30+(1-$I$21)*B36,IF($B$14=4,$I$21*B36+(1-$I$21)*B42,IF($B$14=2,$I$21*B42+($I$21-1)*B48)))))))</f>
        <v>15.623877741578664</v>
      </c>
      <c r="C19" s="122" t="s">
        <v>327</v>
      </c>
      <c r="D19" s="152" t="s">
        <v>522</v>
      </c>
      <c r="E19" s="121" t="s">
        <v>307</v>
      </c>
      <c r="F19" s="124">
        <v>6</v>
      </c>
      <c r="G19" s="124" t="s">
        <v>78</v>
      </c>
      <c r="H19" s="124">
        <f>($F$11-85.5)/1</f>
        <v>6.5</v>
      </c>
      <c r="I19" s="125">
        <f>ABS(H19)</f>
        <v>6.5</v>
      </c>
    </row>
    <row r="20" spans="1:16" x14ac:dyDescent="0.2">
      <c r="A20" s="121" t="s">
        <v>280</v>
      </c>
      <c r="B20" s="784">
        <f>IF($B$14=7,B31,IF($B$14=5,B37,IF($B$14=3,B43,IF($B$14=1,B49,IF($B$14=6,$I$21*B31+(1-$I$21)*B37,IF($B$14=4,$I$21*B37+(1-$I$21)*B43,IF($B$14=2,$I$21*B43+($I$21-1)*B49)))))))</f>
        <v>12.416673616372414</v>
      </c>
      <c r="C20" s="122" t="s">
        <v>327</v>
      </c>
      <c r="D20" s="152" t="s">
        <v>222</v>
      </c>
      <c r="E20" s="121" t="s">
        <v>235</v>
      </c>
      <c r="F20" s="124">
        <v>7</v>
      </c>
      <c r="G20" s="124"/>
      <c r="H20" s="124"/>
      <c r="I20" s="125"/>
    </row>
    <row r="21" spans="1:16" ht="13.5" thickBot="1" x14ac:dyDescent="0.25">
      <c r="A21" s="121" t="s">
        <v>745</v>
      </c>
      <c r="B21" s="784">
        <f>IF($B$14=7,'Zone Wind Speeds'!C4,IF($B$14=5,'Zone Wind Speeds'!C10,IF($B$14=3,'Zone Wind Speeds'!C16,IF($B$14=1,'Zone Wind Speeds'!C22,IF($B$14=6,$I$21*'Zone Wind Speeds'!C4+(1-$I$21)*'Zone Wind Speeds'!C10,IF($B$14=4,$I$21*'Zone Wind Speeds'!C10+(1-$I$21)*'Zone Wind Speeds'!C16,IF($B$14=2,$I$21*'Zone Wind Speeds'!C16+($I$21-1)*'Zone Wind Speeds'!C22)))))))</f>
        <v>58.4542</v>
      </c>
      <c r="C21" s="122" t="s">
        <v>226</v>
      </c>
      <c r="E21" s="126" t="s">
        <v>311</v>
      </c>
      <c r="F21" s="127"/>
      <c r="G21" s="127"/>
      <c r="H21" s="127" t="s">
        <v>222</v>
      </c>
      <c r="I21" s="128">
        <f>MIN(I15:I20)</f>
        <v>2</v>
      </c>
    </row>
    <row r="22" spans="1:16" ht="13.5" thickTop="1" x14ac:dyDescent="0.2">
      <c r="A22" s="121" t="s">
        <v>746</v>
      </c>
      <c r="B22" s="784">
        <f>IF($B$14=7,'Zone Wind Speeds'!C5,IF($B$14=5,'Zone Wind Speeds'!C11,IF($B$14=3,'Zone Wind Speeds'!C17,IF($B$14=1,'Zone Wind Speeds'!C23,IF($B$14=6,$I$21*'Zone Wind Speeds'!C5+(1-$I$21)*'Zone Wind Speeds'!C11,IF($B$14=4,$I$21*'Zone Wind Speeds'!C11+(1-$I$21)*'Zone Wind Speeds'!C17,IF($B$14=2,$I$21*'Zone Wind Speeds'!C17+($I$21-1)*'Zone Wind Speeds'!C23)))))))</f>
        <v>83.311799999999991</v>
      </c>
      <c r="C22" s="122" t="s">
        <v>226</v>
      </c>
    </row>
    <row r="23" spans="1:16" x14ac:dyDescent="0.2">
      <c r="A23" s="121" t="s">
        <v>747</v>
      </c>
      <c r="B23" s="784">
        <f>IF($B$14=7,'Zone Wind Speeds'!C6,IF($B$14=5,'Zone Wind Speeds'!C12,IF($B$14=3,'Zone Wind Speeds'!C18,IF($B$14=1,'Zone Wind Speeds'!C24,IF($B$14=6,$I$21*'Zone Wind Speeds'!C6+(1-$I$21)*'Zone Wind Speeds'!C12,IF($B$14=4,$I$21*'Zone Wind Speeds'!C12+(1-$I$21)*'Zone Wind Speeds'!C18,IF($B$14=2,$I$21*'Zone Wind Speeds'!C18+($I$21-1)*'Zone Wind Speeds'!C24)))))))</f>
        <v>93.604399999999998</v>
      </c>
      <c r="C23" s="122" t="s">
        <v>226</v>
      </c>
    </row>
    <row r="24" spans="1:16" x14ac:dyDescent="0.2">
      <c r="A24" s="121"/>
      <c r="B24" s="784"/>
      <c r="C24" s="122"/>
    </row>
    <row r="25" spans="1:16" ht="13.5" thickBot="1" x14ac:dyDescent="0.25">
      <c r="A25" s="146"/>
      <c r="B25" s="785"/>
      <c r="C25" s="147"/>
    </row>
    <row r="26" spans="1:16" s="18" customFormat="1" ht="14.25" thickTop="1" thickBot="1" x14ac:dyDescent="0.25">
      <c r="A26" s="150" t="s">
        <v>275</v>
      </c>
      <c r="B26" s="788"/>
      <c r="C26" s="151"/>
      <c r="F26" s="84"/>
      <c r="G26" s="17"/>
      <c r="H26" s="83"/>
      <c r="I26" s="83"/>
      <c r="J26" s="83"/>
      <c r="K26" s="83"/>
      <c r="L26" s="83"/>
      <c r="M26" s="83"/>
      <c r="N26" s="83"/>
      <c r="O26" s="83"/>
      <c r="P26" s="83"/>
    </row>
    <row r="27" spans="1:16" ht="13.5" thickTop="1" x14ac:dyDescent="0.2">
      <c r="A27" s="148" t="s">
        <v>313</v>
      </c>
      <c r="B27" s="789">
        <f>IF(B13&gt;100,0.008*B13+12.4,IF(B13&gt;18,0.0004*B13^2-0.0473*B13+14.46,IF(B13&gt;10,0.3125*B13+8.375,"N/A too Shallow")))</f>
        <v>13.140406423968891</v>
      </c>
      <c r="C27" s="149" t="s">
        <v>327</v>
      </c>
      <c r="G27" s="129"/>
      <c r="H27" s="130"/>
    </row>
    <row r="28" spans="1:16" x14ac:dyDescent="0.2">
      <c r="A28" s="121" t="s">
        <v>312</v>
      </c>
      <c r="B28" s="790">
        <f>IF(B13&gt;100,1.2177*10^-2*B13+1.8364*10^1,IF(B13&gt;10,-3.77331*10^-7*B13^4+1.04167*10^-4*B13^3-1.09025*10^-2*B13^2+5.55181*10^-1*B13+6.50833*10^0,"N/A too Shallow"))</f>
        <v>18.750671346678988</v>
      </c>
      <c r="C28" s="122" t="s">
        <v>327</v>
      </c>
      <c r="G28" s="129"/>
    </row>
    <row r="29" spans="1:16" x14ac:dyDescent="0.2">
      <c r="A29" s="121" t="s">
        <v>278</v>
      </c>
      <c r="B29" s="790">
        <f>IF(B13&gt;100,0.0115*B13 + 16.7,IF(B13&gt;10, -2.18531*10^-7*B13^4 + 6.35781*10^-5*B13^3 - 7.10635*10^-3*B13^2 + 3.99481*10^-1*B13 + 7.21667*10^0,"N/A too Shallow"))</f>
        <v>17.041965530898199</v>
      </c>
      <c r="C29" s="122" t="s">
        <v>327</v>
      </c>
      <c r="F29" s="129"/>
      <c r="G29" s="129"/>
    </row>
    <row r="30" spans="1:16" x14ac:dyDescent="0.2">
      <c r="A30" s="121" t="s">
        <v>279</v>
      </c>
      <c r="B30" s="790">
        <f>IF(B13&gt;100,y = 0.01*B13 + 15.1,IF(B13&gt;10,-1.71911*10^-7*B13^4 + 4.85043*10^-5*B13^3 - 5.39423*10^-3*B13^2 + 3.13914*10^-1*B13 + 7.35*10^0,"N/A too Shallow"))</f>
        <v>15.512133812298851</v>
      </c>
      <c r="C30" s="122" t="s">
        <v>327</v>
      </c>
      <c r="E30" s="83" t="s">
        <v>222</v>
      </c>
      <c r="F30" s="129"/>
    </row>
    <row r="31" spans="1:16" ht="13.5" thickBot="1" x14ac:dyDescent="0.25">
      <c r="A31" s="121" t="s">
        <v>280</v>
      </c>
      <c r="B31" s="790">
        <f>IF(B13&gt;100, 0.009*B13 + 12.2,IF(B13&gt;10,-1.8648*10^-7*B13^4 + 4.96309*10^-5*B13^3 - 5.13811*10^-3*B13^2 + 2.77863*10^-1*B13 + 5.7*10^0,"N/A too Shallow"))</f>
        <v>12.619300609116138</v>
      </c>
      <c r="C31" s="122" t="s">
        <v>327</v>
      </c>
      <c r="F31" s="129"/>
    </row>
    <row r="32" spans="1:16" s="18" customFormat="1" ht="14.25" thickTop="1" thickBot="1" x14ac:dyDescent="0.25">
      <c r="A32" s="150" t="s">
        <v>281</v>
      </c>
      <c r="B32" s="791"/>
      <c r="C32" s="151"/>
      <c r="D32" s="83"/>
      <c r="E32" s="83"/>
      <c r="F32" s="83"/>
      <c r="G32" s="83"/>
      <c r="H32" s="83"/>
      <c r="I32" s="83"/>
      <c r="J32" s="83"/>
      <c r="K32" s="83"/>
      <c r="L32" s="83"/>
      <c r="M32" s="83"/>
      <c r="N32" s="83"/>
      <c r="O32" s="83"/>
      <c r="P32" s="83"/>
    </row>
    <row r="33" spans="1:16" ht="13.5" thickTop="1" x14ac:dyDescent="0.2">
      <c r="A33" s="121" t="s">
        <v>276</v>
      </c>
      <c r="B33" s="790">
        <f>IF(B13&gt;100,0.008*B13 + 16.2,IF(B13&gt;21.5,2.04483*10^-9*B13^5 - 5.10543*10^-7*B13^4 + 3.10455*10^-5*B13^3 + 1.54389*10^-3*B13^2 - 2.15981*10^-1*B13 + 2.27201*10^1,IF(B13&gt;10, 0.4629*B13 + 8.48689,"N/A Too Shallow")))</f>
        <v>16.998912997556726</v>
      </c>
      <c r="C33" s="122" t="s">
        <v>327</v>
      </c>
      <c r="E33" s="18"/>
      <c r="G33" s="83"/>
      <c r="H33" s="83"/>
      <c r="I33" s="83"/>
    </row>
    <row r="34" spans="1:16" x14ac:dyDescent="0.2">
      <c r="A34" s="121" t="s">
        <v>277</v>
      </c>
      <c r="B34" s="790">
        <f>IF(B13&gt;100, 1.8*10^-2*B13+ 2.34*10^1,IF(B13&gt;10,-1.24126*10^-6*B13^4 + 3.27253*10^-4*B13^3 - 3.14272*10^-2*B13^2 + 1.35782*10^0*B13 + 4.5*10^-1,"N/A Too Shallow"))</f>
        <v>24.163368880062787</v>
      </c>
      <c r="C34" s="122" t="s">
        <v>327</v>
      </c>
      <c r="F34" s="129"/>
      <c r="G34" s="83"/>
      <c r="H34" s="83"/>
      <c r="I34" s="83"/>
    </row>
    <row r="35" spans="1:16" x14ac:dyDescent="0.2">
      <c r="A35" s="121" t="s">
        <v>278</v>
      </c>
      <c r="B35" s="790">
        <f>IF(B13&gt;100,  0.013*B13 + 22.5,IF(B13&gt;10,-1.37005*10^-6*B13^4 + 3.52727*10^-4*B13^3 - 3.28152*10^-2*B13^2 + 1.36505*10^0*B13 - 4.5*10^-1,"N/A Too Shallow"))</f>
        <v>22.64866548982339</v>
      </c>
      <c r="C35" s="122" t="s">
        <v>327</v>
      </c>
      <c r="F35" s="129"/>
      <c r="G35" s="83"/>
      <c r="H35" s="83"/>
      <c r="I35" s="83"/>
    </row>
    <row r="36" spans="1:16" x14ac:dyDescent="0.2">
      <c r="A36" s="121" t="s">
        <v>279</v>
      </c>
      <c r="B36" s="790">
        <f>IF(B13&gt;100,  0.0163*B13 + 19.57,IF(B13&gt;10,-1.08974*10^-6*B13^4 + 2.81061*10^-4*B13^3 - 2.63508*10^-2*B13^2 + 1.11517*10^0*B13 + 9.66667*10^-1,"N/A Too Shallow"))</f>
        <v>20.351504264442511</v>
      </c>
      <c r="C36" s="122" t="s">
        <v>327</v>
      </c>
      <c r="F36" s="129"/>
      <c r="G36" s="83"/>
      <c r="H36" s="83"/>
      <c r="I36" s="83"/>
    </row>
    <row r="37" spans="1:16" ht="13.5" thickBot="1" x14ac:dyDescent="0.25">
      <c r="A37" s="121" t="s">
        <v>280</v>
      </c>
      <c r="B37" s="790">
        <f>IF(B13&gt;100, 0.01*B13 + 15,IF(B13&gt;10,-7.53205*10^-7*B13^4 + 1.93891*10^-4*B13^3 - 1.80159*10^-2*B13^2 + 7.53335*10^-1*B13 + 2.19167*10^0,"N/A Too Shallow"))</f>
        <v>15.223353485958922</v>
      </c>
      <c r="C37" s="122" t="s">
        <v>327</v>
      </c>
      <c r="F37" s="129"/>
      <c r="G37" s="83"/>
      <c r="H37" s="83"/>
      <c r="I37" s="83"/>
    </row>
    <row r="38" spans="1:16" s="18" customFormat="1" ht="14.25" thickTop="1" thickBot="1" x14ac:dyDescent="0.25">
      <c r="A38" s="150" t="s">
        <v>282</v>
      </c>
      <c r="B38" s="791"/>
      <c r="C38" s="151"/>
      <c r="D38" s="83"/>
      <c r="E38" s="83"/>
      <c r="F38" s="83"/>
      <c r="G38" s="83"/>
      <c r="H38" s="83"/>
      <c r="I38" s="83"/>
      <c r="J38" s="83"/>
      <c r="K38" s="83"/>
      <c r="L38" s="83"/>
      <c r="M38" s="83"/>
      <c r="N38" s="83"/>
      <c r="O38" s="83"/>
      <c r="P38" s="83"/>
    </row>
    <row r="39" spans="1:16" ht="13.5" thickTop="1" x14ac:dyDescent="0.2">
      <c r="A39" s="121" t="s">
        <v>276</v>
      </c>
      <c r="B39" s="790">
        <f>IF(B13&gt;20,9.19165*10^-5*B13^2 - 1.84824*10^-2*B13 + 1.40571*10^1,IF(B13&gt;19, -1.9*B13 + 52.1,IF(B13&gt;10,  0.4222*B13 + 7.9778,"N/A Too Shallow")))</f>
        <v>13.19693595986277</v>
      </c>
      <c r="C39" s="122" t="s">
        <v>327</v>
      </c>
      <c r="E39" s="18"/>
      <c r="F39" s="129"/>
      <c r="G39" s="83"/>
      <c r="H39" s="83"/>
      <c r="I39" s="83"/>
    </row>
    <row r="40" spans="1:16" x14ac:dyDescent="0.2">
      <c r="A40" s="121" t="s">
        <v>277</v>
      </c>
      <c r="B40" s="790">
        <f>IF(B13&gt;100, 0.012*B13 + 18.6,IF(B13&gt;10, -2.7535*10^-7*B13^4 + 8.05264*10^-5*B13^3 - 8.94071*10^-3*B13^2 + 4.86962*10^-1*B13 + 7.475*10^0,"N/A Too Shallow"))</f>
        <v>18.89105944150235</v>
      </c>
      <c r="C40" s="122" t="s">
        <v>327</v>
      </c>
      <c r="F40" s="129"/>
      <c r="G40" s="83"/>
      <c r="H40" s="83"/>
      <c r="I40" s="83"/>
    </row>
    <row r="41" spans="1:16" x14ac:dyDescent="0.2">
      <c r="A41" s="121" t="s">
        <v>278</v>
      </c>
      <c r="B41" s="790">
        <f>IF(B13&gt;100,   0.013*B13 + 17,IF(B13&gt;10,-4.62558*10^-7*B13^4 + 1.20479*10^-4*B13^3 - 1.17721*10^-2*B13^2 + 5.5742*10^-1*B13 + 6.0125*10^0,"N/A Too Shallow"))</f>
        <v>17.710063498238082</v>
      </c>
      <c r="C41" s="122" t="s">
        <v>327</v>
      </c>
      <c r="F41" s="129"/>
      <c r="G41" s="83"/>
      <c r="H41" s="83"/>
      <c r="I41" s="83"/>
    </row>
    <row r="42" spans="1:16" x14ac:dyDescent="0.2">
      <c r="A42" s="121" t="s">
        <v>279</v>
      </c>
      <c r="B42" s="790">
        <f>IF(B13&gt;100, 0.01*B13 + 15.3,IF(B13&gt;10,-3.39452*10^-7*B13^4 + 9.05497*10^-5*B13^3 - 9.07241*10^-3*B13^2 + 4.44578*10^-1*B13 + 5.925*10^0,"N/A Too Shallow"))</f>
        <v>15.623877741578664</v>
      </c>
      <c r="C42" s="122" t="s">
        <v>327</v>
      </c>
      <c r="F42" s="129"/>
      <c r="G42" s="83"/>
      <c r="H42" s="83"/>
      <c r="I42" s="83"/>
    </row>
    <row r="43" spans="1:16" ht="13.5" thickBot="1" x14ac:dyDescent="0.25">
      <c r="A43" s="146" t="s">
        <v>280</v>
      </c>
      <c r="B43" s="792">
        <f>IF(B13&gt;100, 0.009*B13 + 12.1,IF(B13&gt;10,-2.41841*10^-7*B13^4 + 6.35004*10^-5*B13^3 - 6.27418*10^-3*B13^2 + 3.11575*10^-1*B13 + 5.26667*10^0,"N/A Too Shallow"))</f>
        <v>12.416673616372414</v>
      </c>
      <c r="C43" s="147" t="s">
        <v>327</v>
      </c>
      <c r="F43" s="129"/>
      <c r="G43" s="83"/>
      <c r="H43" s="83"/>
      <c r="I43" s="83"/>
    </row>
    <row r="44" spans="1:16" s="18" customFormat="1" ht="14.25" thickTop="1" thickBot="1" x14ac:dyDescent="0.25">
      <c r="A44" s="150" t="s">
        <v>283</v>
      </c>
      <c r="B44" s="791"/>
      <c r="C44" s="151"/>
      <c r="D44" s="83"/>
      <c r="E44" s="83"/>
      <c r="F44" s="83"/>
      <c r="G44" s="83"/>
      <c r="H44" s="83"/>
      <c r="I44" s="83"/>
      <c r="J44" s="83"/>
      <c r="K44" s="83"/>
      <c r="L44" s="83"/>
      <c r="M44" s="83"/>
      <c r="N44" s="83"/>
      <c r="O44" s="83"/>
      <c r="P44" s="83"/>
    </row>
    <row r="45" spans="1:16" ht="13.5" thickTop="1" x14ac:dyDescent="0.2">
      <c r="A45" s="148" t="s">
        <v>276</v>
      </c>
      <c r="B45" s="789">
        <f>IF(B13&gt;100,0.008*B13 + 13.2,IF(B13&gt;18.5,5.88844*10^-7*B13^4 - 1.59596*10^-4*B13^3 + 1.55554*10^-2*B13^2 - 6.42289*10^-1*B13 + 2.34263*10^1,IF(B13&gt;10, 0.5059*B13+6.4912,"N/A Too Shallow")))</f>
        <v>14.069517529942953</v>
      </c>
      <c r="C45" s="149" t="s">
        <v>327</v>
      </c>
      <c r="E45" s="18"/>
      <c r="G45" s="83"/>
      <c r="H45" s="83"/>
      <c r="I45" s="83"/>
    </row>
    <row r="46" spans="1:16" x14ac:dyDescent="0.2">
      <c r="A46" s="121" t="s">
        <v>277</v>
      </c>
      <c r="B46" s="790">
        <f>IF(B13&gt;100, 0.0115*B13 + 19.85,IF(B13&gt;10,-3.35082*10^-7*B13^4 + 9.64452*10^-5*B13^3 - 1.04706*10^-2*B13^2 + 5.53193*10^-1*B13 + 7.45*10^0,"N/A Too Shallow"))</f>
        <v>20.045214633439272</v>
      </c>
      <c r="C46" s="122" t="s">
        <v>327</v>
      </c>
      <c r="F46" s="129"/>
      <c r="G46" s="83"/>
      <c r="H46" s="83"/>
      <c r="I46" s="83"/>
    </row>
    <row r="47" spans="1:16" x14ac:dyDescent="0.2">
      <c r="A47" s="121" t="s">
        <v>278</v>
      </c>
      <c r="B47" s="790">
        <f>IF(B13&gt;100,  0.01*B13 + 17.1,IF(B13&gt;10,-5.82751*10^-9*B13^4 + 5.36131*10^-6*B13^3 - 1.52448*10^-3*B13^2 + 1.83456*10^-1*B13 + 1.025*10^1,"N/A Too Shallow"))</f>
        <v>17.444208454533275</v>
      </c>
      <c r="C47" s="122" t="s">
        <v>327</v>
      </c>
      <c r="F47" s="129"/>
      <c r="G47" s="83"/>
      <c r="H47" s="83"/>
      <c r="I47" s="83"/>
    </row>
    <row r="48" spans="1:16" x14ac:dyDescent="0.2">
      <c r="A48" s="121" t="s">
        <v>279</v>
      </c>
      <c r="B48" s="790">
        <f>IF(B13&gt;100,0.01*B13 + 14.8,IF(B13&gt;40, 3.71429*10^-2*B13 + 1.21714*10^1,IF(B13&gt;10, -5.08333*10^-4*B13^3 + 3.225*10^-2*B13^2 - 4.11667*10^-1*B13 + 1.09*10^1,"N/A Too Shallow")))</f>
        <v>14.888510460863206</v>
      </c>
      <c r="C48" s="122" t="s">
        <v>327</v>
      </c>
      <c r="F48" s="129"/>
      <c r="G48" s="83"/>
      <c r="H48" s="83"/>
      <c r="I48" s="83"/>
    </row>
    <row r="49" spans="1:9" ht="13.5" thickBot="1" x14ac:dyDescent="0.25">
      <c r="A49" s="126" t="s">
        <v>280</v>
      </c>
      <c r="B49" s="793">
        <f>IF(B13&gt;100,  0.005*B13 + 10.5,IF(B13&gt;10, -1.95221*10^-7*B13^4 + 5.46426*10^-5*B13^3 - 5.67861*10^-3*B13^2 + 2.8513*10^-1*B13 + 4.16667*10^0,"N/A Too Shallow"))</f>
        <v>10.436767438824985</v>
      </c>
      <c r="C49" s="131" t="s">
        <v>327</v>
      </c>
      <c r="F49" s="129"/>
      <c r="G49" s="83"/>
      <c r="H49" s="83"/>
      <c r="I49" s="83"/>
    </row>
    <row r="50" spans="1:9" ht="13.5" thickTop="1" x14ac:dyDescent="0.2">
      <c r="B50" s="132"/>
      <c r="G50" s="83"/>
      <c r="H50" s="83"/>
      <c r="I50" s="83"/>
    </row>
    <row r="51" spans="1:9" x14ac:dyDescent="0.2">
      <c r="B51" s="132"/>
      <c r="G51" s="83"/>
      <c r="H51" s="83"/>
      <c r="I51" s="83"/>
    </row>
    <row r="52" spans="1:9" x14ac:dyDescent="0.2">
      <c r="B52" s="132"/>
      <c r="G52" s="83"/>
      <c r="H52" s="83"/>
      <c r="I52" s="83"/>
    </row>
    <row r="53" spans="1:9" x14ac:dyDescent="0.2">
      <c r="B53" s="132"/>
      <c r="G53" s="83"/>
      <c r="H53" s="83"/>
      <c r="I53" s="83"/>
    </row>
    <row r="54" spans="1:9" ht="29.25" customHeight="1" x14ac:dyDescent="0.2">
      <c r="B54" s="132"/>
      <c r="G54" s="83"/>
      <c r="H54" s="83"/>
      <c r="I54" s="83"/>
    </row>
    <row r="55" spans="1:9" ht="29.25" customHeight="1" x14ac:dyDescent="0.2">
      <c r="B55" s="132"/>
      <c r="G55" s="83"/>
      <c r="H55" s="83"/>
      <c r="I55" s="83"/>
    </row>
    <row r="56" spans="1:9" ht="29.25" customHeight="1" x14ac:dyDescent="0.2">
      <c r="B56" s="133"/>
      <c r="G56" s="83"/>
      <c r="H56" s="83"/>
      <c r="I56" s="83"/>
    </row>
    <row r="57" spans="1:9" ht="29.25" customHeight="1" x14ac:dyDescent="0.2">
      <c r="B57" s="133"/>
      <c r="G57" s="83"/>
      <c r="H57" s="83"/>
      <c r="I57" s="83"/>
    </row>
    <row r="58" spans="1:9" x14ac:dyDescent="0.2">
      <c r="B58" s="133"/>
      <c r="G58" s="83"/>
      <c r="H58" s="83"/>
      <c r="I58" s="83"/>
    </row>
    <row r="59" spans="1:9" x14ac:dyDescent="0.2">
      <c r="B59" s="134"/>
      <c r="G59" s="83"/>
      <c r="H59" s="83"/>
      <c r="I59" s="83"/>
    </row>
    <row r="60" spans="1:9" x14ac:dyDescent="0.2">
      <c r="B60" s="134"/>
      <c r="G60" s="83"/>
      <c r="H60" s="83"/>
      <c r="I60" s="83"/>
    </row>
    <row r="61" spans="1:9" x14ac:dyDescent="0.2">
      <c r="B61" s="134"/>
      <c r="G61" s="83"/>
      <c r="H61" s="83"/>
      <c r="I61" s="83"/>
    </row>
    <row r="62" spans="1:9" x14ac:dyDescent="0.2">
      <c r="B62" s="134"/>
      <c r="G62" s="83"/>
      <c r="H62" s="83"/>
      <c r="I62" s="83"/>
    </row>
    <row r="63" spans="1:9" x14ac:dyDescent="0.2">
      <c r="B63" s="133"/>
      <c r="G63" s="83"/>
      <c r="H63" s="83"/>
      <c r="I63" s="83"/>
    </row>
    <row r="64" spans="1:9" x14ac:dyDescent="0.2">
      <c r="B64" s="133"/>
    </row>
    <row r="65" spans="2:2" x14ac:dyDescent="0.2">
      <c r="B65" s="133"/>
    </row>
    <row r="66" spans="2:2" x14ac:dyDescent="0.2">
      <c r="B66" s="133"/>
    </row>
    <row r="67" spans="2:2" x14ac:dyDescent="0.2">
      <c r="B67" s="133"/>
    </row>
    <row r="68" spans="2:2" x14ac:dyDescent="0.2">
      <c r="B68" s="133"/>
    </row>
    <row r="69" spans="2:2" x14ac:dyDescent="0.2">
      <c r="B69" s="133"/>
    </row>
    <row r="70" spans="2:2" x14ac:dyDescent="0.2">
      <c r="B70" s="133"/>
    </row>
    <row r="71" spans="2:2" x14ac:dyDescent="0.2">
      <c r="B71" s="133"/>
    </row>
    <row r="72" spans="2:2" x14ac:dyDescent="0.2">
      <c r="B72" s="133"/>
    </row>
    <row r="73" spans="2:2" x14ac:dyDescent="0.2">
      <c r="B73" s="133"/>
    </row>
    <row r="74" spans="2:2" x14ac:dyDescent="0.2">
      <c r="B74" s="133"/>
    </row>
    <row r="75" spans="2:2" x14ac:dyDescent="0.2">
      <c r="B75" s="133"/>
    </row>
  </sheetData>
  <sheetProtection password="83AF" sheet="1" objects="1" scenarios="1"/>
  <phoneticPr fontId="4" type="noConversion"/>
  <conditionalFormatting sqref="B14 B16:B24">
    <cfRule type="cellIs" priority="1" stopIfTrue="1" operator="greaterThan">
      <formula>0</formula>
    </cfRule>
  </conditionalFormatting>
  <printOptions gridLines="1"/>
  <pageMargins left="0.75" right="0.75" top="1" bottom="1" header="0.5" footer="0.5"/>
  <pageSetup scale="10" orientation="landscape" horizontalDpi="1200" verticalDpi="1200" r:id="rId1"/>
  <headerFooter alignWithMargins="0">
    <oddHeader>&amp;L&amp;F&amp;C&amp;A</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10"/>
    <pageSetUpPr fitToPage="1"/>
  </sheetPr>
  <dimension ref="A1:C53"/>
  <sheetViews>
    <sheetView zoomScaleNormal="100" workbookViewId="0">
      <selection activeCell="I25" sqref="I25"/>
    </sheetView>
  </sheetViews>
  <sheetFormatPr defaultRowHeight="12.75" x14ac:dyDescent="0.2"/>
  <cols>
    <col min="1" max="1" width="21.42578125" customWidth="1"/>
    <col min="2" max="2" width="23.7109375" customWidth="1"/>
    <col min="3" max="3" width="21.42578125" style="800" customWidth="1"/>
  </cols>
  <sheetData>
    <row r="1" spans="1:3" s="18" customFormat="1" ht="14.25" thickTop="1" thickBot="1" x14ac:dyDescent="0.25">
      <c r="A1" s="112" t="s">
        <v>287</v>
      </c>
      <c r="B1" s="113"/>
      <c r="C1" s="794"/>
    </row>
    <row r="2" spans="1:3" ht="13.5" thickTop="1" x14ac:dyDescent="0.2">
      <c r="A2" s="114" t="s">
        <v>224</v>
      </c>
      <c r="B2" s="115" t="s">
        <v>743</v>
      </c>
      <c r="C2" s="795" t="s">
        <v>224</v>
      </c>
    </row>
    <row r="3" spans="1:3" x14ac:dyDescent="0.2">
      <c r="A3" s="21" t="s">
        <v>223</v>
      </c>
      <c r="B3" s="115" t="s">
        <v>742</v>
      </c>
      <c r="C3" s="796" t="s">
        <v>88</v>
      </c>
    </row>
    <row r="4" spans="1:3" x14ac:dyDescent="0.2">
      <c r="A4" s="116">
        <v>10</v>
      </c>
      <c r="B4" s="117">
        <v>34.799999999999997</v>
      </c>
      <c r="C4" s="797">
        <f>1.942*B4</f>
        <v>67.581599999999995</v>
      </c>
    </row>
    <row r="5" spans="1:3" x14ac:dyDescent="0.2">
      <c r="A5" s="116">
        <v>50</v>
      </c>
      <c r="B5" s="117">
        <v>44.8</v>
      </c>
      <c r="C5" s="797">
        <f>1.942*B5</f>
        <v>87.001599999999996</v>
      </c>
    </row>
    <row r="6" spans="1:3" ht="13.5" thickBot="1" x14ac:dyDescent="0.25">
      <c r="A6" s="116">
        <v>100</v>
      </c>
      <c r="B6" s="117">
        <v>48.7</v>
      </c>
      <c r="C6" s="797">
        <f>1.942*B6</f>
        <v>94.575400000000002</v>
      </c>
    </row>
    <row r="7" spans="1:3" s="18" customFormat="1" ht="14.25" thickTop="1" thickBot="1" x14ac:dyDescent="0.25">
      <c r="A7" s="112" t="s">
        <v>271</v>
      </c>
      <c r="B7" s="113"/>
      <c r="C7" s="798"/>
    </row>
    <row r="8" spans="1:3" ht="13.5" thickTop="1" x14ac:dyDescent="0.2">
      <c r="A8" s="114" t="s">
        <v>224</v>
      </c>
      <c r="B8" s="115" t="s">
        <v>224</v>
      </c>
      <c r="C8" s="795" t="s">
        <v>224</v>
      </c>
    </row>
    <row r="9" spans="1:3" x14ac:dyDescent="0.2">
      <c r="A9" s="21" t="s">
        <v>223</v>
      </c>
      <c r="B9" s="115" t="s">
        <v>742</v>
      </c>
      <c r="C9" s="796" t="s">
        <v>88</v>
      </c>
    </row>
    <row r="10" spans="1:3" x14ac:dyDescent="0.2">
      <c r="A10" s="116">
        <v>10</v>
      </c>
      <c r="B10" s="117">
        <v>41</v>
      </c>
      <c r="C10" s="797">
        <f>1.942*B10</f>
        <v>79.622</v>
      </c>
    </row>
    <row r="11" spans="1:3" x14ac:dyDescent="0.2">
      <c r="A11" s="116">
        <v>50</v>
      </c>
      <c r="B11" s="117">
        <v>57.4</v>
      </c>
      <c r="C11" s="797">
        <f>1.942*B11</f>
        <v>111.4708</v>
      </c>
    </row>
    <row r="12" spans="1:3" ht="13.5" thickBot="1" x14ac:dyDescent="0.25">
      <c r="A12" s="116">
        <v>100</v>
      </c>
      <c r="B12" s="117">
        <v>62.8</v>
      </c>
      <c r="C12" s="797">
        <f>1.942*B12</f>
        <v>121.95759999999999</v>
      </c>
    </row>
    <row r="13" spans="1:3" ht="14.25" thickTop="1" thickBot="1" x14ac:dyDescent="0.25">
      <c r="A13" s="112" t="s">
        <v>286</v>
      </c>
      <c r="B13" s="113"/>
      <c r="C13" s="798"/>
    </row>
    <row r="14" spans="1:3" ht="13.5" thickTop="1" x14ac:dyDescent="0.2">
      <c r="A14" s="114" t="s">
        <v>224</v>
      </c>
      <c r="B14" s="115" t="s">
        <v>224</v>
      </c>
      <c r="C14" s="795" t="s">
        <v>224</v>
      </c>
    </row>
    <row r="15" spans="1:3" x14ac:dyDescent="0.2">
      <c r="A15" s="21" t="s">
        <v>223</v>
      </c>
      <c r="B15" s="115" t="s">
        <v>742</v>
      </c>
      <c r="C15" s="796" t="s">
        <v>88</v>
      </c>
    </row>
    <row r="16" spans="1:3" x14ac:dyDescent="0.2">
      <c r="A16" s="116">
        <v>10</v>
      </c>
      <c r="B16" s="117">
        <v>30.1</v>
      </c>
      <c r="C16" s="797">
        <f>1.942*B16</f>
        <v>58.4542</v>
      </c>
    </row>
    <row r="17" spans="1:3" x14ac:dyDescent="0.2">
      <c r="A17" s="116">
        <v>50</v>
      </c>
      <c r="B17" s="117">
        <v>42.9</v>
      </c>
      <c r="C17" s="797">
        <f>1.942*B17</f>
        <v>83.311799999999991</v>
      </c>
    </row>
    <row r="18" spans="1:3" ht="13.5" thickBot="1" x14ac:dyDescent="0.25">
      <c r="A18" s="116">
        <v>100</v>
      </c>
      <c r="B18" s="117">
        <v>48.2</v>
      </c>
      <c r="C18" s="797">
        <f>1.942*B18</f>
        <v>93.604399999999998</v>
      </c>
    </row>
    <row r="19" spans="1:3" ht="14.25" thickTop="1" thickBot="1" x14ac:dyDescent="0.25">
      <c r="A19" s="112" t="s">
        <v>285</v>
      </c>
      <c r="B19" s="113"/>
      <c r="C19" s="798"/>
    </row>
    <row r="20" spans="1:3" ht="13.5" thickTop="1" x14ac:dyDescent="0.2">
      <c r="A20" s="114" t="s">
        <v>224</v>
      </c>
      <c r="B20" s="115" t="s">
        <v>224</v>
      </c>
      <c r="C20" s="795" t="s">
        <v>224</v>
      </c>
    </row>
    <row r="21" spans="1:3" x14ac:dyDescent="0.2">
      <c r="A21" s="21" t="s">
        <v>223</v>
      </c>
      <c r="B21" s="115" t="s">
        <v>742</v>
      </c>
      <c r="C21" s="796" t="s">
        <v>88</v>
      </c>
    </row>
    <row r="22" spans="1:3" x14ac:dyDescent="0.2">
      <c r="A22" s="116">
        <v>10</v>
      </c>
      <c r="B22" s="117">
        <v>27</v>
      </c>
      <c r="C22" s="797">
        <f>1.942*B22</f>
        <v>52.433999999999997</v>
      </c>
    </row>
    <row r="23" spans="1:3" x14ac:dyDescent="0.2">
      <c r="A23" s="116">
        <v>50</v>
      </c>
      <c r="B23" s="117">
        <v>45.2</v>
      </c>
      <c r="C23" s="797">
        <f>1.942*B23</f>
        <v>87.778400000000005</v>
      </c>
    </row>
    <row r="24" spans="1:3" ht="13.5" thickBot="1" x14ac:dyDescent="0.25">
      <c r="A24" s="116">
        <v>100</v>
      </c>
      <c r="B24" s="117">
        <v>50.8</v>
      </c>
      <c r="C24" s="797">
        <f>1.942*B24</f>
        <v>98.653599999999997</v>
      </c>
    </row>
    <row r="25" spans="1:3" ht="14.25" thickTop="1" thickBot="1" x14ac:dyDescent="0.25">
      <c r="A25" s="112"/>
      <c r="B25" s="113"/>
      <c r="C25" s="798"/>
    </row>
    <row r="26" spans="1:3" ht="13.5" thickTop="1" x14ac:dyDescent="0.2">
      <c r="C26" s="799"/>
    </row>
    <row r="27" spans="1:3" x14ac:dyDescent="0.2">
      <c r="C27" s="799"/>
    </row>
    <row r="28" spans="1:3" x14ac:dyDescent="0.2">
      <c r="C28" s="799"/>
    </row>
    <row r="29" spans="1:3" x14ac:dyDescent="0.2">
      <c r="C29" s="799"/>
    </row>
    <row r="30" spans="1:3" x14ac:dyDescent="0.2">
      <c r="C30" s="799"/>
    </row>
    <row r="31" spans="1:3" x14ac:dyDescent="0.2">
      <c r="C31" s="799"/>
    </row>
    <row r="32" spans="1:3" x14ac:dyDescent="0.2">
      <c r="C32" s="799"/>
    </row>
    <row r="33" spans="3:3" x14ac:dyDescent="0.2">
      <c r="C33" s="799"/>
    </row>
    <row r="34" spans="3:3" x14ac:dyDescent="0.2">
      <c r="C34" s="799"/>
    </row>
    <row r="35" spans="3:3" x14ac:dyDescent="0.2">
      <c r="C35" s="799"/>
    </row>
    <row r="36" spans="3:3" x14ac:dyDescent="0.2">
      <c r="C36" s="799"/>
    </row>
    <row r="37" spans="3:3" x14ac:dyDescent="0.2">
      <c r="C37" s="799"/>
    </row>
    <row r="38" spans="3:3" x14ac:dyDescent="0.2">
      <c r="C38" s="799"/>
    </row>
    <row r="39" spans="3:3" x14ac:dyDescent="0.2">
      <c r="C39" s="799"/>
    </row>
    <row r="40" spans="3:3" x14ac:dyDescent="0.2">
      <c r="C40" s="799"/>
    </row>
    <row r="41" spans="3:3" x14ac:dyDescent="0.2">
      <c r="C41" s="799"/>
    </row>
    <row r="42" spans="3:3" x14ac:dyDescent="0.2">
      <c r="C42" s="799"/>
    </row>
    <row r="50" ht="29.25" customHeight="1" x14ac:dyDescent="0.2"/>
    <row r="51" ht="29.25" customHeight="1" x14ac:dyDescent="0.2"/>
    <row r="52" ht="29.25" customHeight="1" x14ac:dyDescent="0.2"/>
    <row r="53" ht="29.25" customHeight="1" x14ac:dyDescent="0.2"/>
  </sheetData>
  <sheetProtection password="83AF" sheet="1" objects="1" scenarios="1"/>
  <phoneticPr fontId="4" type="noConversion"/>
  <printOptions gridLines="1"/>
  <pageMargins left="0.75" right="0.75" top="1" bottom="1" header="0.5" footer="0.5"/>
  <pageSetup fitToHeight="2" orientation="landscape" horizontalDpi="1200" verticalDpi="1200" r:id="rId1"/>
  <headerFooter alignWithMargins="0">
    <oddHeader>&amp;L&amp;F&amp;C&amp;A</oddHead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54"/>
  <sheetViews>
    <sheetView showGridLines="0" topLeftCell="B1" zoomScale="75" zoomScaleNormal="75" zoomScaleSheetLayoutView="75" workbookViewId="0">
      <selection activeCell="B23" sqref="B23"/>
    </sheetView>
  </sheetViews>
  <sheetFormatPr defaultRowHeight="12.75" x14ac:dyDescent="0.2"/>
  <cols>
    <col min="1" max="1" width="9.140625" style="487"/>
    <col min="2" max="2" width="11.28515625" style="487" customWidth="1"/>
    <col min="3" max="3" width="20.140625" style="487" customWidth="1"/>
    <col min="4" max="4" width="42.85546875" style="487" customWidth="1"/>
    <col min="5" max="5" width="16.7109375" style="487" customWidth="1"/>
    <col min="6" max="6" width="27" style="487" bestFit="1" customWidth="1"/>
    <col min="7" max="7" width="12.5703125" style="487" customWidth="1"/>
    <col min="8" max="8" width="10.140625" style="487" bestFit="1" customWidth="1"/>
    <col min="9" max="9" width="16" style="487" customWidth="1"/>
    <col min="10" max="10" width="77.28515625" style="492" customWidth="1"/>
    <col min="11" max="11" width="15.85546875" style="487" bestFit="1" customWidth="1"/>
    <col min="12" max="12" width="7.7109375" style="487" customWidth="1"/>
    <col min="13" max="13" width="25" style="487" customWidth="1"/>
    <col min="14" max="16384" width="9.140625" style="487"/>
  </cols>
  <sheetData>
    <row r="1" spans="3:13" ht="13.5" thickBot="1" x14ac:dyDescent="0.25">
      <c r="D1" s="488" t="s">
        <v>693</v>
      </c>
      <c r="J1" s="489"/>
    </row>
    <row r="2" spans="3:13" ht="14.25" thickTop="1" thickBot="1" x14ac:dyDescent="0.25">
      <c r="C2" s="490"/>
      <c r="D2" s="491" t="s">
        <v>164</v>
      </c>
      <c r="E2" s="493"/>
      <c r="J2" s="489"/>
    </row>
    <row r="3" spans="3:13" ht="14.25" thickTop="1" thickBot="1" x14ac:dyDescent="0.25">
      <c r="J3" s="489"/>
    </row>
    <row r="4" spans="3:13" ht="13.5" thickTop="1" x14ac:dyDescent="0.2">
      <c r="C4" s="494" t="s">
        <v>694</v>
      </c>
      <c r="D4" s="480"/>
      <c r="E4" s="495"/>
      <c r="J4" s="489"/>
    </row>
    <row r="5" spans="3:13" x14ac:dyDescent="0.2">
      <c r="C5" s="496" t="s">
        <v>695</v>
      </c>
      <c r="D5" s="481"/>
      <c r="E5" s="497"/>
      <c r="J5" s="489"/>
    </row>
    <row r="6" spans="3:13" ht="38.25" x14ac:dyDescent="0.2">
      <c r="C6" s="496" t="s">
        <v>208</v>
      </c>
      <c r="D6" s="482"/>
      <c r="E6" s="497"/>
      <c r="J6" s="498" t="s">
        <v>1</v>
      </c>
    </row>
    <row r="7" spans="3:13" x14ac:dyDescent="0.2">
      <c r="C7" s="496" t="s">
        <v>229</v>
      </c>
      <c r="D7" s="481"/>
      <c r="E7" s="497"/>
      <c r="J7" s="489"/>
    </row>
    <row r="8" spans="3:13" x14ac:dyDescent="0.2">
      <c r="C8" s="496" t="s">
        <v>165</v>
      </c>
      <c r="D8" s="481"/>
      <c r="E8" s="497"/>
      <c r="J8" s="489"/>
    </row>
    <row r="9" spans="3:13" ht="24.75" customHeight="1" x14ac:dyDescent="0.2">
      <c r="C9" s="496" t="s">
        <v>65</v>
      </c>
      <c r="D9" s="482"/>
      <c r="E9" s="497" t="s">
        <v>222</v>
      </c>
      <c r="J9" s="978" t="s">
        <v>740</v>
      </c>
    </row>
    <row r="10" spans="3:13" ht="25.5" customHeight="1" x14ac:dyDescent="0.2">
      <c r="C10" s="496" t="s">
        <v>64</v>
      </c>
      <c r="D10" s="483"/>
      <c r="E10" s="497"/>
      <c r="J10" s="979"/>
    </row>
    <row r="11" spans="3:13" x14ac:dyDescent="0.2">
      <c r="C11" s="496" t="s">
        <v>231</v>
      </c>
      <c r="D11" s="484"/>
      <c r="E11" s="497"/>
      <c r="J11" s="489"/>
    </row>
    <row r="12" spans="3:13" ht="25.5" customHeight="1" x14ac:dyDescent="0.2">
      <c r="C12" s="496" t="s">
        <v>166</v>
      </c>
      <c r="D12" s="648">
        <v>240</v>
      </c>
      <c r="E12" s="869" t="str">
        <f>IF(D12&lt;32.2,"Lower Limit 32.2 ft (10 m)","Feet")</f>
        <v>Feet</v>
      </c>
      <c r="J12" s="978" t="s">
        <v>660</v>
      </c>
    </row>
    <row r="13" spans="3:13" x14ac:dyDescent="0.2">
      <c r="C13" s="496" t="s">
        <v>298</v>
      </c>
      <c r="D13" s="485"/>
      <c r="E13" s="497" t="s">
        <v>230</v>
      </c>
      <c r="J13" s="979"/>
    </row>
    <row r="14" spans="3:13" ht="38.25" x14ac:dyDescent="0.2">
      <c r="C14" s="496" t="s">
        <v>503</v>
      </c>
      <c r="D14" s="648">
        <v>410</v>
      </c>
      <c r="E14" s="497" t="s">
        <v>152</v>
      </c>
      <c r="J14" s="498" t="s">
        <v>585</v>
      </c>
    </row>
    <row r="15" spans="3:13" x14ac:dyDescent="0.2">
      <c r="C15" s="496" t="s">
        <v>504</v>
      </c>
      <c r="D15" s="648">
        <v>50</v>
      </c>
      <c r="E15" s="497" t="s">
        <v>152</v>
      </c>
      <c r="I15" s="499"/>
      <c r="J15" s="500"/>
      <c r="K15" s="499"/>
      <c r="L15" s="499"/>
      <c r="M15" s="499"/>
    </row>
    <row r="16" spans="3:13" x14ac:dyDescent="0.2">
      <c r="C16" s="496" t="s">
        <v>58</v>
      </c>
      <c r="D16" s="648">
        <v>62.6</v>
      </c>
      <c r="E16" s="497" t="s">
        <v>152</v>
      </c>
      <c r="I16" s="499"/>
      <c r="J16" s="500"/>
      <c r="K16" s="499"/>
      <c r="L16" s="499"/>
      <c r="M16" s="499"/>
    </row>
    <row r="17" spans="2:13" ht="25.5" x14ac:dyDescent="0.2">
      <c r="C17" s="501" t="str">
        <f>IF(Factors!J6=1,"Expected Penetration at full Preload", "Expected Penetration from bottom of mat")</f>
        <v>Expected Penetration at full Preload</v>
      </c>
      <c r="D17" s="648">
        <v>10</v>
      </c>
      <c r="E17" s="497" t="s">
        <v>152</v>
      </c>
      <c r="I17" s="499"/>
      <c r="J17" s="498" t="s">
        <v>3</v>
      </c>
      <c r="K17" s="499"/>
      <c r="L17" s="499"/>
      <c r="M17" s="499"/>
    </row>
    <row r="18" spans="2:13" x14ac:dyDescent="0.2">
      <c r="C18" s="496" t="s">
        <v>167</v>
      </c>
      <c r="D18" s="485"/>
      <c r="E18" s="497" t="s">
        <v>72</v>
      </c>
      <c r="I18" s="499"/>
      <c r="J18" s="500"/>
      <c r="K18" s="499"/>
      <c r="L18" s="499"/>
      <c r="M18" s="499"/>
    </row>
    <row r="19" spans="2:13" ht="25.5" x14ac:dyDescent="0.2">
      <c r="C19" s="496" t="s">
        <v>168</v>
      </c>
      <c r="D19" s="649">
        <v>92</v>
      </c>
      <c r="E19" s="497" t="s">
        <v>72</v>
      </c>
      <c r="I19" s="499"/>
      <c r="J19" s="498" t="s">
        <v>754</v>
      </c>
      <c r="K19" s="499"/>
      <c r="L19" s="499"/>
      <c r="M19" s="499"/>
    </row>
    <row r="20" spans="2:13" x14ac:dyDescent="0.2">
      <c r="C20" s="496" t="s">
        <v>169</v>
      </c>
      <c r="D20" s="484" t="s">
        <v>222</v>
      </c>
      <c r="E20" s="497" t="s">
        <v>152</v>
      </c>
      <c r="I20" s="499"/>
      <c r="J20" s="500"/>
      <c r="K20" s="499"/>
      <c r="L20" s="499"/>
      <c r="M20" s="499"/>
    </row>
    <row r="21" spans="2:13" ht="13.5" thickBot="1" x14ac:dyDescent="0.25">
      <c r="C21" s="502" t="s">
        <v>170</v>
      </c>
      <c r="D21" s="486"/>
      <c r="E21" s="503" t="s">
        <v>152</v>
      </c>
      <c r="I21" s="499"/>
      <c r="J21" s="500"/>
      <c r="K21" s="499"/>
      <c r="L21" s="499"/>
      <c r="M21" s="499"/>
    </row>
    <row r="22" spans="2:13" ht="14.25" thickTop="1" thickBot="1" x14ac:dyDescent="0.25">
      <c r="C22" s="504"/>
      <c r="D22" s="505"/>
      <c r="E22" s="506"/>
      <c r="I22" s="499"/>
      <c r="J22" s="500"/>
      <c r="K22" s="499"/>
      <c r="L22" s="499"/>
      <c r="M22" s="499"/>
    </row>
    <row r="23" spans="2:13" ht="52.5" thickTop="1" thickBot="1" x14ac:dyDescent="0.25">
      <c r="C23" s="507" t="s">
        <v>68</v>
      </c>
      <c r="D23" s="679" t="str">
        <f>IF(Factors!$N$152&gt;0,"Yes","Not in Mudslide Zone")</f>
        <v>Not in Mudslide Zone</v>
      </c>
      <c r="F23" s="508" t="str">
        <f>IF((D23="Yes"),"Please Explain Plans","")</f>
        <v/>
      </c>
      <c r="G23" s="988" t="s">
        <v>13</v>
      </c>
      <c r="H23" s="989"/>
      <c r="I23" s="990"/>
      <c r="J23" s="816" t="s">
        <v>662</v>
      </c>
      <c r="K23" s="509"/>
      <c r="L23" s="509"/>
      <c r="M23" s="509"/>
    </row>
    <row r="24" spans="2:13" ht="39" thickTop="1" x14ac:dyDescent="0.2">
      <c r="C24" s="507" t="s">
        <v>664</v>
      </c>
      <c r="D24" s="822" t="str">
        <f>'LEASEHOLDER Provided Data'!D36</f>
        <v>LOW CONSEQUENCE FROM INFRASTRUCTURE</v>
      </c>
      <c r="E24" s="487" t="s">
        <v>665</v>
      </c>
      <c r="F24" s="510"/>
      <c r="G24" s="511"/>
      <c r="I24" s="499"/>
      <c r="J24" s="498" t="s">
        <v>590</v>
      </c>
      <c r="K24" s="509"/>
      <c r="L24" s="509"/>
      <c r="M24" s="509"/>
    </row>
    <row r="25" spans="2:13" x14ac:dyDescent="0.2">
      <c r="C25" s="504" t="s">
        <v>71</v>
      </c>
      <c r="D25" s="679" t="str">
        <f>IF(OR(D19&lt;82.5,D19&gt;97.5),"Not in Gulf of Mexico",IF(D19&gt;=95,"West",IF(D19&gt;94,"Transition West to West-Central",IF(D19&gt;=90.5,"West Central",IF(D19&gt;89.5,"Transition West-Central to Central",IF(D19&gt;=86.5,"Central",IF(D19&gt;85.5,"Transition East to Central","East")))))))</f>
        <v>West Central</v>
      </c>
      <c r="E25" s="487" t="s">
        <v>666</v>
      </c>
      <c r="I25" s="499"/>
      <c r="J25" s="498" t="s">
        <v>398</v>
      </c>
      <c r="K25" s="509"/>
      <c r="L25" s="509"/>
      <c r="M25" s="509"/>
    </row>
    <row r="26" spans="2:13" ht="7.5" customHeight="1" thickBot="1" x14ac:dyDescent="0.25">
      <c r="C26" s="504"/>
      <c r="D26" s="505"/>
      <c r="E26" s="506"/>
      <c r="I26" s="499"/>
      <c r="J26" s="500"/>
      <c r="K26" s="509"/>
      <c r="L26" s="509"/>
      <c r="M26" s="509"/>
    </row>
    <row r="27" spans="2:13" ht="13.5" thickBot="1" x14ac:dyDescent="0.25">
      <c r="C27" s="504"/>
      <c r="D27" s="512" t="s">
        <v>654</v>
      </c>
      <c r="E27" s="544">
        <v>1976</v>
      </c>
      <c r="F27" s="487" t="s">
        <v>222</v>
      </c>
      <c r="G27" s="513"/>
      <c r="I27" s="499"/>
      <c r="J27" s="500"/>
      <c r="K27" s="509"/>
      <c r="L27" s="509"/>
      <c r="M27" s="509"/>
    </row>
    <row r="28" spans="2:13" ht="13.5" thickBot="1" x14ac:dyDescent="0.25">
      <c r="C28" s="504"/>
      <c r="D28" s="514" t="s">
        <v>655</v>
      </c>
      <c r="E28" s="545">
        <v>250</v>
      </c>
      <c r="I28" s="499"/>
      <c r="J28" s="489"/>
      <c r="K28" s="509"/>
      <c r="L28" s="509"/>
      <c r="M28" s="509"/>
    </row>
    <row r="29" spans="2:13" ht="39" thickBot="1" x14ac:dyDescent="0.25">
      <c r="D29" s="512" t="s">
        <v>729</v>
      </c>
      <c r="E29" s="515">
        <f>STRUCTURE!G5</f>
        <v>41.399999999999977</v>
      </c>
      <c r="F29" s="487" t="s">
        <v>663</v>
      </c>
      <c r="I29" s="499"/>
      <c r="J29" s="498" t="s">
        <v>755</v>
      </c>
      <c r="K29" s="509"/>
      <c r="L29" s="509"/>
      <c r="M29" s="509"/>
    </row>
    <row r="30" spans="2:13" s="516" customFormat="1" ht="6.75" customHeight="1" thickBot="1" x14ac:dyDescent="0.25">
      <c r="C30" s="517"/>
      <c r="D30" s="517"/>
      <c r="I30" s="518"/>
      <c r="J30" s="500"/>
      <c r="K30" s="519"/>
      <c r="L30" s="519"/>
      <c r="M30" s="519"/>
    </row>
    <row r="31" spans="2:13" ht="14.25" thickTop="1" thickBot="1" x14ac:dyDescent="0.25">
      <c r="B31" s="520" t="s">
        <v>222</v>
      </c>
      <c r="C31" s="521" t="s">
        <v>222</v>
      </c>
      <c r="D31" s="522" t="s">
        <v>474</v>
      </c>
      <c r="E31" s="523"/>
      <c r="F31" s="683"/>
      <c r="G31" s="991" t="s">
        <v>494</v>
      </c>
      <c r="H31" s="992"/>
      <c r="I31" s="993"/>
      <c r="J31" s="489"/>
    </row>
    <row r="32" spans="2:13" ht="39.75" thickTop="1" thickBot="1" x14ac:dyDescent="0.25">
      <c r="B32" s="982" t="s">
        <v>375</v>
      </c>
      <c r="C32" s="983"/>
      <c r="D32" s="984"/>
      <c r="E32" s="817"/>
      <c r="F32" s="818" t="str">
        <f>IF(Factors!$J$23=1,"","Please Explain")</f>
        <v/>
      </c>
      <c r="G32" s="944" t="s">
        <v>15</v>
      </c>
      <c r="H32" s="945"/>
      <c r="I32" s="946"/>
      <c r="J32" s="816" t="s">
        <v>756</v>
      </c>
    </row>
    <row r="33" spans="2:11" ht="61.5" customHeight="1" thickTop="1" thickBot="1" x14ac:dyDescent="0.25">
      <c r="B33" s="819"/>
      <c r="C33" s="669" t="s">
        <v>591</v>
      </c>
      <c r="D33" s="506"/>
      <c r="E33" s="528"/>
      <c r="F33" s="726" t="str">
        <f>IF(OR(Factors!$J$57=2,Factors!$J$57=3, Factors!J57=4),"Proceed to Metocean worksheet","")</f>
        <v/>
      </c>
      <c r="G33" s="987" t="s">
        <v>222</v>
      </c>
      <c r="H33" s="987"/>
      <c r="I33" s="987"/>
      <c r="J33" s="816" t="s">
        <v>399</v>
      </c>
      <c r="K33" s="487" t="s">
        <v>222</v>
      </c>
    </row>
    <row r="34" spans="2:11" ht="30" customHeight="1" thickTop="1" thickBot="1" x14ac:dyDescent="0.25">
      <c r="B34" s="961" t="s">
        <v>376</v>
      </c>
      <c r="C34" s="962"/>
      <c r="D34" s="962"/>
      <c r="E34" s="820"/>
      <c r="F34" s="821" t="str">
        <f>IF(Factors!J90=1,"Please Explain Precautions","")</f>
        <v/>
      </c>
      <c r="G34" s="956" t="s">
        <v>4</v>
      </c>
      <c r="H34" s="957"/>
      <c r="I34" s="958"/>
      <c r="J34" s="816" t="s">
        <v>400</v>
      </c>
    </row>
    <row r="35" spans="2:11" ht="6.75" customHeight="1" thickTop="1" thickBot="1" x14ac:dyDescent="0.25">
      <c r="B35" s="526"/>
      <c r="C35" s="492"/>
      <c r="D35" s="492"/>
      <c r="F35" s="524"/>
      <c r="G35" s="524"/>
      <c r="H35" s="524"/>
      <c r="I35" s="524"/>
      <c r="J35" s="489"/>
    </row>
    <row r="36" spans="2:11" ht="14.25" thickTop="1" thickBot="1" x14ac:dyDescent="0.25">
      <c r="B36" s="968" t="s">
        <v>737</v>
      </c>
      <c r="C36" s="969"/>
      <c r="D36" s="969"/>
      <c r="E36" s="969"/>
      <c r="F36" s="969"/>
      <c r="G36" s="969"/>
      <c r="H36" s="969"/>
      <c r="I36" s="970"/>
      <c r="J36" s="489"/>
    </row>
    <row r="37" spans="2:11" ht="32.25" customHeight="1" thickTop="1" thickBot="1" x14ac:dyDescent="0.25">
      <c r="B37" s="985" t="s">
        <v>397</v>
      </c>
      <c r="C37" s="986"/>
      <c r="D37" s="986"/>
      <c r="E37" s="527"/>
      <c r="F37" s="681" t="str">
        <f>IF(Factors!$J$76=2,"Please Explain &amp; Proceed to worksheets","")</f>
        <v/>
      </c>
      <c r="G37" s="944" t="s">
        <v>5</v>
      </c>
      <c r="H37" s="945"/>
      <c r="I37" s="946"/>
      <c r="J37" s="525" t="s">
        <v>752</v>
      </c>
    </row>
    <row r="38" spans="2:11" ht="44.25" customHeight="1" thickTop="1" x14ac:dyDescent="0.2">
      <c r="B38" s="950" t="s">
        <v>714</v>
      </c>
      <c r="C38" s="951"/>
      <c r="D38" s="951"/>
      <c r="E38" s="528"/>
      <c r="F38" s="724" t="str">
        <f>IF(Factors!AE14&gt;9, "Please Explain and/or Provide Return Period used","")</f>
        <v/>
      </c>
      <c r="G38" s="944" t="s">
        <v>16</v>
      </c>
      <c r="H38" s="945"/>
      <c r="I38" s="946"/>
      <c r="J38" s="525" t="s">
        <v>589</v>
      </c>
    </row>
    <row r="39" spans="2:11" ht="48.75" customHeight="1" thickBot="1" x14ac:dyDescent="0.25">
      <c r="B39" s="965" t="str">
        <f>'ASSESSMENT RESULTS'!$A$32</f>
        <v xml:space="preserve">Operator minimum required  Survival Storm (Full Population) was: </v>
      </c>
      <c r="C39" s="966"/>
      <c r="D39" s="966"/>
      <c r="E39" s="825" t="str">
        <f>'ASSESSMENT RESULTS'!$B$32</f>
        <v>10-Yr Int Met</v>
      </c>
      <c r="F39" s="725" t="str">
        <f>IF(Factors!$AE$34=7,"Explanation Given","")</f>
        <v/>
      </c>
      <c r="G39" s="971" t="str">
        <f>'LEASEHOLDER Provided Data'!G37:I37</f>
        <v xml:space="preserve">Leaseholder 4: </v>
      </c>
      <c r="H39" s="972"/>
      <c r="I39" s="973"/>
      <c r="J39" s="525" t="s">
        <v>51</v>
      </c>
    </row>
    <row r="40" spans="2:11" ht="7.5" customHeight="1" thickTop="1" thickBot="1" x14ac:dyDescent="0.25">
      <c r="J40" s="489"/>
    </row>
    <row r="41" spans="2:11" ht="14.25" thickTop="1" thickBot="1" x14ac:dyDescent="0.25">
      <c r="B41" s="952" t="s">
        <v>649</v>
      </c>
      <c r="C41" s="953"/>
      <c r="D41" s="953"/>
      <c r="E41" s="953"/>
      <c r="F41" s="953"/>
      <c r="G41" s="953"/>
      <c r="H41" s="954"/>
      <c r="I41" s="955"/>
      <c r="J41" s="489"/>
    </row>
    <row r="42" spans="2:11" ht="30.75" customHeight="1" thickTop="1" thickBot="1" x14ac:dyDescent="0.25">
      <c r="B42" s="529"/>
      <c r="C42" s="530"/>
      <c r="D42" s="531" t="str">
        <f>IF(Factors!J6=2, "Mat Rig: Please ignore","Is it anticipated there be equal to &lt; 4ft settlement in the GoM Annex Contingency case?")</f>
        <v>Is it anticipated there be equal to &lt; 4ft settlement in the GoM Annex Contingency case?</v>
      </c>
      <c r="E42" s="527"/>
      <c r="F42" s="681" t="str">
        <f>IF(Factors!$AL$12=2,"Please Explain and proceed to Geotech Page","")</f>
        <v/>
      </c>
      <c r="G42" s="944" t="s">
        <v>17</v>
      </c>
      <c r="H42" s="945"/>
      <c r="I42" s="946"/>
      <c r="J42" s="980" t="s">
        <v>757</v>
      </c>
    </row>
    <row r="43" spans="2:11" ht="27" customHeight="1" thickTop="1" x14ac:dyDescent="0.2">
      <c r="B43" s="532"/>
      <c r="C43" s="530"/>
      <c r="D43" s="531" t="str">
        <f>IF(Factors!J6=2, "Mat Rig: Please ignore","Is it anticipated there will be equal to or &lt;6 ft settlement in the GoM Annex Survival case?")</f>
        <v>Is it anticipated there will be equal to or &lt;6 ft settlement in the GoM Annex Survival case?</v>
      </c>
      <c r="E43" s="533"/>
      <c r="F43" s="681" t="str">
        <f>IF(Factors!$J$86=1,"","Please Explain and proceed to Geotech Page")</f>
        <v/>
      </c>
      <c r="G43" s="944" t="s">
        <v>18</v>
      </c>
      <c r="H43" s="945"/>
      <c r="I43" s="946"/>
      <c r="J43" s="981"/>
    </row>
    <row r="44" spans="2:11" ht="48" customHeight="1" thickBot="1" x14ac:dyDescent="0.25">
      <c r="B44" s="963" t="str">
        <f>IF(Factors!J6=2, "Mat Rig: Please ignore","Do you have a Calculated  Load-Penetration curve for the site specific location?" )</f>
        <v>Do you have a Calculated  Load-Penetration curve for the site specific location?</v>
      </c>
      <c r="C44" s="964"/>
      <c r="D44" s="964"/>
      <c r="E44" s="534"/>
      <c r="F44" s="967" t="str">
        <f>IF(AND(Factors!$J$80=2,Factors!$J$6=1), "Go To Geotech worksheet","Please attach Load-Penetration Curve for soils to at least half the spudcan diameter below expected penetration. Show stillwater and preload reactions on the curve")</f>
        <v>Please attach Load-Penetration Curve for soils to at least half the spudcan diameter below expected penetration. Show stillwater and preload reactions on the curve</v>
      </c>
      <c r="G44" s="918"/>
      <c r="H44" s="918"/>
      <c r="I44" s="919"/>
      <c r="J44" s="525" t="s">
        <v>667</v>
      </c>
    </row>
    <row r="45" spans="2:11" ht="47.25" customHeight="1" thickTop="1" thickBot="1" x14ac:dyDescent="0.25">
      <c r="B45" s="959" t="str">
        <f>IF(Factors!J6=2, "Mat Rig: Please ignore","Do any of the following apply making the jack-up prone to possible scour? 
The maximum penetration is &lt; (Max bearing area of spud can + 5ft on sand) AND
High current speed OR  Breaking wave")</f>
        <v>Do any of the following apply making the jack-up prone to possible scour? 
The maximum penetration is &lt; (Max bearing area of spud can + 5ft on sand) AND
High current speed OR  Breaking wave</v>
      </c>
      <c r="C45" s="960"/>
      <c r="D45" s="960"/>
      <c r="E45" s="534"/>
      <c r="F45" s="682" t="str">
        <f>IF(AND(Factors!$J$97=2,Factors!$J$6=1), "Please Explain Mitigation:","")</f>
        <v/>
      </c>
      <c r="G45" s="944" t="s">
        <v>19</v>
      </c>
      <c r="H45" s="945"/>
      <c r="I45" s="946"/>
      <c r="J45" s="525" t="s">
        <v>34</v>
      </c>
    </row>
    <row r="46" spans="2:11" ht="14.25" thickTop="1" thickBot="1" x14ac:dyDescent="0.25">
      <c r="B46" s="506"/>
      <c r="C46" s="506"/>
      <c r="D46" s="535"/>
      <c r="E46" s="506"/>
      <c r="F46" s="506"/>
      <c r="G46" s="506"/>
      <c r="J46" s="489"/>
    </row>
    <row r="47" spans="2:11" ht="14.25" thickTop="1" thickBot="1" x14ac:dyDescent="0.25">
      <c r="B47" s="974" t="s">
        <v>689</v>
      </c>
      <c r="C47" s="975"/>
      <c r="D47" s="975"/>
      <c r="E47" s="975"/>
      <c r="F47" s="975"/>
      <c r="G47" s="975"/>
      <c r="H47" s="976"/>
      <c r="I47" s="977"/>
      <c r="J47" s="489"/>
    </row>
    <row r="48" spans="2:11" s="516" customFormat="1" ht="59.25" customHeight="1" thickTop="1" thickBot="1" x14ac:dyDescent="0.25">
      <c r="B48" s="938" t="str">
        <f>IF(Factors!J6=1,"Independent Leg Rig: Please ignore","Is Soil shear strength &lt;100 psf at mat penetration level?  Note: Flag appears if either answer is YES or if the Value from the Geotech worksheet is below 100 psf)")</f>
        <v>Independent Leg Rig: Please ignore</v>
      </c>
      <c r="C48" s="900"/>
      <c r="D48" s="900"/>
      <c r="E48" s="538"/>
      <c r="F48" s="723" t="str">
        <f>IF(Factors!$J$6=1,"",IF(AND(Factors!J93=2, GEOTECH!B29&lt;100),"Proceed to Geotech Page: Value from Geotech worksheet:", IF(OR(Factors!$J$93=2,'LEASEHOLDER Provided Data'!$D$36="Low Consequence from Infrastructure"),"Value from Geotech Worksheet:","Proceed to Geotech Page: Value from Geotech worksheet:")))</f>
        <v/>
      </c>
      <c r="G48" s="947" t="str">
        <f>IF(Factors!J6=2,GEOTECH!B29,"")</f>
        <v/>
      </c>
      <c r="H48" s="948"/>
      <c r="I48" s="949"/>
      <c r="J48" s="525" t="s">
        <v>401</v>
      </c>
    </row>
    <row r="49" spans="1:10" s="539" customFormat="1" ht="39.75" thickTop="1" thickBot="1" x14ac:dyDescent="0.25">
      <c r="B49" s="536"/>
      <c r="C49" s="537"/>
      <c r="D49" s="672" t="str">
        <f>IF(Factors!J6=1,"Independent Leg Rig: Please ignore","Does the soil consist of Sand with High Current or Breaking Wave?")</f>
        <v>Independent Leg Rig: Please ignore</v>
      </c>
      <c r="E49" s="540"/>
      <c r="F49" s="680" t="str">
        <f>IF(Factors!$J$6=1,"",IF(OR(Factors!$J$72=2,'LEASEHOLDER Provided Data'!$D$36="Low Consequence from Infrastructure"),"","Explain potential to scour"))</f>
        <v/>
      </c>
      <c r="G49" s="944" t="s">
        <v>20</v>
      </c>
      <c r="H49" s="945"/>
      <c r="I49" s="946"/>
      <c r="J49" s="525" t="s">
        <v>402</v>
      </c>
    </row>
    <row r="50" spans="1:10" s="516" customFormat="1" ht="14.25" thickTop="1" thickBot="1" x14ac:dyDescent="0.25">
      <c r="B50" s="508"/>
      <c r="C50" s="508"/>
      <c r="D50" s="508"/>
      <c r="E50" s="508"/>
      <c r="F50" s="508"/>
      <c r="G50" s="508"/>
      <c r="H50" s="518"/>
      <c r="I50" s="518"/>
      <c r="J50" s="489"/>
    </row>
    <row r="51" spans="1:10" s="541" customFormat="1" ht="53.25" customHeight="1" thickTop="1" thickBot="1" x14ac:dyDescent="0.25">
      <c r="B51" s="939" t="s">
        <v>395</v>
      </c>
      <c r="C51" s="940"/>
      <c r="D51" s="941" t="s">
        <v>222</v>
      </c>
      <c r="E51" s="942"/>
      <c r="F51" s="942"/>
      <c r="G51" s="943"/>
      <c r="J51" s="498" t="s">
        <v>758</v>
      </c>
    </row>
    <row r="52" spans="1:10" s="541" customFormat="1" ht="18" customHeight="1" thickTop="1" x14ac:dyDescent="0.2">
      <c r="A52" s="506"/>
      <c r="B52" s="506"/>
      <c r="C52" s="506"/>
      <c r="D52" s="506"/>
      <c r="E52" s="506"/>
      <c r="J52" s="542"/>
    </row>
    <row r="53" spans="1:10" ht="15.75" x14ac:dyDescent="0.2">
      <c r="B53" s="543"/>
    </row>
    <row r="54" spans="1:10" ht="15.75" x14ac:dyDescent="0.2">
      <c r="B54" s="543"/>
    </row>
  </sheetData>
  <sheetProtection password="83AF" sheet="1" objects="1" scenarios="1" formatCells="0" formatRows="0"/>
  <mergeCells count="30">
    <mergeCell ref="G33:I33"/>
    <mergeCell ref="G23:I23"/>
    <mergeCell ref="G31:I31"/>
    <mergeCell ref="G32:I32"/>
    <mergeCell ref="G37:I37"/>
    <mergeCell ref="B36:I36"/>
    <mergeCell ref="G39:I39"/>
    <mergeCell ref="G45:I45"/>
    <mergeCell ref="B47:I47"/>
    <mergeCell ref="J9:J10"/>
    <mergeCell ref="J12:J13"/>
    <mergeCell ref="J42:J43"/>
    <mergeCell ref="B32:D32"/>
    <mergeCell ref="B37:D37"/>
    <mergeCell ref="B38:D38"/>
    <mergeCell ref="G43:I43"/>
    <mergeCell ref="B41:I41"/>
    <mergeCell ref="G38:I38"/>
    <mergeCell ref="G34:I34"/>
    <mergeCell ref="B45:D45"/>
    <mergeCell ref="B34:D34"/>
    <mergeCell ref="B44:D44"/>
    <mergeCell ref="B39:D39"/>
    <mergeCell ref="F44:I44"/>
    <mergeCell ref="B48:D48"/>
    <mergeCell ref="B51:C51"/>
    <mergeCell ref="D51:G51"/>
    <mergeCell ref="G49:I49"/>
    <mergeCell ref="G48:I48"/>
    <mergeCell ref="G42:I42"/>
  </mergeCells>
  <phoneticPr fontId="4" type="noConversion"/>
  <conditionalFormatting sqref="B41 B47 B49:B50">
    <cfRule type="cellIs" dxfId="195" priority="1" stopIfTrue="1" operator="equal">
      <formula>"Please complete this Block of Questions for this Independent Leg Jack-Up"</formula>
    </cfRule>
    <cfRule type="cellIs" dxfId="194" priority="2" stopIfTrue="1" operator="equal">
      <formula>"Please ignore this block of questions for Mat Supported Jack-Up"</formula>
    </cfRule>
  </conditionalFormatting>
  <conditionalFormatting sqref="F42:F43">
    <cfRule type="cellIs" dxfId="193" priority="3" stopIfTrue="1" operator="equal">
      <formula>"Please Explain and proceed to Geotech Page"</formula>
    </cfRule>
    <cfRule type="cellIs" dxfId="192" priority="4" stopIfTrue="1" operator="equal">
      <formula>""</formula>
    </cfRule>
  </conditionalFormatting>
  <conditionalFormatting sqref="F32">
    <cfRule type="cellIs" dxfId="191" priority="5" stopIfTrue="1" operator="equal">
      <formula>"Please Explain"</formula>
    </cfRule>
    <cfRule type="cellIs" dxfId="190" priority="6" stopIfTrue="1" operator="equal">
      <formula>""</formula>
    </cfRule>
  </conditionalFormatting>
  <conditionalFormatting sqref="F37">
    <cfRule type="cellIs" dxfId="189" priority="7" stopIfTrue="1" operator="equal">
      <formula>"Please Explain &amp; Proceed to worksheets"</formula>
    </cfRule>
    <cfRule type="cellIs" dxfId="188" priority="8" stopIfTrue="1" operator="equal">
      <formula>""</formula>
    </cfRule>
  </conditionalFormatting>
  <conditionalFormatting sqref="F45">
    <cfRule type="cellIs" dxfId="187" priority="9" stopIfTrue="1" operator="equal">
      <formula>"Please Explain Mitigation:"</formula>
    </cfRule>
    <cfRule type="cellIs" dxfId="186" priority="10" stopIfTrue="1" operator="equal">
      <formula>""</formula>
    </cfRule>
  </conditionalFormatting>
  <conditionalFormatting sqref="F38">
    <cfRule type="cellIs" dxfId="185" priority="11" stopIfTrue="1" operator="equal">
      <formula>"Please Explain and/or Provide Return Period used"</formula>
    </cfRule>
  </conditionalFormatting>
  <conditionalFormatting sqref="F48">
    <cfRule type="cellIs" dxfId="184" priority="12" stopIfTrue="1" operator="equal">
      <formula>"Proceed to Geotech Page: Value from Geotech worksheet:"</formula>
    </cfRule>
    <cfRule type="cellIs" dxfId="183" priority="13" stopIfTrue="1" operator="equal">
      <formula>""</formula>
    </cfRule>
  </conditionalFormatting>
  <conditionalFormatting sqref="F49">
    <cfRule type="cellIs" dxfId="182" priority="14" stopIfTrue="1" operator="equal">
      <formula>"Explain Potential to Scour"</formula>
    </cfRule>
    <cfRule type="cellIs" dxfId="181" priority="15" stopIfTrue="1" operator="equal">
      <formula>""</formula>
    </cfRule>
  </conditionalFormatting>
  <conditionalFormatting sqref="G33:I33">
    <cfRule type="cellIs" dxfId="180" priority="16" stopIfTrue="1" operator="equal">
      <formula>"Complies with API 95J"</formula>
    </cfRule>
    <cfRule type="cellIs" dxfId="179" priority="17" stopIfTrue="1" operator="equal">
      <formula>"No: Provide Site Specific Data or Explain"</formula>
    </cfRule>
  </conditionalFormatting>
  <conditionalFormatting sqref="F33">
    <cfRule type="cellIs" dxfId="178" priority="18" stopIfTrue="1" operator="equal">
      <formula>"Proceed to Metocean worksheet"</formula>
    </cfRule>
    <cfRule type="cellIs" dxfId="177" priority="19" stopIfTrue="1" operator="equal">
      <formula>""</formula>
    </cfRule>
  </conditionalFormatting>
  <conditionalFormatting sqref="E31:E32">
    <cfRule type="cellIs" dxfId="176" priority="20" stopIfTrue="1" operator="equal">
      <formula>"Submit Report"</formula>
    </cfRule>
  </conditionalFormatting>
  <conditionalFormatting sqref="F31">
    <cfRule type="cellIs" dxfId="175" priority="21" stopIfTrue="1" operator="equal">
      <formula>1</formula>
    </cfRule>
  </conditionalFormatting>
  <conditionalFormatting sqref="D30 D26">
    <cfRule type="cellIs" dxfId="174" priority="22" stopIfTrue="1" operator="equal">
      <formula>"Central"</formula>
    </cfRule>
  </conditionalFormatting>
  <conditionalFormatting sqref="F24">
    <cfRule type="cellIs" dxfId="173" priority="23" stopIfTrue="1" operator="equal">
      <formula>"Please Explain Plans"</formula>
    </cfRule>
  </conditionalFormatting>
  <conditionalFormatting sqref="D23 D25">
    <cfRule type="cellIs" dxfId="172" priority="24" stopIfTrue="1" operator="equal">
      <formula>"Yes"</formula>
    </cfRule>
  </conditionalFormatting>
  <conditionalFormatting sqref="G27">
    <cfRule type="cellIs" dxfId="171" priority="25" stopIfTrue="1" operator="equal">
      <formula>"CAUTION"</formula>
    </cfRule>
  </conditionalFormatting>
  <conditionalFormatting sqref="F23">
    <cfRule type="cellIs" dxfId="170" priority="26" stopIfTrue="1" operator="equal">
      <formula>"Please Explain Plans"</formula>
    </cfRule>
  </conditionalFormatting>
  <conditionalFormatting sqref="E29">
    <cfRule type="cellIs" dxfId="169" priority="27" stopIfTrue="1" operator="greaterThan">
      <formula>6</formula>
    </cfRule>
    <cfRule type="cellIs" dxfId="168" priority="28" stopIfTrue="1" operator="lessThan">
      <formula>5.99</formula>
    </cfRule>
  </conditionalFormatting>
  <conditionalFormatting sqref="D24">
    <cfRule type="cellIs" dxfId="167" priority="29" stopIfTrue="1" operator="equal">
      <formula>"LOW CONSEQUENCE FROM INFRASTRUCTURE"</formula>
    </cfRule>
    <cfRule type="cellIs" dxfId="166" priority="30" stopIfTrue="1" operator="equal">
      <formula>"MEDIUM CONSEQUENCE FROM INFRASTRUCTURE"</formula>
    </cfRule>
    <cfRule type="cellIs" dxfId="165" priority="31" stopIfTrue="1" operator="equal">
      <formula>"HIGH CONSEQUENCE FROM INFRASTRUCTURE"</formula>
    </cfRule>
  </conditionalFormatting>
  <conditionalFormatting sqref="F44:I44">
    <cfRule type="cellIs" dxfId="164" priority="32" stopIfTrue="1" operator="equal">
      <formula>"Go to Geotech worksheet"</formula>
    </cfRule>
    <cfRule type="cellIs" dxfId="163" priority="33" stopIfTrue="1" operator="notEqual">
      <formula>"Go to Geotech Sheet"</formula>
    </cfRule>
  </conditionalFormatting>
  <conditionalFormatting sqref="E12">
    <cfRule type="cellIs" dxfId="162" priority="34" stopIfTrue="1" operator="equal">
      <formula>"Lower Limit 32.2 ft (10 m)"</formula>
    </cfRule>
  </conditionalFormatting>
  <conditionalFormatting sqref="F34">
    <cfRule type="cellIs" dxfId="161" priority="35" stopIfTrue="1" operator="equal">
      <formula>"Please Explain Precautions"</formula>
    </cfRule>
    <cfRule type="cellIs" dxfId="160" priority="36" stopIfTrue="1" operator="equal">
      <formula>""</formula>
    </cfRule>
  </conditionalFormatting>
  <dataValidations count="4">
    <dataValidation allowBlank="1" showInputMessage="1" showErrorMessage="1" prompt="Survival Case requires Full Population Hurricanes_x000a__x000a_" sqref="B38:D38"/>
    <dataValidation allowBlank="1" showInputMessage="1" showErrorMessage="1" promptTitle="Manned Condition" prompt="These are possible manned conditions based on GOM Annex cases: thus it is a life-safety issue that these conditions can be met or appropriate plans made._x000a_" sqref="G37:I37"/>
    <dataValidation allowBlank="1" showInputMessage="1" showErrorMessage="1" promptTitle="For Mat Rig" prompt="From bottom of mat,_x000a_Not from bottom of skirt_x000a_" sqref="D17"/>
    <dataValidation allowBlank="1" showInputMessage="1" showErrorMessage="1" prompt="6 ft is used as the contingency limit that will flag the cell_x000a__x000a_" sqref="E29"/>
  </dataValidations>
  <pageMargins left="0.75" right="0.27" top="0.67" bottom="0.59" header="0.35" footer="0.5"/>
  <pageSetup scale="58" orientation="portrait" horizontalDpi="1200" verticalDpi="1200" r:id="rId1"/>
  <headerFooter alignWithMargins="0">
    <oddHeader>&amp;L&amp;F&amp;C&amp;A</oddHeader>
    <oddFooter>&amp;R&amp;P</oddFooter>
  </headerFooter>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Drop Down 7">
              <controlPr defaultSize="0" autoLine="0" autoPict="0">
                <anchor moveWithCells="1">
                  <from>
                    <xdr:col>3</xdr:col>
                    <xdr:colOff>647700</xdr:colOff>
                    <xdr:row>5</xdr:row>
                    <xdr:rowOff>142875</xdr:rowOff>
                  </from>
                  <to>
                    <xdr:col>3</xdr:col>
                    <xdr:colOff>2028825</xdr:colOff>
                    <xdr:row>5</xdr:row>
                    <xdr:rowOff>352425</xdr:rowOff>
                  </to>
                </anchor>
              </controlPr>
            </control>
          </mc:Choice>
        </mc:AlternateContent>
        <mc:AlternateContent xmlns:mc="http://schemas.openxmlformats.org/markup-compatibility/2006">
          <mc:Choice Requires="x14">
            <control shapeId="3080" r:id="rId5" name="Drop Down 8">
              <controlPr defaultSize="0" autoLine="0" autoPict="0">
                <anchor moveWithCells="1">
                  <from>
                    <xdr:col>3</xdr:col>
                    <xdr:colOff>647700</xdr:colOff>
                    <xdr:row>8</xdr:row>
                    <xdr:rowOff>47625</xdr:rowOff>
                  </from>
                  <to>
                    <xdr:col>3</xdr:col>
                    <xdr:colOff>2028825</xdr:colOff>
                    <xdr:row>8</xdr:row>
                    <xdr:rowOff>247650</xdr:rowOff>
                  </to>
                </anchor>
              </controlPr>
            </control>
          </mc:Choice>
        </mc:AlternateContent>
        <mc:AlternateContent xmlns:mc="http://schemas.openxmlformats.org/markup-compatibility/2006">
          <mc:Choice Requires="x14">
            <control shapeId="3081" r:id="rId6" name="Drop Down 9">
              <controlPr defaultSize="0" autoLine="0" autoPict="0">
                <anchor moveWithCells="1">
                  <from>
                    <xdr:col>3</xdr:col>
                    <xdr:colOff>866775</xdr:colOff>
                    <xdr:row>9</xdr:row>
                    <xdr:rowOff>47625</xdr:rowOff>
                  </from>
                  <to>
                    <xdr:col>3</xdr:col>
                    <xdr:colOff>1819275</xdr:colOff>
                    <xdr:row>9</xdr:row>
                    <xdr:rowOff>247650</xdr:rowOff>
                  </to>
                </anchor>
              </controlPr>
            </control>
          </mc:Choice>
        </mc:AlternateContent>
        <mc:AlternateContent xmlns:mc="http://schemas.openxmlformats.org/markup-compatibility/2006">
          <mc:Choice Requires="x14">
            <control shapeId="3114" r:id="rId7" name="Drop Down 42">
              <controlPr locked="0" defaultSize="0" autoLine="0" autoPict="0">
                <anchor moveWithCells="1">
                  <from>
                    <xdr:col>4</xdr:col>
                    <xdr:colOff>114300</xdr:colOff>
                    <xdr:row>31</xdr:row>
                    <xdr:rowOff>104775</xdr:rowOff>
                  </from>
                  <to>
                    <xdr:col>4</xdr:col>
                    <xdr:colOff>952500</xdr:colOff>
                    <xdr:row>31</xdr:row>
                    <xdr:rowOff>381000</xdr:rowOff>
                  </to>
                </anchor>
              </controlPr>
            </control>
          </mc:Choice>
        </mc:AlternateContent>
        <mc:AlternateContent xmlns:mc="http://schemas.openxmlformats.org/markup-compatibility/2006">
          <mc:Choice Requires="x14">
            <control shapeId="3126" r:id="rId8" name="Drop Down 54">
              <controlPr defaultSize="0" autoLine="0" autoPict="0">
                <anchor moveWithCells="1">
                  <from>
                    <xdr:col>3</xdr:col>
                    <xdr:colOff>2562225</xdr:colOff>
                    <xdr:row>32</xdr:row>
                    <xdr:rowOff>228600</xdr:rowOff>
                  </from>
                  <to>
                    <xdr:col>4</xdr:col>
                    <xdr:colOff>1076325</xdr:colOff>
                    <xdr:row>32</xdr:row>
                    <xdr:rowOff>495300</xdr:rowOff>
                  </to>
                </anchor>
              </controlPr>
            </control>
          </mc:Choice>
        </mc:AlternateContent>
        <mc:AlternateContent xmlns:mc="http://schemas.openxmlformats.org/markup-compatibility/2006">
          <mc:Choice Requires="x14">
            <control shapeId="3127" r:id="rId9" name="Drop Down 55">
              <controlPr defaultSize="0" autoLine="0" autoPict="0">
                <anchor moveWithCells="1">
                  <from>
                    <xdr:col>4</xdr:col>
                    <xdr:colOff>180975</xdr:colOff>
                    <xdr:row>42</xdr:row>
                    <xdr:rowOff>66675</xdr:rowOff>
                  </from>
                  <to>
                    <xdr:col>4</xdr:col>
                    <xdr:colOff>1028700</xdr:colOff>
                    <xdr:row>42</xdr:row>
                    <xdr:rowOff>314325</xdr:rowOff>
                  </to>
                </anchor>
              </controlPr>
            </control>
          </mc:Choice>
        </mc:AlternateContent>
        <mc:AlternateContent xmlns:mc="http://schemas.openxmlformats.org/markup-compatibility/2006">
          <mc:Choice Requires="x14">
            <control shapeId="3128" r:id="rId10" name="Drop Down 56">
              <controlPr defaultSize="0" autoLine="0" autoPict="0">
                <anchor moveWithCells="1">
                  <from>
                    <xdr:col>4</xdr:col>
                    <xdr:colOff>161925</xdr:colOff>
                    <xdr:row>36</xdr:row>
                    <xdr:rowOff>104775</xdr:rowOff>
                  </from>
                  <to>
                    <xdr:col>4</xdr:col>
                    <xdr:colOff>990600</xdr:colOff>
                    <xdr:row>36</xdr:row>
                    <xdr:rowOff>352425</xdr:rowOff>
                  </to>
                </anchor>
              </controlPr>
            </control>
          </mc:Choice>
        </mc:AlternateContent>
        <mc:AlternateContent xmlns:mc="http://schemas.openxmlformats.org/markup-compatibility/2006">
          <mc:Choice Requires="x14">
            <control shapeId="3129" r:id="rId11" name="Drop Down 57">
              <controlPr defaultSize="0" autoLine="0" autoPict="0">
                <anchor moveWithCells="1" sizeWithCells="1">
                  <from>
                    <xdr:col>18</xdr:col>
                    <xdr:colOff>2667000</xdr:colOff>
                    <xdr:row>36</xdr:row>
                    <xdr:rowOff>0</xdr:rowOff>
                  </from>
                  <to>
                    <xdr:col>20</xdr:col>
                    <xdr:colOff>28575</xdr:colOff>
                    <xdr:row>36</xdr:row>
                    <xdr:rowOff>0</xdr:rowOff>
                  </to>
                </anchor>
              </controlPr>
            </control>
          </mc:Choice>
        </mc:AlternateContent>
        <mc:AlternateContent xmlns:mc="http://schemas.openxmlformats.org/markup-compatibility/2006">
          <mc:Choice Requires="x14">
            <control shapeId="3131" r:id="rId12" name="Drop Down 59">
              <controlPr defaultSize="0" autoLine="0" autoPict="0">
                <anchor moveWithCells="1">
                  <from>
                    <xdr:col>4</xdr:col>
                    <xdr:colOff>190500</xdr:colOff>
                    <xdr:row>41</xdr:row>
                    <xdr:rowOff>38100</xdr:rowOff>
                  </from>
                  <to>
                    <xdr:col>4</xdr:col>
                    <xdr:colOff>1019175</xdr:colOff>
                    <xdr:row>41</xdr:row>
                    <xdr:rowOff>295275</xdr:rowOff>
                  </to>
                </anchor>
              </controlPr>
            </control>
          </mc:Choice>
        </mc:AlternateContent>
        <mc:AlternateContent xmlns:mc="http://schemas.openxmlformats.org/markup-compatibility/2006">
          <mc:Choice Requires="x14">
            <control shapeId="3132" r:id="rId13" name="Drop Down 60">
              <controlPr defaultSize="0" autoLine="0" autoPict="0">
                <anchor moveWithCells="1">
                  <from>
                    <xdr:col>4</xdr:col>
                    <xdr:colOff>104775</xdr:colOff>
                    <xdr:row>33</xdr:row>
                    <xdr:rowOff>66675</xdr:rowOff>
                  </from>
                  <to>
                    <xdr:col>4</xdr:col>
                    <xdr:colOff>981075</xdr:colOff>
                    <xdr:row>33</xdr:row>
                    <xdr:rowOff>285750</xdr:rowOff>
                  </to>
                </anchor>
              </controlPr>
            </control>
          </mc:Choice>
        </mc:AlternateContent>
        <mc:AlternateContent xmlns:mc="http://schemas.openxmlformats.org/markup-compatibility/2006">
          <mc:Choice Requires="x14">
            <control shapeId="3140" r:id="rId14" name="Drop Down 68">
              <controlPr locked="0" defaultSize="0" autoLine="0" autoPict="0">
                <anchor moveWithCells="1">
                  <from>
                    <xdr:col>4</xdr:col>
                    <xdr:colOff>161925</xdr:colOff>
                    <xdr:row>44</xdr:row>
                    <xdr:rowOff>200025</xdr:rowOff>
                  </from>
                  <to>
                    <xdr:col>4</xdr:col>
                    <xdr:colOff>1019175</xdr:colOff>
                    <xdr:row>44</xdr:row>
                    <xdr:rowOff>447675</xdr:rowOff>
                  </to>
                </anchor>
              </controlPr>
            </control>
          </mc:Choice>
        </mc:AlternateContent>
        <mc:AlternateContent xmlns:mc="http://schemas.openxmlformats.org/markup-compatibility/2006">
          <mc:Choice Requires="x14">
            <control shapeId="3142" r:id="rId15" name="Drop Down 70">
              <controlPr locked="0" defaultSize="0" autoLine="0" autoPict="0">
                <anchor moveWithCells="1">
                  <from>
                    <xdr:col>4</xdr:col>
                    <xdr:colOff>171450</xdr:colOff>
                    <xdr:row>43</xdr:row>
                    <xdr:rowOff>57150</xdr:rowOff>
                  </from>
                  <to>
                    <xdr:col>4</xdr:col>
                    <xdr:colOff>1019175</xdr:colOff>
                    <xdr:row>43</xdr:row>
                    <xdr:rowOff>304800</xdr:rowOff>
                  </to>
                </anchor>
              </controlPr>
            </control>
          </mc:Choice>
        </mc:AlternateContent>
        <mc:AlternateContent xmlns:mc="http://schemas.openxmlformats.org/markup-compatibility/2006">
          <mc:Choice Requires="x14">
            <control shapeId="3143" r:id="rId16" name="Drop Down 71">
              <controlPr defaultSize="0" autoLine="0" autoPict="0">
                <anchor moveWithCells="1">
                  <from>
                    <xdr:col>4</xdr:col>
                    <xdr:colOff>123825</xdr:colOff>
                    <xdr:row>47</xdr:row>
                    <xdr:rowOff>190500</xdr:rowOff>
                  </from>
                  <to>
                    <xdr:col>4</xdr:col>
                    <xdr:colOff>981075</xdr:colOff>
                    <xdr:row>47</xdr:row>
                    <xdr:rowOff>438150</xdr:rowOff>
                  </to>
                </anchor>
              </controlPr>
            </control>
          </mc:Choice>
        </mc:AlternateContent>
        <mc:AlternateContent xmlns:mc="http://schemas.openxmlformats.org/markup-compatibility/2006">
          <mc:Choice Requires="x14">
            <control shapeId="3144" r:id="rId17" name="Drop Down 72">
              <controlPr defaultSize="0" autoLine="0" autoPict="0">
                <anchor moveWithCells="1" sizeWithCells="1">
                  <from>
                    <xdr:col>4</xdr:col>
                    <xdr:colOff>142875</xdr:colOff>
                    <xdr:row>48</xdr:row>
                    <xdr:rowOff>142875</xdr:rowOff>
                  </from>
                  <to>
                    <xdr:col>4</xdr:col>
                    <xdr:colOff>990600</xdr:colOff>
                    <xdr:row>48</xdr:row>
                    <xdr:rowOff>390525</xdr:rowOff>
                  </to>
                </anchor>
              </controlPr>
            </control>
          </mc:Choice>
        </mc:AlternateContent>
        <mc:AlternateContent xmlns:mc="http://schemas.openxmlformats.org/markup-compatibility/2006">
          <mc:Choice Requires="x14">
            <control shapeId="3145" r:id="rId18" name="Drop Down 73">
              <controlPr defaultSize="0" autoLine="0" autoPict="0">
                <anchor moveWithCells="1">
                  <from>
                    <xdr:col>3</xdr:col>
                    <xdr:colOff>2667000</xdr:colOff>
                    <xdr:row>37</xdr:row>
                    <xdr:rowOff>142875</xdr:rowOff>
                  </from>
                  <to>
                    <xdr:col>4</xdr:col>
                    <xdr:colOff>1095375</xdr:colOff>
                    <xdr:row>37</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2"/>
  </sheetPr>
  <dimension ref="A1:P63"/>
  <sheetViews>
    <sheetView topLeftCell="A51" zoomScaleNormal="100" zoomScaleSheetLayoutView="100" workbookViewId="0">
      <selection activeCell="E54" sqref="E54"/>
    </sheetView>
  </sheetViews>
  <sheetFormatPr defaultRowHeight="12.75" x14ac:dyDescent="0.2"/>
  <cols>
    <col min="1" max="1" width="9.42578125" style="66" customWidth="1"/>
    <col min="2" max="2" width="21.85546875" style="51" customWidth="1"/>
    <col min="3" max="3" width="26.5703125" style="51" customWidth="1"/>
    <col min="4" max="4" width="24" style="51" customWidth="1"/>
    <col min="5" max="5" width="18.85546875" style="51" customWidth="1"/>
    <col min="6" max="6" width="28.42578125" style="51" customWidth="1"/>
    <col min="7" max="7" width="8.85546875" style="51" customWidth="1"/>
    <col min="8" max="8" width="9.140625" style="51"/>
    <col min="9" max="9" width="21.42578125" style="51" customWidth="1"/>
    <col min="10" max="10" width="72" style="437" customWidth="1"/>
    <col min="11" max="16384" width="9.140625" style="51"/>
  </cols>
  <sheetData>
    <row r="1" spans="1:16" ht="13.5" thickBot="1" x14ac:dyDescent="0.25">
      <c r="A1" s="89"/>
      <c r="B1" s="69"/>
      <c r="D1" s="439" t="s">
        <v>730</v>
      </c>
      <c r="E1" s="69"/>
      <c r="F1" s="69"/>
      <c r="G1" s="69"/>
    </row>
    <row r="2" spans="1:16" ht="42.75" customHeight="1" thickTop="1" thickBot="1" x14ac:dyDescent="0.25">
      <c r="A2" s="51"/>
      <c r="B2" s="89"/>
      <c r="C2" s="1030" t="s">
        <v>32</v>
      </c>
      <c r="D2" s="1018"/>
      <c r="E2" s="1018"/>
      <c r="F2" s="1019"/>
      <c r="G2" s="69"/>
      <c r="H2" s="69"/>
    </row>
    <row r="3" spans="1:16" ht="14.25" thickTop="1" thickBot="1" x14ac:dyDescent="0.25">
      <c r="A3" s="89"/>
      <c r="B3" s="69" t="s">
        <v>222</v>
      </c>
      <c r="C3" s="69"/>
      <c r="D3" s="69"/>
      <c r="E3" s="69"/>
      <c r="F3" s="69"/>
      <c r="G3" s="69"/>
    </row>
    <row r="4" spans="1:16" ht="14.25" thickTop="1" thickBot="1" x14ac:dyDescent="0.25">
      <c r="A4" s="51"/>
      <c r="B4" s="1089" t="s">
        <v>464</v>
      </c>
      <c r="C4" s="1090"/>
      <c r="D4" s="1090"/>
      <c r="E4" s="1090"/>
      <c r="F4" s="1091"/>
      <c r="G4" s="335" t="s">
        <v>426</v>
      </c>
      <c r="H4" s="1087" t="s">
        <v>452</v>
      </c>
      <c r="I4" s="1088"/>
      <c r="J4" s="225"/>
      <c r="K4" s="157"/>
      <c r="L4" s="157"/>
    </row>
    <row r="5" spans="1:16" ht="27" customHeight="1" thickTop="1" x14ac:dyDescent="0.2">
      <c r="A5" s="51"/>
      <c r="B5" s="1097" t="s">
        <v>493</v>
      </c>
      <c r="C5" s="367"/>
      <c r="D5" s="368" t="s">
        <v>171</v>
      </c>
      <c r="E5" s="684"/>
      <c r="F5" s="80"/>
      <c r="G5" s="364" t="s">
        <v>357</v>
      </c>
      <c r="H5" s="365">
        <v>39600</v>
      </c>
      <c r="I5" s="366">
        <v>39782</v>
      </c>
      <c r="J5" s="1100"/>
      <c r="K5" s="1100"/>
      <c r="L5" s="157"/>
    </row>
    <row r="6" spans="1:16" ht="16.5" customHeight="1" x14ac:dyDescent="0.2">
      <c r="A6" s="51"/>
      <c r="B6" s="1098"/>
      <c r="C6" s="369"/>
      <c r="D6" s="313" t="s">
        <v>207</v>
      </c>
      <c r="E6" s="74"/>
      <c r="F6" s="74"/>
      <c r="G6" s="234" t="s">
        <v>354</v>
      </c>
      <c r="H6" s="333">
        <f>H5</f>
        <v>39600</v>
      </c>
      <c r="I6" s="334">
        <f>H7</f>
        <v>39661</v>
      </c>
      <c r="J6" s="447"/>
      <c r="K6" s="229"/>
      <c r="L6" s="157"/>
    </row>
    <row r="7" spans="1:16" x14ac:dyDescent="0.2">
      <c r="A7" s="51"/>
      <c r="B7" s="1098"/>
      <c r="C7" s="369"/>
      <c r="D7" s="370" t="s">
        <v>651</v>
      </c>
      <c r="E7" s="874">
        <f>IF(Factors!$H$37&gt;Factors!$H$36,Factors!$H$37-Factors!$H$36,365-Factors!$H$36+Factors!$H$37)</f>
        <v>208</v>
      </c>
      <c r="F7" s="74" t="s">
        <v>163</v>
      </c>
      <c r="G7" s="234" t="s">
        <v>355</v>
      </c>
      <c r="H7" s="333">
        <v>39661</v>
      </c>
      <c r="I7" s="334">
        <v>39741</v>
      </c>
      <c r="J7" s="447"/>
      <c r="K7" s="228"/>
      <c r="L7" s="157"/>
    </row>
    <row r="8" spans="1:16" ht="25.5" x14ac:dyDescent="0.2">
      <c r="A8" s="51"/>
      <c r="B8" s="1098"/>
      <c r="C8" s="369"/>
      <c r="D8" s="313" t="s">
        <v>652</v>
      </c>
      <c r="E8" s="874" t="str">
        <f>Factors!$F$58</f>
        <v>Yes</v>
      </c>
      <c r="F8" s="74"/>
      <c r="G8" s="234" t="s">
        <v>356</v>
      </c>
      <c r="H8" s="333">
        <f>I7</f>
        <v>39741</v>
      </c>
      <c r="I8" s="334">
        <v>39782</v>
      </c>
      <c r="J8" s="447"/>
      <c r="K8" s="228"/>
      <c r="L8" s="157"/>
    </row>
    <row r="9" spans="1:16" ht="26.25" thickBot="1" x14ac:dyDescent="0.25">
      <c r="A9" s="51"/>
      <c r="B9" s="1099"/>
      <c r="C9" s="371"/>
      <c r="D9" s="372" t="s">
        <v>653</v>
      </c>
      <c r="E9" s="875" t="str">
        <f>Factors!$F$59</f>
        <v>Yes</v>
      </c>
      <c r="F9" s="77"/>
      <c r="G9" s="336" t="s">
        <v>425</v>
      </c>
      <c r="H9" s="337">
        <f>I8</f>
        <v>39782</v>
      </c>
      <c r="I9" s="338">
        <v>39965</v>
      </c>
      <c r="J9" s="447"/>
      <c r="K9" s="228"/>
      <c r="L9" s="157"/>
      <c r="M9" s="51" t="s">
        <v>222</v>
      </c>
    </row>
    <row r="10" spans="1:16" ht="14.25" thickTop="1" thickBot="1" x14ac:dyDescent="0.25">
      <c r="A10" s="51"/>
      <c r="D10" s="98"/>
      <c r="I10" s="157"/>
      <c r="J10" s="448"/>
      <c r="K10" s="230"/>
      <c r="L10" s="230"/>
      <c r="M10" s="157"/>
    </row>
    <row r="11" spans="1:16" ht="14.25" thickTop="1" thickBot="1" x14ac:dyDescent="0.25">
      <c r="A11" s="51"/>
      <c r="B11" s="1095" t="s">
        <v>465</v>
      </c>
      <c r="C11" s="1096"/>
      <c r="D11" s="1096"/>
      <c r="E11" s="1096"/>
      <c r="F11" s="1096"/>
      <c r="G11" s="1096"/>
      <c r="H11" s="1090"/>
      <c r="I11" s="1091"/>
      <c r="J11" s="225"/>
      <c r="K11" s="225"/>
      <c r="L11" s="225"/>
      <c r="M11" s="225"/>
      <c r="N11" s="88"/>
      <c r="O11" s="88"/>
      <c r="P11" s="88"/>
    </row>
    <row r="12" spans="1:16" ht="52.5" thickTop="1" thickBot="1" x14ac:dyDescent="0.25">
      <c r="A12" s="51"/>
      <c r="B12" s="1103" t="str">
        <f>IF(AND($E$9="yes",LOCATION!$D$25="Central"),"Central GoM at Peak of Season = HIGH probability of Extreme Storm",IF(E9="YES", "GoM at Peak of Season, but not most severe zone","Not Peak: worst combination of weather and location has been avoided"))</f>
        <v>GoM at Peak of Season, but not most severe zone</v>
      </c>
      <c r="C12" s="1104"/>
      <c r="D12" s="1104"/>
      <c r="E12" s="1101" t="str">
        <f>IF(AND($E$9="yes",LOCATION!$D$25="Central"),"Are either dates or location flexible?  Explain","")</f>
        <v/>
      </c>
      <c r="F12" s="1102"/>
      <c r="G12" s="1092" t="s">
        <v>612</v>
      </c>
      <c r="H12" s="1093"/>
      <c r="I12" s="1094"/>
      <c r="J12" s="463" t="s">
        <v>779</v>
      </c>
      <c r="K12" s="88"/>
      <c r="L12" s="88"/>
      <c r="M12" s="88"/>
      <c r="N12" s="88"/>
      <c r="O12" s="88"/>
      <c r="P12" s="88"/>
    </row>
    <row r="13" spans="1:16" ht="13.5" thickTop="1" x14ac:dyDescent="0.2">
      <c r="A13" s="51"/>
      <c r="B13" s="440" t="s">
        <v>328</v>
      </c>
      <c r="C13" s="80"/>
      <c r="D13" s="80"/>
      <c r="E13" s="80"/>
      <c r="F13" s="80"/>
      <c r="G13" s="80"/>
      <c r="H13" s="80"/>
      <c r="I13" s="81"/>
    </row>
    <row r="14" spans="1:16" s="432" customFormat="1" ht="26.25" customHeight="1" thickBot="1" x14ac:dyDescent="0.25">
      <c r="B14" s="433" t="s">
        <v>712</v>
      </c>
      <c r="C14" s="1031" t="s">
        <v>615</v>
      </c>
      <c r="D14" s="1032"/>
      <c r="E14" s="1032"/>
      <c r="F14" s="1032"/>
      <c r="G14" s="1032"/>
      <c r="H14" s="434"/>
      <c r="I14" s="435"/>
      <c r="J14" s="449"/>
    </row>
    <row r="15" spans="1:16" s="432" customFormat="1" ht="17.25" thickTop="1" thickBot="1" x14ac:dyDescent="0.25">
      <c r="B15" s="1105" t="s">
        <v>597</v>
      </c>
      <c r="C15" s="1106"/>
      <c r="D15" s="1106"/>
      <c r="E15" s="1106"/>
      <c r="F15" s="1106"/>
      <c r="G15" s="1106"/>
      <c r="H15" s="1106"/>
      <c r="I15" s="1107"/>
      <c r="J15" s="450"/>
    </row>
    <row r="16" spans="1:16" ht="14.25" thickTop="1" thickBot="1" x14ac:dyDescent="0.25">
      <c r="A16" s="51"/>
      <c r="B16" s="1039" t="s">
        <v>6</v>
      </c>
      <c r="C16" s="1040"/>
      <c r="D16" s="1040"/>
      <c r="E16" s="546">
        <v>0</v>
      </c>
      <c r="F16" s="69"/>
      <c r="G16" s="69"/>
      <c r="H16" s="69"/>
      <c r="I16" s="376"/>
    </row>
    <row r="17" spans="1:10" ht="14.25" thickTop="1" thickBot="1" x14ac:dyDescent="0.25">
      <c r="A17" s="51"/>
      <c r="B17" s="1041" t="s">
        <v>9</v>
      </c>
      <c r="C17" s="1042"/>
      <c r="D17" s="1042"/>
      <c r="E17" s="547">
        <v>0</v>
      </c>
      <c r="F17" s="69"/>
      <c r="G17" s="69"/>
      <c r="H17" s="69"/>
      <c r="I17" s="376"/>
    </row>
    <row r="18" spans="1:10" ht="30" customHeight="1" thickTop="1" thickBot="1" x14ac:dyDescent="0.25">
      <c r="A18" s="51"/>
      <c r="B18" s="1041" t="s">
        <v>8</v>
      </c>
      <c r="C18" s="1042"/>
      <c r="D18" s="1042"/>
      <c r="E18" s="547">
        <v>0</v>
      </c>
      <c r="F18" s="69"/>
      <c r="G18" s="69"/>
      <c r="H18" s="69"/>
      <c r="I18" s="376"/>
      <c r="J18" s="463" t="s">
        <v>588</v>
      </c>
    </row>
    <row r="19" spans="1:10" ht="17.25" customHeight="1" thickTop="1" thickBot="1" x14ac:dyDescent="0.25">
      <c r="A19" s="51"/>
      <c r="B19" s="1041" t="s">
        <v>731</v>
      </c>
      <c r="C19" s="1042"/>
      <c r="D19" s="1042"/>
      <c r="E19" s="547">
        <v>0</v>
      </c>
      <c r="F19" s="69"/>
      <c r="G19" s="69"/>
      <c r="H19" s="69"/>
      <c r="I19" s="376"/>
    </row>
    <row r="20" spans="1:10" ht="27.75" customHeight="1" thickTop="1" thickBot="1" x14ac:dyDescent="0.25">
      <c r="A20" s="51"/>
      <c r="B20" s="1041" t="s">
        <v>643</v>
      </c>
      <c r="C20" s="1042"/>
      <c r="D20" s="1042"/>
      <c r="E20" s="547">
        <v>0</v>
      </c>
      <c r="F20" s="69"/>
      <c r="G20" s="69"/>
      <c r="H20" s="69"/>
      <c r="I20" s="376"/>
      <c r="J20" s="463" t="s">
        <v>598</v>
      </c>
    </row>
    <row r="21" spans="1:10" s="71" customFormat="1" ht="14.25" thickTop="1" thickBot="1" x14ac:dyDescent="0.25">
      <c r="B21" s="1041" t="s">
        <v>599</v>
      </c>
      <c r="C21" s="1042"/>
      <c r="D21" s="1042"/>
      <c r="E21" s="441">
        <f>SUM($E$16:$E$20)</f>
        <v>0</v>
      </c>
      <c r="F21" s="97"/>
      <c r="G21" s="97"/>
      <c r="H21" s="97"/>
      <c r="I21" s="442"/>
      <c r="J21" s="451"/>
    </row>
    <row r="22" spans="1:10" s="71" customFormat="1" ht="51.75" thickTop="1" x14ac:dyDescent="0.2">
      <c r="B22" s="1033" t="s">
        <v>673</v>
      </c>
      <c r="C22" s="1034"/>
      <c r="D22" s="1035"/>
      <c r="E22" s="1056" t="s">
        <v>674</v>
      </c>
      <c r="F22" s="1057"/>
      <c r="G22" s="1057"/>
      <c r="H22" s="1057"/>
      <c r="I22" s="1058"/>
      <c r="J22" s="475" t="s">
        <v>600</v>
      </c>
    </row>
    <row r="23" spans="1:10" s="438" customFormat="1" x14ac:dyDescent="0.2">
      <c r="B23" s="1085" t="s">
        <v>601</v>
      </c>
      <c r="C23" s="1032"/>
      <c r="D23" s="1032"/>
      <c r="E23" s="1032"/>
      <c r="F23" s="1032"/>
      <c r="G23" s="1032"/>
      <c r="H23" s="1032"/>
      <c r="I23" s="1086"/>
      <c r="J23" s="1046" t="s">
        <v>602</v>
      </c>
    </row>
    <row r="24" spans="1:10" s="438" customFormat="1" ht="29.25" customHeight="1" thickBot="1" x14ac:dyDescent="0.25">
      <c r="B24" s="1059" t="s">
        <v>713</v>
      </c>
      <c r="C24" s="1060" t="s">
        <v>707</v>
      </c>
      <c r="D24" s="1060"/>
      <c r="E24" s="1060"/>
      <c r="F24" s="1060"/>
      <c r="G24" s="1060"/>
      <c r="H24" s="1060"/>
      <c r="I24" s="1061"/>
      <c r="J24" s="1047"/>
    </row>
    <row r="25" spans="1:10" s="432" customFormat="1" ht="17.25" thickTop="1" thickBot="1" x14ac:dyDescent="0.25">
      <c r="B25" s="1043" t="s">
        <v>603</v>
      </c>
      <c r="C25" s="1044" t="s">
        <v>691</v>
      </c>
      <c r="D25" s="1044"/>
      <c r="E25" s="1044"/>
      <c r="F25" s="1044"/>
      <c r="G25" s="1044"/>
      <c r="H25" s="1044"/>
      <c r="I25" s="1045"/>
      <c r="J25" s="450"/>
    </row>
    <row r="26" spans="1:10" ht="14.25" thickTop="1" thickBot="1" x14ac:dyDescent="0.25">
      <c r="A26" s="51"/>
      <c r="B26" s="1039" t="s">
        <v>732</v>
      </c>
      <c r="C26" s="1040"/>
      <c r="D26" s="1040"/>
      <c r="E26" s="546">
        <v>0</v>
      </c>
      <c r="F26" s="69"/>
      <c r="G26" s="69"/>
      <c r="H26" s="69"/>
      <c r="I26" s="376"/>
    </row>
    <row r="27" spans="1:10" ht="14.25" customHeight="1" thickTop="1" thickBot="1" x14ac:dyDescent="0.25">
      <c r="A27" s="51"/>
      <c r="B27" s="1041" t="s">
        <v>7</v>
      </c>
      <c r="C27" s="1042"/>
      <c r="D27" s="1042"/>
      <c r="E27" s="547">
        <v>0</v>
      </c>
      <c r="F27" s="69"/>
      <c r="G27" s="69"/>
      <c r="H27" s="69"/>
      <c r="I27" s="376"/>
    </row>
    <row r="28" spans="1:10" ht="14.25" thickTop="1" thickBot="1" x14ac:dyDescent="0.25">
      <c r="A28" s="51"/>
      <c r="B28" s="1041" t="s">
        <v>240</v>
      </c>
      <c r="C28" s="1042"/>
      <c r="D28" s="1042"/>
      <c r="E28" s="547">
        <v>0</v>
      </c>
      <c r="F28" s="69"/>
      <c r="G28" s="69"/>
      <c r="H28" s="69"/>
      <c r="I28" s="376"/>
    </row>
    <row r="29" spans="1:10" s="71" customFormat="1" ht="27" thickTop="1" thickBot="1" x14ac:dyDescent="0.25">
      <c r="B29" s="1041" t="s">
        <v>604</v>
      </c>
      <c r="C29" s="1042"/>
      <c r="D29" s="1042"/>
      <c r="E29" s="650">
        <f>SUM(E26:E28)</f>
        <v>0</v>
      </c>
      <c r="F29" s="97"/>
      <c r="G29" s="97"/>
      <c r="H29" s="97"/>
      <c r="I29" s="442"/>
      <c r="J29" s="463" t="s">
        <v>605</v>
      </c>
    </row>
    <row r="30" spans="1:10" s="71" customFormat="1" ht="54" customHeight="1" thickTop="1" x14ac:dyDescent="0.2">
      <c r="B30" s="1036" t="s">
        <v>675</v>
      </c>
      <c r="C30" s="1037"/>
      <c r="D30" s="1038"/>
      <c r="E30" s="1056" t="s">
        <v>674</v>
      </c>
      <c r="F30" s="1057"/>
      <c r="G30" s="1057"/>
      <c r="H30" s="1057"/>
      <c r="I30" s="1058"/>
      <c r="J30" s="475" t="s">
        <v>606</v>
      </c>
    </row>
    <row r="31" spans="1:10" s="438" customFormat="1" x14ac:dyDescent="0.2">
      <c r="B31" s="1085" t="s">
        <v>607</v>
      </c>
      <c r="C31" s="1032"/>
      <c r="D31" s="1032"/>
      <c r="E31" s="1032"/>
      <c r="F31" s="1032"/>
      <c r="G31" s="1032"/>
      <c r="H31" s="1032"/>
      <c r="I31" s="1086"/>
      <c r="J31" s="452"/>
    </row>
    <row r="32" spans="1:10" s="438" customFormat="1" ht="39" thickBot="1" x14ac:dyDescent="0.25">
      <c r="B32" s="1059" t="s">
        <v>713</v>
      </c>
      <c r="C32" s="1060" t="s">
        <v>707</v>
      </c>
      <c r="D32" s="1060"/>
      <c r="E32" s="1060"/>
      <c r="F32" s="1060"/>
      <c r="G32" s="1060"/>
      <c r="H32" s="1060"/>
      <c r="I32" s="1061"/>
      <c r="J32" s="475" t="s">
        <v>602</v>
      </c>
    </row>
    <row r="33" spans="1:12" s="432" customFormat="1" ht="17.25" thickTop="1" thickBot="1" x14ac:dyDescent="0.25">
      <c r="B33" s="1112" t="s">
        <v>608</v>
      </c>
      <c r="C33" s="1018"/>
      <c r="D33" s="1018"/>
      <c r="E33" s="1018"/>
      <c r="F33" s="1018"/>
      <c r="G33" s="1018"/>
      <c r="H33" s="1018"/>
      <c r="I33" s="1019"/>
      <c r="J33" s="450"/>
    </row>
    <row r="34" spans="1:12" ht="25.5" customHeight="1" thickTop="1" thickBot="1" x14ac:dyDescent="0.25">
      <c r="A34" s="51"/>
      <c r="B34" s="1062" t="s">
        <v>321</v>
      </c>
      <c r="C34" s="1063"/>
      <c r="D34" s="1063"/>
      <c r="E34" s="1063"/>
      <c r="F34" s="1063"/>
      <c r="G34" s="1063"/>
      <c r="H34" s="1063"/>
      <c r="I34" s="1064"/>
    </row>
    <row r="35" spans="1:12" s="432" customFormat="1" ht="17.25" thickTop="1" thickBot="1" x14ac:dyDescent="0.25">
      <c r="B35" s="1115" t="s">
        <v>616</v>
      </c>
      <c r="C35" s="1116"/>
      <c r="D35" s="1116"/>
      <c r="E35" s="1116"/>
      <c r="F35" s="1116"/>
      <c r="G35" s="1116"/>
      <c r="H35" s="1116"/>
      <c r="I35" s="1117"/>
      <c r="J35" s="450"/>
    </row>
    <row r="36" spans="1:12" ht="57" customHeight="1" thickTop="1" x14ac:dyDescent="0.2">
      <c r="A36" s="51"/>
      <c r="B36" s="1113" t="s">
        <v>609</v>
      </c>
      <c r="C36" s="1114"/>
      <c r="D36" s="446" t="str">
        <f>IF(Factors!$J$6=1,IF($E$21&gt;0,"HIGH CONSEQUENCE FROM INFRASTRUCTURE",IF($E$29&gt;0,"MEDIUM CONSEQUENCE FROM INFRASTRUCTURE","LOW CONSEQUENCE FROM INFRASTRUCTURE")),IF(Factors!$J$6=2,IF($E$21&gt;0,"HIGH CONSEQUENCE FROM INFRASTRUCTURE",IF($E$29&gt;0,"MEDIUM CONSEQUENCE FROM INFRASTRUCTURE","LOW CONSEQUENCE FROM INFRASTRUCTURE"))))</f>
        <v>LOW CONSEQUENCE FROM INFRASTRUCTURE</v>
      </c>
      <c r="E36" s="1053" t="s">
        <v>21</v>
      </c>
      <c r="F36" s="1054"/>
      <c r="G36" s="1054"/>
      <c r="H36" s="1054"/>
      <c r="I36" s="1055"/>
      <c r="J36" s="463" t="s">
        <v>610</v>
      </c>
    </row>
    <row r="37" spans="1:12" ht="63.75" x14ac:dyDescent="0.2">
      <c r="A37" s="51"/>
      <c r="B37" s="1069" t="s">
        <v>370</v>
      </c>
      <c r="C37" s="1070"/>
      <c r="D37" s="1071"/>
      <c r="E37" s="27"/>
      <c r="F37" s="403" t="str">
        <f>IF(Factors!$AE$34&gt;9, "Please Explain and/or Provide Return Period used","")</f>
        <v/>
      </c>
      <c r="G37" s="1072" t="s">
        <v>22</v>
      </c>
      <c r="H37" s="1072"/>
      <c r="I37" s="1073"/>
      <c r="J37" s="463" t="s">
        <v>10</v>
      </c>
    </row>
    <row r="38" spans="1:12" ht="13.5" thickBot="1" x14ac:dyDescent="0.25">
      <c r="A38" s="51"/>
      <c r="B38" s="844" t="s">
        <v>497</v>
      </c>
      <c r="C38" s="77"/>
      <c r="D38" s="77"/>
      <c r="E38" s="77"/>
      <c r="F38" s="77"/>
      <c r="G38" s="77"/>
      <c r="H38" s="77"/>
      <c r="I38" s="82"/>
    </row>
    <row r="39" spans="1:12" ht="10.5" customHeight="1" thickTop="1" thickBot="1" x14ac:dyDescent="0.25">
      <c r="A39" s="443"/>
    </row>
    <row r="40" spans="1:12" ht="14.25" thickTop="1" thickBot="1" x14ac:dyDescent="0.25">
      <c r="A40" s="51"/>
      <c r="B40" s="1109" t="s">
        <v>617</v>
      </c>
      <c r="C40" s="1010"/>
      <c r="D40" s="1010"/>
      <c r="E40" s="1010"/>
      <c r="F40" s="1011"/>
      <c r="G40" s="1050" t="s">
        <v>494</v>
      </c>
      <c r="H40" s="1018"/>
      <c r="I40" s="1019"/>
      <c r="J40" s="463" t="s">
        <v>35</v>
      </c>
    </row>
    <row r="41" spans="1:12" ht="46.5" customHeight="1" thickTop="1" thickBot="1" x14ac:dyDescent="0.25">
      <c r="A41" s="51"/>
      <c r="B41" s="1065" t="s">
        <v>369</v>
      </c>
      <c r="C41" s="900"/>
      <c r="D41" s="1066"/>
      <c r="E41" s="400">
        <f>Factors!AL5</f>
        <v>1</v>
      </c>
      <c r="F41" s="685" t="str">
        <f>IF($E$41=2,"Please Explain","")</f>
        <v/>
      </c>
      <c r="G41" s="944" t="s">
        <v>23</v>
      </c>
      <c r="H41" s="945"/>
      <c r="I41" s="946"/>
      <c r="J41" s="88" t="s">
        <v>222</v>
      </c>
      <c r="K41" s="88"/>
      <c r="L41" s="88"/>
    </row>
    <row r="42" spans="1:12" ht="46.5" customHeight="1" thickTop="1" thickBot="1" x14ac:dyDescent="0.25">
      <c r="A42" s="51"/>
      <c r="B42" s="994" t="s">
        <v>404</v>
      </c>
      <c r="C42" s="995"/>
      <c r="D42" s="996"/>
      <c r="E42" s="806"/>
      <c r="F42" s="685" t="str">
        <f>IF(Factors!AL4=2,"Please Explain","")</f>
        <v/>
      </c>
      <c r="G42" s="997" t="s">
        <v>24</v>
      </c>
      <c r="H42" s="915"/>
      <c r="I42" s="916"/>
      <c r="J42" s="88"/>
      <c r="K42" s="88"/>
      <c r="L42" s="88"/>
    </row>
    <row r="43" spans="1:12" ht="54" customHeight="1" thickTop="1" x14ac:dyDescent="0.2">
      <c r="A43" s="51"/>
      <c r="B43" s="1012" t="s">
        <v>368</v>
      </c>
      <c r="C43" s="1013"/>
      <c r="D43" s="1013"/>
      <c r="E43" s="26"/>
      <c r="F43" s="686" t="str">
        <f>IF(Factors!$J$27=2,"Please Explain","")</f>
        <v/>
      </c>
      <c r="G43" s="997" t="s">
        <v>25</v>
      </c>
      <c r="H43" s="1051"/>
      <c r="I43" s="1052"/>
    </row>
    <row r="44" spans="1:12" ht="46.5" customHeight="1" thickBot="1" x14ac:dyDescent="0.25">
      <c r="A44" s="51"/>
      <c r="B44" s="1012" t="s">
        <v>414</v>
      </c>
      <c r="C44" s="915"/>
      <c r="D44" s="1108"/>
      <c r="E44" s="26"/>
      <c r="F44" s="727" t="str">
        <f>IF(AND(Factors!$J$35=1,Factors!J109=1),"","Please Explain")</f>
        <v/>
      </c>
      <c r="G44" s="997" t="s">
        <v>26</v>
      </c>
      <c r="H44" s="1051"/>
      <c r="I44" s="1052"/>
    </row>
    <row r="45" spans="1:12" ht="23.25" customHeight="1" thickBot="1" x14ac:dyDescent="0.25">
      <c r="A45" s="51"/>
      <c r="B45" s="175"/>
      <c r="C45" s="77"/>
      <c r="D45" s="399" t="s">
        <v>650</v>
      </c>
      <c r="E45" s="548">
        <v>100</v>
      </c>
      <c r="F45" s="358" t="s">
        <v>222</v>
      </c>
      <c r="G45" s="1077"/>
      <c r="H45" s="1077"/>
      <c r="I45" s="1078"/>
    </row>
    <row r="46" spans="1:12" s="69" customFormat="1" ht="12" customHeight="1" thickTop="1" thickBot="1" x14ac:dyDescent="0.25">
      <c r="B46" s="106"/>
      <c r="C46" s="106"/>
      <c r="D46" s="359"/>
      <c r="E46" s="360"/>
      <c r="F46" s="361"/>
      <c r="G46" s="362"/>
      <c r="H46" s="362"/>
      <c r="I46" s="362"/>
      <c r="J46" s="88"/>
    </row>
    <row r="47" spans="1:12" ht="18" customHeight="1" thickTop="1" thickBot="1" x14ac:dyDescent="0.25">
      <c r="A47" s="51"/>
      <c r="B47" s="1008" t="s">
        <v>378</v>
      </c>
      <c r="C47" s="1009"/>
      <c r="D47" s="1009"/>
      <c r="E47" s="1009"/>
      <c r="F47" s="1009"/>
      <c r="G47" s="1010"/>
      <c r="H47" s="1010"/>
      <c r="I47" s="1011"/>
    </row>
    <row r="48" spans="1:12" ht="23.25" customHeight="1" thickTop="1" x14ac:dyDescent="0.2">
      <c r="A48" s="51"/>
      <c r="B48" s="105"/>
      <c r="C48" s="363"/>
      <c r="D48" s="401" t="s">
        <v>692</v>
      </c>
      <c r="E48" s="400"/>
      <c r="F48" s="1006" t="s">
        <v>222</v>
      </c>
      <c r="G48" s="1006"/>
      <c r="H48" s="1006"/>
      <c r="I48" s="1007"/>
      <c r="J48" s="1048" t="s">
        <v>780</v>
      </c>
    </row>
    <row r="49" spans="1:11" ht="57.75" customHeight="1" thickBot="1" x14ac:dyDescent="0.25">
      <c r="A49" s="51"/>
      <c r="B49" s="175"/>
      <c r="C49" s="77"/>
      <c r="D49" s="399" t="str">
        <f>IF(Factors!J47=2,"Please ignore","Has the history of jack-up type and leg penetrations at position been provided?")</f>
        <v>Has the history of jack-up type and leg penetrations at position been provided?</v>
      </c>
      <c r="E49" s="390"/>
      <c r="F49" s="687" t="str">
        <f>IF(D49="please ignore","",IF(Factors!$J$51=2,"Please Explain",""))</f>
        <v/>
      </c>
      <c r="G49" s="1004" t="s">
        <v>27</v>
      </c>
      <c r="H49" s="1004"/>
      <c r="I49" s="1005"/>
      <c r="J49" s="1049"/>
    </row>
    <row r="50" spans="1:11" ht="10.5" customHeight="1" thickTop="1" thickBot="1" x14ac:dyDescent="0.25">
      <c r="A50" s="51"/>
      <c r="B50" s="96"/>
      <c r="C50" s="96"/>
      <c r="D50" s="394"/>
      <c r="E50" s="375"/>
      <c r="F50" s="375"/>
      <c r="G50" s="379"/>
      <c r="H50" s="379"/>
      <c r="I50" s="379"/>
    </row>
    <row r="51" spans="1:11" ht="14.25" thickTop="1" thickBot="1" x14ac:dyDescent="0.25">
      <c r="A51" s="51"/>
      <c r="B51" s="1109" t="s">
        <v>618</v>
      </c>
      <c r="C51" s="1110"/>
      <c r="D51" s="1110"/>
      <c r="E51" s="1110"/>
      <c r="F51" s="1111"/>
      <c r="G51" s="1017" t="s">
        <v>494</v>
      </c>
      <c r="H51" s="1018"/>
      <c r="I51" s="1019"/>
    </row>
    <row r="52" spans="1:11" ht="38.25" customHeight="1" thickTop="1" x14ac:dyDescent="0.2">
      <c r="A52" s="51"/>
      <c r="B52" s="1080" t="s">
        <v>501</v>
      </c>
      <c r="C52" s="999"/>
      <c r="D52" s="1081"/>
      <c r="E52" s="549">
        <v>2008</v>
      </c>
      <c r="F52" s="444" t="s">
        <v>222</v>
      </c>
      <c r="G52" s="233"/>
      <c r="H52" s="233"/>
      <c r="I52" s="374"/>
      <c r="J52" s="463" t="s">
        <v>781</v>
      </c>
      <c r="K52" s="51" t="s">
        <v>222</v>
      </c>
    </row>
    <row r="53" spans="1:11" ht="51" x14ac:dyDescent="0.2">
      <c r="A53" s="51"/>
      <c r="B53" s="1082" t="s">
        <v>690</v>
      </c>
      <c r="C53" s="1083"/>
      <c r="D53" s="1084"/>
      <c r="E53" s="550">
        <v>79</v>
      </c>
      <c r="F53" s="688" t="str">
        <f>IF(E53&gt;1000,"&gt;1000 ft, Please Explain","")</f>
        <v/>
      </c>
      <c r="G53" s="1014" t="s">
        <v>668</v>
      </c>
      <c r="H53" s="1015"/>
      <c r="I53" s="1016"/>
      <c r="J53" s="463" t="s">
        <v>611</v>
      </c>
    </row>
    <row r="54" spans="1:11" ht="51" x14ac:dyDescent="0.2">
      <c r="A54" s="51"/>
      <c r="B54" s="1079" t="s">
        <v>371</v>
      </c>
      <c r="C54" s="1002"/>
      <c r="D54" s="1002"/>
      <c r="E54" s="551"/>
      <c r="F54" s="804" t="s">
        <v>372</v>
      </c>
      <c r="G54" s="1121" t="s">
        <v>669</v>
      </c>
      <c r="H54" s="1122"/>
      <c r="I54" s="1123"/>
      <c r="J54" s="463" t="s">
        <v>0</v>
      </c>
    </row>
    <row r="55" spans="1:11" ht="25.5" customHeight="1" thickBot="1" x14ac:dyDescent="0.25">
      <c r="A55" s="51"/>
      <c r="B55" s="1124" t="s">
        <v>727</v>
      </c>
      <c r="C55" s="1125"/>
      <c r="D55" s="1125"/>
      <c r="E55" s="1126" t="s">
        <v>670</v>
      </c>
      <c r="F55" s="1127"/>
      <c r="G55" s="1127"/>
      <c r="H55" s="1127"/>
      <c r="I55" s="1128"/>
    </row>
    <row r="56" spans="1:11" ht="11.25" customHeight="1" thickTop="1" thickBot="1" x14ac:dyDescent="0.25">
      <c r="A56" s="51"/>
      <c r="B56" s="377"/>
      <c r="C56" s="96"/>
      <c r="D56" s="96"/>
      <c r="E56" s="378"/>
      <c r="F56" s="377"/>
      <c r="G56" s="379"/>
      <c r="H56" s="379"/>
      <c r="I56" s="379"/>
    </row>
    <row r="57" spans="1:11" ht="14.25" thickTop="1" thickBot="1" x14ac:dyDescent="0.25">
      <c r="A57" s="51"/>
      <c r="B57" s="1118" t="s">
        <v>619</v>
      </c>
      <c r="C57" s="1119"/>
      <c r="D57" s="1119"/>
      <c r="E57" s="1119"/>
      <c r="F57" s="1120"/>
      <c r="G57" s="1017" t="s">
        <v>494</v>
      </c>
      <c r="H57" s="1018"/>
      <c r="I57" s="1019"/>
    </row>
    <row r="58" spans="1:11" ht="39" customHeight="1" thickTop="1" thickBot="1" x14ac:dyDescent="0.25">
      <c r="A58" s="51"/>
      <c r="B58" s="1067" t="str">
        <f>IF(Factors!J6=2,"Mat Rig: Please ignore",IF(E53&lt;1000,"Please Ignore shallow seismic tieback requirement as &lt; 1000 ft","Sample was &gt; 1000 ft distant, was a Shallow Seismic tie line used to confirm applicability to this location?"))</f>
        <v>Please Ignore shallow seismic tieback requirement as &lt; 1000 ft</v>
      </c>
      <c r="C58" s="1068"/>
      <c r="D58" s="1068"/>
      <c r="E58" s="445" t="s">
        <v>222</v>
      </c>
      <c r="F58" s="689" t="str">
        <f>IF(AND(Factors!$J$58=2,'LEASEHOLDER Provided Data'!$E$53&gt;1000,Factors!$J$6=1), "Please Explain","")</f>
        <v/>
      </c>
      <c r="G58" s="1074" t="s">
        <v>671</v>
      </c>
      <c r="H58" s="1075"/>
      <c r="I58" s="1076"/>
      <c r="J58" s="463" t="s">
        <v>36</v>
      </c>
    </row>
    <row r="59" spans="1:11" ht="10.5" customHeight="1" thickTop="1" thickBot="1" x14ac:dyDescent="0.25">
      <c r="A59" s="51"/>
      <c r="B59" s="66"/>
    </row>
    <row r="60" spans="1:11" ht="39.75" customHeight="1" thickTop="1" x14ac:dyDescent="0.2">
      <c r="A60" s="51"/>
      <c r="B60" s="998" t="s">
        <v>706</v>
      </c>
      <c r="C60" s="999"/>
      <c r="D60" s="1000"/>
      <c r="E60" s="932" t="s">
        <v>222</v>
      </c>
      <c r="F60" s="1023"/>
      <c r="G60" s="1023"/>
      <c r="H60" s="1023"/>
      <c r="I60" s="1024"/>
    </row>
    <row r="61" spans="1:11" ht="27.75" customHeight="1" x14ac:dyDescent="0.2">
      <c r="A61" s="51"/>
      <c r="B61" s="1001" t="s">
        <v>614</v>
      </c>
      <c r="C61" s="1002"/>
      <c r="D61" s="1003"/>
      <c r="E61" s="1025" t="s">
        <v>222</v>
      </c>
      <c r="F61" s="1026"/>
      <c r="G61" s="1026"/>
      <c r="H61" s="1026"/>
      <c r="I61" s="1027"/>
    </row>
    <row r="62" spans="1:11" ht="59.25" customHeight="1" thickBot="1" x14ac:dyDescent="0.25">
      <c r="A62" s="51"/>
      <c r="B62" s="1020" t="s">
        <v>374</v>
      </c>
      <c r="C62" s="1021"/>
      <c r="D62" s="1022"/>
      <c r="E62" s="935" t="s">
        <v>222</v>
      </c>
      <c r="F62" s="1028"/>
      <c r="G62" s="1028"/>
      <c r="H62" s="1028"/>
      <c r="I62" s="1029"/>
      <c r="J62" s="476" t="s">
        <v>739</v>
      </c>
    </row>
    <row r="63" spans="1:11" ht="13.5" thickTop="1" x14ac:dyDescent="0.2">
      <c r="A63" s="51"/>
      <c r="G63" s="66"/>
    </row>
  </sheetData>
  <sheetProtection password="83AF" sheet="1" objects="1" scenarios="1" formatRows="0"/>
  <mergeCells count="72">
    <mergeCell ref="B57:F57"/>
    <mergeCell ref="G54:I54"/>
    <mergeCell ref="B55:D55"/>
    <mergeCell ref="E55:I55"/>
    <mergeCell ref="B15:I15"/>
    <mergeCell ref="B19:D19"/>
    <mergeCell ref="B44:D44"/>
    <mergeCell ref="B31:I31"/>
    <mergeCell ref="G51:I51"/>
    <mergeCell ref="B51:F51"/>
    <mergeCell ref="B33:I33"/>
    <mergeCell ref="B40:F40"/>
    <mergeCell ref="B36:C36"/>
    <mergeCell ref="B32:I32"/>
    <mergeCell ref="H4:I4"/>
    <mergeCell ref="B4:F4"/>
    <mergeCell ref="G12:I12"/>
    <mergeCell ref="B11:I11"/>
    <mergeCell ref="B5:B9"/>
    <mergeCell ref="J5:K5"/>
    <mergeCell ref="E12:F12"/>
    <mergeCell ref="B12:D12"/>
    <mergeCell ref="G45:I45"/>
    <mergeCell ref="B54:D54"/>
    <mergeCell ref="B52:D52"/>
    <mergeCell ref="B53:D53"/>
    <mergeCell ref="B29:D29"/>
    <mergeCell ref="B20:D20"/>
    <mergeCell ref="B21:D21"/>
    <mergeCell ref="E22:I22"/>
    <mergeCell ref="B23:I23"/>
    <mergeCell ref="B35:I35"/>
    <mergeCell ref="E30:I30"/>
    <mergeCell ref="B24:I24"/>
    <mergeCell ref="B34:I34"/>
    <mergeCell ref="B28:D28"/>
    <mergeCell ref="B41:D41"/>
    <mergeCell ref="B58:D58"/>
    <mergeCell ref="B37:D37"/>
    <mergeCell ref="G37:I37"/>
    <mergeCell ref="G58:I58"/>
    <mergeCell ref="G44:I44"/>
    <mergeCell ref="B16:D16"/>
    <mergeCell ref="B18:D18"/>
    <mergeCell ref="B17:D17"/>
    <mergeCell ref="B25:I25"/>
    <mergeCell ref="J23:J24"/>
    <mergeCell ref="J48:J49"/>
    <mergeCell ref="G40:I40"/>
    <mergeCell ref="G41:I41"/>
    <mergeCell ref="G43:I43"/>
    <mergeCell ref="E36:I36"/>
    <mergeCell ref="B62:D62"/>
    <mergeCell ref="E60:I60"/>
    <mergeCell ref="E61:I61"/>
    <mergeCell ref="E62:I62"/>
    <mergeCell ref="C2:F2"/>
    <mergeCell ref="C14:G14"/>
    <mergeCell ref="B22:D22"/>
    <mergeCell ref="B30:D30"/>
    <mergeCell ref="B26:D26"/>
    <mergeCell ref="B27:D27"/>
    <mergeCell ref="B42:D42"/>
    <mergeCell ref="G42:I42"/>
    <mergeCell ref="B60:D60"/>
    <mergeCell ref="B61:D61"/>
    <mergeCell ref="G49:I49"/>
    <mergeCell ref="F48:I48"/>
    <mergeCell ref="B47:I47"/>
    <mergeCell ref="B43:D43"/>
    <mergeCell ref="G53:I53"/>
    <mergeCell ref="G57:I57"/>
  </mergeCells>
  <phoneticPr fontId="4" type="noConversion"/>
  <conditionalFormatting sqref="B57 B51">
    <cfRule type="cellIs" dxfId="159" priority="1" stopIfTrue="1" operator="equal">
      <formula>"Please complete this Block of Questions for this Independent Leg Jack-Up"</formula>
    </cfRule>
    <cfRule type="cellIs" dxfId="158" priority="2" stopIfTrue="1" operator="equal">
      <formula>"Please ignore this block of questions for Mat Supported Jack-Up"</formula>
    </cfRule>
  </conditionalFormatting>
  <conditionalFormatting sqref="F58">
    <cfRule type="cellIs" dxfId="157" priority="3" stopIfTrue="1" operator="equal">
      <formula>"Please Explain"</formula>
    </cfRule>
    <cfRule type="cellIs" dxfId="156" priority="4" stopIfTrue="1" operator="equal">
      <formula>""</formula>
    </cfRule>
  </conditionalFormatting>
  <conditionalFormatting sqref="E52:E53 G12:I12 E48:E50 E41:E46">
    <cfRule type="cellIs" dxfId="155" priority="5" stopIfTrue="1" operator="equal">
      <formula>"Submit Report"</formula>
    </cfRule>
  </conditionalFormatting>
  <conditionalFormatting sqref="F45:F46">
    <cfRule type="cellIs" dxfId="154" priority="6" stopIfTrue="1" operator="equal">
      <formula>1</formula>
    </cfRule>
  </conditionalFormatting>
  <conditionalFormatting sqref="F41:F43">
    <cfRule type="cellIs" dxfId="153" priority="7" stopIfTrue="1" operator="equal">
      <formula>"Please Explain"</formula>
    </cfRule>
    <cfRule type="cellIs" dxfId="152" priority="8" stopIfTrue="1" operator="equal">
      <formula>""</formula>
    </cfRule>
  </conditionalFormatting>
  <conditionalFormatting sqref="F48:F50">
    <cfRule type="cellIs" dxfId="151" priority="9" stopIfTrue="1" operator="equal">
      <formula>"Please Explain"</formula>
    </cfRule>
  </conditionalFormatting>
  <conditionalFormatting sqref="F53">
    <cfRule type="cellIs" dxfId="150" priority="10" stopIfTrue="1" operator="equal">
      <formula>"&gt;1000 ft, Please Explain"</formula>
    </cfRule>
    <cfRule type="cellIs" dxfId="149" priority="11" stopIfTrue="1" operator="equal">
      <formula>""</formula>
    </cfRule>
  </conditionalFormatting>
  <conditionalFormatting sqref="E10">
    <cfRule type="cellIs" dxfId="148" priority="12" stopIfTrue="1" operator="equal">
      <formula>"Yes"</formula>
    </cfRule>
    <cfRule type="cellIs" dxfId="147" priority="13" stopIfTrue="1" operator="equal">
      <formula>"No"</formula>
    </cfRule>
  </conditionalFormatting>
  <conditionalFormatting sqref="E29">
    <cfRule type="cellIs" dxfId="146" priority="14" stopIfTrue="1" operator="notEqual">
      <formula>0</formula>
    </cfRule>
  </conditionalFormatting>
  <conditionalFormatting sqref="F37">
    <cfRule type="cellIs" dxfId="145" priority="15" stopIfTrue="1" operator="equal">
      <formula>"Please Explain and/or Provide Return Period used"</formula>
    </cfRule>
  </conditionalFormatting>
  <conditionalFormatting sqref="B12:D12">
    <cfRule type="cellIs" dxfId="144" priority="16" stopIfTrue="1" operator="equal">
      <formula>"Central GoM at Peak of Season = HIGH probability of Extreme Storm"</formula>
    </cfRule>
    <cfRule type="cellIs" dxfId="143" priority="17" stopIfTrue="1" operator="equal">
      <formula>"GoM at Peak of Season, but not most severe zone"</formula>
    </cfRule>
  </conditionalFormatting>
  <conditionalFormatting sqref="E21">
    <cfRule type="cellIs" dxfId="142" priority="18" stopIfTrue="1" operator="greaterThan">
      <formula>0</formula>
    </cfRule>
  </conditionalFormatting>
  <conditionalFormatting sqref="D36">
    <cfRule type="cellIs" dxfId="141" priority="19" stopIfTrue="1" operator="equal">
      <formula>"LOW CONSEQUENCE FROM INFRASTRUCTURE"</formula>
    </cfRule>
    <cfRule type="cellIs" dxfId="140" priority="20" stopIfTrue="1" operator="equal">
      <formula>"MEDIUM CONSEQUENCE FROM INFRASTRUCTURE"</formula>
    </cfRule>
    <cfRule type="cellIs" dxfId="139" priority="21" stopIfTrue="1" operator="equal">
      <formula>"HIGH CONSEQUENCE FROM INFRASTRUCTURE"</formula>
    </cfRule>
  </conditionalFormatting>
  <conditionalFormatting sqref="F44">
    <cfRule type="cellIs" dxfId="138" priority="22" stopIfTrue="1" operator="equal">
      <formula>"Please Explain"</formula>
    </cfRule>
    <cfRule type="cellIs" dxfId="137" priority="23" stopIfTrue="1" operator="equal">
      <formula>""</formula>
    </cfRule>
  </conditionalFormatting>
  <dataValidations disablePrompts="1" xWindow="830" yWindow="289" count="2">
    <dataValidation allowBlank="1" showInputMessage="1" showErrorMessage="1" prompt="This is what you need to pu tin the box_x000a_" sqref="F37"/>
    <dataValidation allowBlank="1" showInputMessage="1" showErrorMessage="1" promptTitle="Survival Case" prompt="Survival Case uses Full Population Hurricane Data_x000a_" sqref="G37:I37"/>
  </dataValidations>
  <printOptions horizontalCentered="1"/>
  <pageMargins left="0.3" right="0.37" top="0.4" bottom="0.55000000000000004" header="0.43" footer="0.28999999999999998"/>
  <pageSetup scale="59" fitToHeight="3" orientation="portrait" horizontalDpi="1200" verticalDpi="1200" r:id="rId1"/>
  <headerFooter alignWithMargins="0">
    <oddHeader>&amp;L&amp;F&amp;C&amp;A</oddHeader>
    <oddFooter>&amp;R&amp;P</oddFooter>
  </headerFooter>
  <rowBreaks count="1" manualBreakCount="1">
    <brk id="4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7" r:id="rId4" name="Drop Down 3">
              <controlPr defaultSize="0" autoLine="0" autoPict="0">
                <anchor moveWithCells="1" sizeWithCells="1">
                  <from>
                    <xdr:col>3</xdr:col>
                    <xdr:colOff>0</xdr:colOff>
                    <xdr:row>58</xdr:row>
                    <xdr:rowOff>0</xdr:rowOff>
                  </from>
                  <to>
                    <xdr:col>3</xdr:col>
                    <xdr:colOff>0</xdr:colOff>
                    <xdr:row>58</xdr:row>
                    <xdr:rowOff>0</xdr:rowOff>
                  </to>
                </anchor>
              </controlPr>
            </control>
          </mc:Choice>
        </mc:AlternateContent>
        <mc:AlternateContent xmlns:mc="http://schemas.openxmlformats.org/markup-compatibility/2006">
          <mc:Choice Requires="x14">
            <control shapeId="11268" r:id="rId5" name="Drop Down 4">
              <controlPr defaultSize="0" autoLine="0" autoPict="0">
                <anchor moveWithCells="1" sizeWithCells="1">
                  <from>
                    <xdr:col>3</xdr:col>
                    <xdr:colOff>1428750</xdr:colOff>
                    <xdr:row>36</xdr:row>
                    <xdr:rowOff>314325</xdr:rowOff>
                  </from>
                  <to>
                    <xdr:col>5</xdr:col>
                    <xdr:colOff>0</xdr:colOff>
                    <xdr:row>36</xdr:row>
                    <xdr:rowOff>619125</xdr:rowOff>
                  </to>
                </anchor>
              </controlPr>
            </control>
          </mc:Choice>
        </mc:AlternateContent>
        <mc:AlternateContent xmlns:mc="http://schemas.openxmlformats.org/markup-compatibility/2006">
          <mc:Choice Requires="x14">
            <control shapeId="11269" r:id="rId6" name="Drop Down 5">
              <controlPr locked="0" defaultSize="0" autoLine="0" autoPict="0">
                <anchor moveWithCells="1">
                  <from>
                    <xdr:col>4</xdr:col>
                    <xdr:colOff>152400</xdr:colOff>
                    <xdr:row>40</xdr:row>
                    <xdr:rowOff>114300</xdr:rowOff>
                  </from>
                  <to>
                    <xdr:col>4</xdr:col>
                    <xdr:colOff>981075</xdr:colOff>
                    <xdr:row>40</xdr:row>
                    <xdr:rowOff>361950</xdr:rowOff>
                  </to>
                </anchor>
              </controlPr>
            </control>
          </mc:Choice>
        </mc:AlternateContent>
        <mc:AlternateContent xmlns:mc="http://schemas.openxmlformats.org/markup-compatibility/2006">
          <mc:Choice Requires="x14">
            <control shapeId="11270" r:id="rId7" name="Drop Down 6">
              <controlPr locked="0" defaultSize="0" autoLine="0" autoPict="0">
                <anchor moveWithCells="1">
                  <from>
                    <xdr:col>4</xdr:col>
                    <xdr:colOff>142875</xdr:colOff>
                    <xdr:row>42</xdr:row>
                    <xdr:rowOff>219075</xdr:rowOff>
                  </from>
                  <to>
                    <xdr:col>4</xdr:col>
                    <xdr:colOff>981075</xdr:colOff>
                    <xdr:row>42</xdr:row>
                    <xdr:rowOff>466725</xdr:rowOff>
                  </to>
                </anchor>
              </controlPr>
            </control>
          </mc:Choice>
        </mc:AlternateContent>
        <mc:AlternateContent xmlns:mc="http://schemas.openxmlformats.org/markup-compatibility/2006">
          <mc:Choice Requires="x14">
            <control shapeId="11271" r:id="rId8" name="Drop Down 7">
              <controlPr locked="0" defaultSize="0" autoLine="0" autoPict="0">
                <anchor moveWithCells="1">
                  <from>
                    <xdr:col>4</xdr:col>
                    <xdr:colOff>142875</xdr:colOff>
                    <xdr:row>43</xdr:row>
                    <xdr:rowOff>9525</xdr:rowOff>
                  </from>
                  <to>
                    <xdr:col>4</xdr:col>
                    <xdr:colOff>981075</xdr:colOff>
                    <xdr:row>43</xdr:row>
                    <xdr:rowOff>257175</xdr:rowOff>
                  </to>
                </anchor>
              </controlPr>
            </control>
          </mc:Choice>
        </mc:AlternateContent>
        <mc:AlternateContent xmlns:mc="http://schemas.openxmlformats.org/markup-compatibility/2006">
          <mc:Choice Requires="x14">
            <control shapeId="11272" r:id="rId9" name="Drop Down 8">
              <controlPr locked="0" defaultSize="0" autoLine="0" autoPict="0">
                <anchor moveWithCells="1">
                  <from>
                    <xdr:col>4</xdr:col>
                    <xdr:colOff>190500</xdr:colOff>
                    <xdr:row>47</xdr:row>
                    <xdr:rowOff>28575</xdr:rowOff>
                  </from>
                  <to>
                    <xdr:col>4</xdr:col>
                    <xdr:colOff>1038225</xdr:colOff>
                    <xdr:row>47</xdr:row>
                    <xdr:rowOff>276225</xdr:rowOff>
                  </to>
                </anchor>
              </controlPr>
            </control>
          </mc:Choice>
        </mc:AlternateContent>
        <mc:AlternateContent xmlns:mc="http://schemas.openxmlformats.org/markup-compatibility/2006">
          <mc:Choice Requires="x14">
            <control shapeId="11273" r:id="rId10" name="Drop Down 9">
              <controlPr locked="0" defaultSize="0" autoLine="0" autoPict="0">
                <anchor moveWithCells="1">
                  <from>
                    <xdr:col>4</xdr:col>
                    <xdr:colOff>190500</xdr:colOff>
                    <xdr:row>48</xdr:row>
                    <xdr:rowOff>180975</xdr:rowOff>
                  </from>
                  <to>
                    <xdr:col>4</xdr:col>
                    <xdr:colOff>1038225</xdr:colOff>
                    <xdr:row>48</xdr:row>
                    <xdr:rowOff>428625</xdr:rowOff>
                  </to>
                </anchor>
              </controlPr>
            </control>
          </mc:Choice>
        </mc:AlternateContent>
        <mc:AlternateContent xmlns:mc="http://schemas.openxmlformats.org/markup-compatibility/2006">
          <mc:Choice Requires="x14">
            <control shapeId="11274" r:id="rId11" name="Drop Down 10">
              <controlPr defaultSize="0" autoLine="0" autoPict="0">
                <anchor moveWithCells="1" sizeWithCells="1">
                  <from>
                    <xdr:col>4</xdr:col>
                    <xdr:colOff>0</xdr:colOff>
                    <xdr:row>53</xdr:row>
                    <xdr:rowOff>28575</xdr:rowOff>
                  </from>
                  <to>
                    <xdr:col>5</xdr:col>
                    <xdr:colOff>28575</xdr:colOff>
                    <xdr:row>53</xdr:row>
                    <xdr:rowOff>266700</xdr:rowOff>
                  </to>
                </anchor>
              </controlPr>
            </control>
          </mc:Choice>
        </mc:AlternateContent>
        <mc:AlternateContent xmlns:mc="http://schemas.openxmlformats.org/markup-compatibility/2006">
          <mc:Choice Requires="x14">
            <control shapeId="11275" r:id="rId12" name="Drop Down 11">
              <controlPr locked="0" defaultSize="0" autoLine="0" autoPict="0">
                <anchor moveWithCells="1">
                  <from>
                    <xdr:col>4</xdr:col>
                    <xdr:colOff>200025</xdr:colOff>
                    <xdr:row>57</xdr:row>
                    <xdr:rowOff>66675</xdr:rowOff>
                  </from>
                  <to>
                    <xdr:col>4</xdr:col>
                    <xdr:colOff>1047750</xdr:colOff>
                    <xdr:row>57</xdr:row>
                    <xdr:rowOff>314325</xdr:rowOff>
                  </to>
                </anchor>
              </controlPr>
            </control>
          </mc:Choice>
        </mc:AlternateContent>
        <mc:AlternateContent xmlns:mc="http://schemas.openxmlformats.org/markup-compatibility/2006">
          <mc:Choice Requires="x14">
            <control shapeId="11276" r:id="rId13" name="Drop Down 12">
              <controlPr defaultSize="0" autoLine="0" autoPict="0">
                <anchor moveWithCells="1">
                  <from>
                    <xdr:col>4</xdr:col>
                    <xdr:colOff>0</xdr:colOff>
                    <xdr:row>4</xdr:row>
                    <xdr:rowOff>47625</xdr:rowOff>
                  </from>
                  <to>
                    <xdr:col>4</xdr:col>
                    <xdr:colOff>800100</xdr:colOff>
                    <xdr:row>4</xdr:row>
                    <xdr:rowOff>257175</xdr:rowOff>
                  </to>
                </anchor>
              </controlPr>
            </control>
          </mc:Choice>
        </mc:AlternateContent>
        <mc:AlternateContent xmlns:mc="http://schemas.openxmlformats.org/markup-compatibility/2006">
          <mc:Choice Requires="x14">
            <control shapeId="11277" r:id="rId14" name="Drop Down 13">
              <controlPr defaultSize="0" autoLine="0" autoPict="0">
                <anchor moveWithCells="1">
                  <from>
                    <xdr:col>4</xdr:col>
                    <xdr:colOff>809625</xdr:colOff>
                    <xdr:row>4</xdr:row>
                    <xdr:rowOff>66675</xdr:rowOff>
                  </from>
                  <to>
                    <xdr:col>5</xdr:col>
                    <xdr:colOff>209550</xdr:colOff>
                    <xdr:row>4</xdr:row>
                    <xdr:rowOff>276225</xdr:rowOff>
                  </to>
                </anchor>
              </controlPr>
            </control>
          </mc:Choice>
        </mc:AlternateContent>
        <mc:AlternateContent xmlns:mc="http://schemas.openxmlformats.org/markup-compatibility/2006">
          <mc:Choice Requires="x14">
            <control shapeId="11278" r:id="rId15" name="Drop Down 14">
              <controlPr defaultSize="0" autoLine="0" autoPict="0">
                <anchor moveWithCells="1">
                  <from>
                    <xdr:col>4</xdr:col>
                    <xdr:colOff>9525</xdr:colOff>
                    <xdr:row>4</xdr:row>
                    <xdr:rowOff>304800</xdr:rowOff>
                  </from>
                  <to>
                    <xdr:col>4</xdr:col>
                    <xdr:colOff>809625</xdr:colOff>
                    <xdr:row>5</xdr:row>
                    <xdr:rowOff>161925</xdr:rowOff>
                  </to>
                </anchor>
              </controlPr>
            </control>
          </mc:Choice>
        </mc:AlternateContent>
        <mc:AlternateContent xmlns:mc="http://schemas.openxmlformats.org/markup-compatibility/2006">
          <mc:Choice Requires="x14">
            <control shapeId="11279" r:id="rId16" name="Drop Down 15">
              <controlPr defaultSize="0" autoLine="0" autoPict="0">
                <anchor moveWithCells="1">
                  <from>
                    <xdr:col>4</xdr:col>
                    <xdr:colOff>828675</xdr:colOff>
                    <xdr:row>4</xdr:row>
                    <xdr:rowOff>304800</xdr:rowOff>
                  </from>
                  <to>
                    <xdr:col>5</xdr:col>
                    <xdr:colOff>219075</xdr:colOff>
                    <xdr:row>5</xdr:row>
                    <xdr:rowOff>161925</xdr:rowOff>
                  </to>
                </anchor>
              </controlPr>
            </control>
          </mc:Choice>
        </mc:AlternateContent>
        <mc:AlternateContent xmlns:mc="http://schemas.openxmlformats.org/markup-compatibility/2006">
          <mc:Choice Requires="x14">
            <control shapeId="11285" r:id="rId17" name="Drop Down 21">
              <controlPr defaultSize="0" autoLine="0" autoPict="0">
                <anchor moveWithCells="1" sizeWithCells="1">
                  <from>
                    <xdr:col>4</xdr:col>
                    <xdr:colOff>114300</xdr:colOff>
                    <xdr:row>53</xdr:row>
                    <xdr:rowOff>333375</xdr:rowOff>
                  </from>
                  <to>
                    <xdr:col>4</xdr:col>
                    <xdr:colOff>1143000</xdr:colOff>
                    <xdr:row>53</xdr:row>
                    <xdr:rowOff>571500</xdr:rowOff>
                  </to>
                </anchor>
              </controlPr>
            </control>
          </mc:Choice>
        </mc:AlternateContent>
        <mc:AlternateContent xmlns:mc="http://schemas.openxmlformats.org/markup-compatibility/2006">
          <mc:Choice Requires="x14">
            <control shapeId="11286" r:id="rId18" name="Drop Down 22">
              <controlPr locked="0" defaultSize="0" autoLine="0" autoPict="0">
                <anchor moveWithCells="1">
                  <from>
                    <xdr:col>4</xdr:col>
                    <xdr:colOff>161925</xdr:colOff>
                    <xdr:row>41</xdr:row>
                    <xdr:rowOff>123825</xdr:rowOff>
                  </from>
                  <to>
                    <xdr:col>4</xdr:col>
                    <xdr:colOff>990600</xdr:colOff>
                    <xdr:row>41</xdr:row>
                    <xdr:rowOff>371475</xdr:rowOff>
                  </to>
                </anchor>
              </controlPr>
            </control>
          </mc:Choice>
        </mc:AlternateContent>
        <mc:AlternateContent xmlns:mc="http://schemas.openxmlformats.org/markup-compatibility/2006">
          <mc:Choice Requires="x14">
            <control shapeId="11287" r:id="rId19" name="Drop Down 23">
              <controlPr locked="0" defaultSize="0" autoLine="0" autoPict="0">
                <anchor moveWithCells="1">
                  <from>
                    <xdr:col>4</xdr:col>
                    <xdr:colOff>142875</xdr:colOff>
                    <xdr:row>43</xdr:row>
                    <xdr:rowOff>295275</xdr:rowOff>
                  </from>
                  <to>
                    <xdr:col>4</xdr:col>
                    <xdr:colOff>981075</xdr:colOff>
                    <xdr:row>43</xdr:row>
                    <xdr:rowOff>542925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39"/>
    <pageSetUpPr fitToPage="1"/>
  </sheetPr>
  <dimension ref="A1:H65"/>
  <sheetViews>
    <sheetView zoomScale="75" zoomScaleNormal="75" zoomScaleSheetLayoutView="75" workbookViewId="0">
      <selection activeCell="C9" sqref="C9"/>
    </sheetView>
  </sheetViews>
  <sheetFormatPr defaultRowHeight="12.75" x14ac:dyDescent="0.2"/>
  <cols>
    <col min="1" max="1" width="3" style="51" customWidth="1"/>
    <col min="2" max="2" width="38" style="51" customWidth="1"/>
    <col min="3" max="3" width="26.5703125" style="51" customWidth="1"/>
    <col min="4" max="4" width="9.140625" style="51"/>
    <col min="5" max="5" width="31.140625" style="51" customWidth="1"/>
    <col min="6" max="6" width="20.5703125" style="51" customWidth="1"/>
    <col min="7" max="7" width="9.140625" style="51"/>
    <col min="8" max="8" width="96.7109375" style="437" customWidth="1"/>
    <col min="9" max="16384" width="9.140625" style="51"/>
  </cols>
  <sheetData>
    <row r="1" spans="2:8" ht="13.5" thickBot="1" x14ac:dyDescent="0.25">
      <c r="B1" s="69"/>
      <c r="C1" s="69"/>
      <c r="D1" s="93" t="s">
        <v>693</v>
      </c>
      <c r="E1" s="69"/>
      <c r="F1" s="69"/>
    </row>
    <row r="2" spans="2:8" ht="14.25" thickTop="1" thickBot="1" x14ac:dyDescent="0.25">
      <c r="B2" s="69"/>
      <c r="C2" s="352"/>
      <c r="D2" s="353" t="s">
        <v>323</v>
      </c>
      <c r="E2" s="354"/>
      <c r="F2" s="69"/>
    </row>
    <row r="3" spans="2:8" ht="14.25" thickTop="1" thickBot="1" x14ac:dyDescent="0.25"/>
    <row r="4" spans="2:8" ht="14.25" thickTop="1" thickBot="1" x14ac:dyDescent="0.25">
      <c r="B4" s="891" t="s">
        <v>242</v>
      </c>
      <c r="C4" s="892">
        <f>LOCATION!D12</f>
        <v>240</v>
      </c>
      <c r="D4" s="85" t="s">
        <v>222</v>
      </c>
    </row>
    <row r="5" spans="2:8" ht="14.25" thickTop="1" thickBot="1" x14ac:dyDescent="0.25">
      <c r="B5" s="889" t="s">
        <v>222</v>
      </c>
      <c r="C5" s="890" t="s">
        <v>222</v>
      </c>
      <c r="D5" s="89" t="s">
        <v>222</v>
      </c>
    </row>
    <row r="6" spans="2:8" ht="36" customHeight="1" thickTop="1" x14ac:dyDescent="0.2">
      <c r="B6" s="467" t="s">
        <v>55</v>
      </c>
      <c r="C6" s="670" t="str">
        <f>VLOOKUP(Factors!J57,Factors!I53:J56,2)</f>
        <v>API 95J</v>
      </c>
      <c r="D6" s="86"/>
      <c r="H6" s="436" t="s">
        <v>751</v>
      </c>
    </row>
    <row r="7" spans="2:8" x14ac:dyDescent="0.2">
      <c r="B7" s="178" t="s">
        <v>495</v>
      </c>
      <c r="C7" s="690">
        <f>LOCATION!D16</f>
        <v>62.6</v>
      </c>
      <c r="D7" s="85" t="s">
        <v>222</v>
      </c>
    </row>
    <row r="8" spans="2:8" ht="11.25" customHeight="1" x14ac:dyDescent="0.2">
      <c r="B8" s="240" t="s">
        <v>479</v>
      </c>
      <c r="C8" s="691" t="str">
        <f>IF(OR((AND(C4&lt;=40,C7&gt;=46.5)),(AND(C4&gt;=80,C7&gt;=62)),(AND(80&gt;C4&gt;40,C7&gt;(46.5+15.5/40*(C4-40))))),"Complies with API 95J","&lt;API 95J ")</f>
        <v>Complies with API 95J</v>
      </c>
      <c r="D8" s="85"/>
    </row>
    <row r="9" spans="2:8" x14ac:dyDescent="0.2">
      <c r="B9" s="240" t="s">
        <v>496</v>
      </c>
      <c r="C9" s="692">
        <f>Factors!P8</f>
        <v>62</v>
      </c>
      <c r="D9" s="85"/>
    </row>
    <row r="10" spans="2:8" ht="51" x14ac:dyDescent="0.2">
      <c r="B10" s="240" t="s">
        <v>777</v>
      </c>
      <c r="C10" s="870" t="str">
        <f>IF(AND(C6="API 95J",C7&gt;C9),"YES",(C7-C9))</f>
        <v>YES</v>
      </c>
      <c r="D10" s="85"/>
      <c r="H10" s="436" t="s">
        <v>778</v>
      </c>
    </row>
    <row r="11" spans="2:8" ht="29.25" customHeight="1" x14ac:dyDescent="0.2">
      <c r="B11" s="655" t="s">
        <v>11</v>
      </c>
      <c r="C11" s="395" t="str">
        <f>IF(OR(LOCATION!D19&lt;82.5,LOCATION!D19&gt;97.5),"Not in GoM",IF(AND(LOCATION!$D$19&gt;=86,LOCATION!$D$19&lt;=89.5,LOCATION!$D$12&gt;230),"YES, MUST USE API95J OR SITE SPECIFIC DATA",IF(Factors!G471=1,"YES, MUST USE API95J OR SITE SPECIFIC DATA",IF(C4&lt;32.2,"Yes, Must use Site Specific Data due W.D.","NO"))))</f>
        <v>NO</v>
      </c>
      <c r="D11" s="85"/>
      <c r="H11" s="436" t="s">
        <v>405</v>
      </c>
    </row>
    <row r="12" spans="2:8" ht="25.5" customHeight="1" x14ac:dyDescent="0.2">
      <c r="B12" s="453" t="s">
        <v>14</v>
      </c>
      <c r="C12" s="53" t="str">
        <f>IF(C4&lt;32.2,"N/A",IF(C11="YES, MUST USE API95J OR SITE SPECIFIC DATA","N/A",IF($C$7&gt;($F$29*1.03+4),"YES","NO")))</f>
        <v>YES</v>
      </c>
      <c r="D12" s="89"/>
      <c r="H12" s="436" t="s">
        <v>761</v>
      </c>
    </row>
    <row r="13" spans="2:8" ht="26.25" customHeight="1" thickBot="1" x14ac:dyDescent="0.25">
      <c r="B13" s="58" t="s">
        <v>620</v>
      </c>
      <c r="C13" s="55" t="str">
        <f>IF(C4&lt;32.2,"N/A",IF(C11="YES, MUST USE API95J OR SITE SPECIFIC DATA","N/A", IF($C$7&gt;($F$29),"YES","NO")))</f>
        <v>YES</v>
      </c>
      <c r="D13" s="89"/>
      <c r="H13" s="436" t="s">
        <v>764</v>
      </c>
    </row>
    <row r="14" spans="2:8" ht="20.25" customHeight="1" thickTop="1" thickBot="1" x14ac:dyDescent="0.25">
      <c r="B14" s="58" t="s">
        <v>684</v>
      </c>
      <c r="C14" s="57" t="str">
        <f>IF(Factors!$J$57&lt;4,"Please Ignore",IF(AND(C29&gt;0,$C$7&gt;$C$29),"YES","NO"))</f>
        <v>Please Ignore</v>
      </c>
      <c r="H14" s="436" t="s">
        <v>765</v>
      </c>
    </row>
    <row r="15" spans="2:8" ht="26.25" thickTop="1" x14ac:dyDescent="0.2">
      <c r="B15" s="467" t="s">
        <v>406</v>
      </c>
      <c r="C15" s="827" t="str">
        <f>VLOOKUP(Factors!AE14,Factors!AD4:'Factors'!AE13,2)</f>
        <v>10-Yr Site Specific</v>
      </c>
      <c r="D15" s="826"/>
      <c r="H15" s="436" t="s">
        <v>766</v>
      </c>
    </row>
    <row r="16" spans="2:8" ht="21" customHeight="1" thickBot="1" x14ac:dyDescent="0.25">
      <c r="B16" s="52" t="s">
        <v>384</v>
      </c>
      <c r="C16" s="814"/>
    </row>
    <row r="17" spans="1:8" ht="21" customHeight="1" thickTop="1" x14ac:dyDescent="0.2">
      <c r="B17" s="52" t="s">
        <v>407</v>
      </c>
      <c r="C17" s="814"/>
      <c r="E17" s="28" t="s">
        <v>86</v>
      </c>
      <c r="F17" s="36"/>
      <c r="H17" s="436" t="s">
        <v>776</v>
      </c>
    </row>
    <row r="18" spans="1:8" ht="29.25" customHeight="1" x14ac:dyDescent="0.2">
      <c r="B18" s="453" t="s">
        <v>385</v>
      </c>
      <c r="C18" s="814"/>
      <c r="E18" s="656" t="s">
        <v>87</v>
      </c>
      <c r="F18" s="657" t="str">
        <f>LOCATION!D25</f>
        <v>West Central</v>
      </c>
    </row>
    <row r="19" spans="1:8" x14ac:dyDescent="0.2">
      <c r="B19" s="52" t="str">
        <f>Equations!$A$23</f>
        <v>1-min Wind 100 Yr (kts)</v>
      </c>
      <c r="C19" s="815"/>
      <c r="E19" s="174" t="str">
        <f>Equations!$A$23</f>
        <v>1-min Wind 100 Yr (kts)</v>
      </c>
      <c r="F19" s="801">
        <f>Equations!$B$23</f>
        <v>93.604399999999998</v>
      </c>
    </row>
    <row r="20" spans="1:8" x14ac:dyDescent="0.2">
      <c r="B20" s="52" t="str">
        <f>Equations!$A$22</f>
        <v>1-min Wind 50 Yr (kts)</v>
      </c>
      <c r="C20" s="815"/>
      <c r="E20" s="174" t="str">
        <f>Equations!$A$22</f>
        <v>1-min Wind 50 Yr (kts)</v>
      </c>
      <c r="F20" s="801">
        <f>Equations!$B$22</f>
        <v>83.311799999999991</v>
      </c>
    </row>
    <row r="21" spans="1:8" x14ac:dyDescent="0.2">
      <c r="B21" s="52" t="str">
        <f>Equations!$A$21</f>
        <v>1-min Wind 10 Yr (kts)</v>
      </c>
      <c r="C21" s="815"/>
      <c r="E21" s="174" t="str">
        <f>Equations!$A$21</f>
        <v>1-min Wind 10 Yr (kts)</v>
      </c>
      <c r="F21" s="801">
        <f>Equations!$B$21</f>
        <v>58.4542</v>
      </c>
    </row>
    <row r="22" spans="1:8" x14ac:dyDescent="0.2">
      <c r="B22" s="828"/>
      <c r="C22" s="815"/>
      <c r="E22" s="174"/>
      <c r="F22" s="801"/>
    </row>
    <row r="23" spans="1:8" x14ac:dyDescent="0.2">
      <c r="A23" s="51" t="s">
        <v>222</v>
      </c>
      <c r="B23" s="52" t="s">
        <v>386</v>
      </c>
      <c r="C23" s="558">
        <v>0</v>
      </c>
      <c r="E23" s="174"/>
      <c r="F23" s="802"/>
    </row>
    <row r="24" spans="1:8" x14ac:dyDescent="0.2">
      <c r="B24" s="52" t="s">
        <v>387</v>
      </c>
      <c r="C24" s="558">
        <v>50</v>
      </c>
      <c r="E24" s="174" t="s">
        <v>332</v>
      </c>
      <c r="F24" s="692">
        <f>IF(C4&lt;32.2,"N/A too Shallow",Equations!$B$17*3.2808)</f>
        <v>61.977787815680912</v>
      </c>
    </row>
    <row r="25" spans="1:8" x14ac:dyDescent="0.2">
      <c r="B25" s="242" t="s">
        <v>388</v>
      </c>
      <c r="C25" s="558">
        <v>0</v>
      </c>
      <c r="D25" s="51" t="s">
        <v>222</v>
      </c>
      <c r="E25" s="174" t="s">
        <v>518</v>
      </c>
      <c r="F25" s="692">
        <f>IF(C4&lt;32.2,"N/A too Shallow",Equations!$B$18*3.2808)</f>
        <v>58.103176325019504</v>
      </c>
    </row>
    <row r="26" spans="1:8" ht="22.5" customHeight="1" x14ac:dyDescent="0.2">
      <c r="B26" s="52" t="s">
        <v>389</v>
      </c>
      <c r="C26" s="558">
        <v>0</v>
      </c>
      <c r="E26" s="174" t="s">
        <v>744</v>
      </c>
      <c r="F26" s="692">
        <f>IF(C4&lt;32.2,"N/A too Shallow",Equations!$B$19*3.2808)</f>
        <v>51.258818094571282</v>
      </c>
    </row>
    <row r="27" spans="1:8" ht="22.5" customHeight="1" x14ac:dyDescent="0.2">
      <c r="B27" s="52" t="s">
        <v>763</v>
      </c>
      <c r="C27" s="876">
        <f>(VLOOKUP(Factors!J67,Factors!I64:J66,2))*(C23)</f>
        <v>0</v>
      </c>
      <c r="E27" s="174" t="s">
        <v>519</v>
      </c>
      <c r="F27" s="802"/>
    </row>
    <row r="28" spans="1:8" x14ac:dyDescent="0.2">
      <c r="B28" s="52" t="s">
        <v>480</v>
      </c>
      <c r="C28" s="557">
        <v>0</v>
      </c>
      <c r="E28" s="174"/>
      <c r="F28" s="802"/>
    </row>
    <row r="29" spans="1:8" ht="26.25" thickBot="1" x14ac:dyDescent="0.25">
      <c r="B29" s="453" t="s">
        <v>37</v>
      </c>
      <c r="C29" s="693">
        <f>C23+C25+C26+C27+C28</f>
        <v>0</v>
      </c>
      <c r="E29" s="651" t="s">
        <v>322</v>
      </c>
      <c r="F29" s="803">
        <f>IF(C4&lt;32.2,"N/A too Shallow",Equations!B16*3.2808)</f>
        <v>43.29650749711778</v>
      </c>
    </row>
    <row r="30" spans="1:8" ht="14.25" thickTop="1" thickBot="1" x14ac:dyDescent="0.25">
      <c r="E30" s="652"/>
      <c r="F30" s="653"/>
    </row>
    <row r="31" spans="1:8" ht="13.5" thickTop="1" x14ac:dyDescent="0.2">
      <c r="B31" s="37" t="s">
        <v>324</v>
      </c>
      <c r="C31" s="30" t="s">
        <v>228</v>
      </c>
    </row>
    <row r="32" spans="1:8" x14ac:dyDescent="0.2">
      <c r="B32" s="91" t="s">
        <v>38</v>
      </c>
      <c r="C32" s="391">
        <f>-3.12381*10^-9*C4^4+3.3238095*10^-6*C4^3-0.0013433333*C4^2+0.2551904762*C4+20.90285</f>
        <v>40.356856870399994</v>
      </c>
    </row>
    <row r="33" spans="2:8" ht="25.5" x14ac:dyDescent="0.2">
      <c r="B33" s="59" t="s">
        <v>39</v>
      </c>
      <c r="C33" s="60">
        <f>4.40984*10^-7*C4^3-4.43096*10^-4*C4^2+0.146561*C4+21.2589</f>
        <v>37.007373215999998</v>
      </c>
      <c r="H33" s="436" t="s">
        <v>773</v>
      </c>
    </row>
    <row r="34" spans="2:8" ht="19.5" customHeight="1" thickBot="1" x14ac:dyDescent="0.25">
      <c r="B34" s="52" t="s">
        <v>40</v>
      </c>
      <c r="C34" s="56">
        <f>4.80601*10^-7*C4^3-4.45268*10^-4*C4^2+0.139595*C4+18.0798</f>
        <v>32.578991423999994</v>
      </c>
      <c r="H34" s="436" t="s">
        <v>774</v>
      </c>
    </row>
    <row r="35" spans="2:8" ht="14.25" thickTop="1" thickBot="1" x14ac:dyDescent="0.25">
      <c r="B35" s="52" t="s">
        <v>317</v>
      </c>
      <c r="C35" s="556"/>
      <c r="D35" s="831"/>
      <c r="E35" s="342" t="s">
        <v>331</v>
      </c>
      <c r="F35" s="694">
        <f>IF(C4&lt;32.2,"N/A too Shallow",Equations!B20*3.2808)</f>
        <v>40.736622800594617</v>
      </c>
      <c r="H35" s="829"/>
    </row>
    <row r="36" spans="2:8" ht="12" customHeight="1" thickTop="1" thickBot="1" x14ac:dyDescent="0.25">
      <c r="B36" s="71"/>
      <c r="C36" s="61"/>
      <c r="H36" s="830"/>
    </row>
    <row r="37" spans="2:8" ht="70.5" thickTop="1" x14ac:dyDescent="0.2">
      <c r="B37" s="37" t="s">
        <v>224</v>
      </c>
      <c r="C37" s="854"/>
      <c r="D37" s="442"/>
      <c r="E37" s="37" t="s">
        <v>224</v>
      </c>
      <c r="F37" s="30" t="s">
        <v>767</v>
      </c>
      <c r="H37" s="436" t="s">
        <v>584</v>
      </c>
    </row>
    <row r="38" spans="2:8" x14ac:dyDescent="0.2">
      <c r="B38" s="38" t="s">
        <v>223</v>
      </c>
      <c r="C38" s="855" t="s">
        <v>224</v>
      </c>
      <c r="D38" s="376"/>
      <c r="E38" s="845" t="s">
        <v>88</v>
      </c>
      <c r="F38" s="40" t="s">
        <v>334</v>
      </c>
    </row>
    <row r="39" spans="2:8" x14ac:dyDescent="0.2">
      <c r="B39" s="62" t="s">
        <v>41</v>
      </c>
      <c r="C39" s="856">
        <f>2.9619*10^-9*C4^4-3.14524*10^-6*C4^3+0.0011416*C4^2-0.163762*C4+73.3086</f>
        <v>66.108955584</v>
      </c>
      <c r="D39" s="376"/>
      <c r="E39" s="846">
        <f>C39</f>
        <v>66.108955584</v>
      </c>
      <c r="F39" s="847"/>
    </row>
    <row r="40" spans="2:8" x14ac:dyDescent="0.2">
      <c r="B40" s="64" t="s">
        <v>748</v>
      </c>
      <c r="C40" s="856">
        <f>5.0381*10^-9*C4^4-4.95476*10^-6*C4^3+0.00161333*C4^2-0.190738*C4+65.6914</f>
        <v>61.062692416000004</v>
      </c>
      <c r="D40" s="853"/>
      <c r="E40" s="848">
        <f>C40</f>
        <v>61.062692416000004</v>
      </c>
      <c r="F40" s="849"/>
    </row>
    <row r="41" spans="2:8" x14ac:dyDescent="0.2">
      <c r="B41" s="62" t="s">
        <v>749</v>
      </c>
      <c r="C41" s="856">
        <f>6.28415*10^-8*C4^3-6.09521*10^-5*C4^2+0.0211364*C4+50.6706</f>
        <v>53.101215936000003</v>
      </c>
      <c r="D41" s="376"/>
      <c r="E41" s="846">
        <f>C41</f>
        <v>53.101215936000003</v>
      </c>
      <c r="F41" s="847"/>
      <c r="H41" s="437" t="s">
        <v>222</v>
      </c>
    </row>
    <row r="42" spans="2:8" x14ac:dyDescent="0.2">
      <c r="B42" s="62" t="s">
        <v>733</v>
      </c>
      <c r="C42" s="558">
        <v>0</v>
      </c>
      <c r="D42" s="376"/>
      <c r="E42" s="850">
        <f>IF(AND(Factors!$T$13=2,Factors!$V$14=1),C42,IF(AND(Factors!$T$13=1,Factors!$V$14=1),C42*(1.007+0.002228*C42),IF(AND(Factors!$T$13=2,Factors!$V$14=2),0.0592*C42,IF(AND(Factors!$T$13=1,Factors!$V$14=2),C42*(1.1007+0.00132*C42),IF(AND(Factors!$T$13=2,Factors!$V$14=3),C42*1.942,IF(AND(Factors!$T$13=1,Factors!$V$14=3),C33*(1.007+C42*0.004331),"false"))))))</f>
        <v>0</v>
      </c>
      <c r="F42" s="801">
        <f>Equations!B21</f>
        <v>58.4542</v>
      </c>
      <c r="G42" s="51" t="s">
        <v>222</v>
      </c>
    </row>
    <row r="43" spans="2:8" x14ac:dyDescent="0.2">
      <c r="B43" s="62" t="s">
        <v>329</v>
      </c>
      <c r="C43" s="558">
        <v>0</v>
      </c>
      <c r="D43" s="376"/>
      <c r="E43" s="850">
        <f>IF(AND(Factors!$T$13=2,Factors!$V$14=1),C43,IF(AND(Factors!$T$13=1,Factors!$V$14=1),C43*(1.007+0.002228*C43),IF(AND(Factors!$T$13=2,Factors!$V$14=2),0.0592*C43,IF(AND(Factors!$T$13=1,Factors!$V$14=2),C43*(1.1007+0.00132*C43),IF(AND(Factors!$T$13=2,Factors!$V$14=3),C43*1.942,IF(AND(Factors!$T$13=1,Factors!$V$14=3),C34*(1.007+C43*0.004331),"false"))))))</f>
        <v>0</v>
      </c>
      <c r="F43" s="801">
        <f>Equations!B22</f>
        <v>83.311799999999991</v>
      </c>
      <c r="G43" s="51" t="s">
        <v>222</v>
      </c>
    </row>
    <row r="44" spans="2:8" ht="13.5" thickBot="1" x14ac:dyDescent="0.25">
      <c r="B44" s="832" t="s">
        <v>330</v>
      </c>
      <c r="C44" s="857">
        <v>0</v>
      </c>
      <c r="D44" s="376"/>
      <c r="E44" s="851">
        <f>IF(AND(Factors!$T$13=2,Factors!$V$14=1),C44,IF(AND(Factors!$T$13=1,Factors!$V$14=1),C44*(1.007+0.002228*C44),IF(AND(Factors!$T$13=2,Factors!$V$14=2),0.0592*C44,IF(AND(Factors!$T$13=1,Factors!$V$14=2),C44*(1.1007+0.00132*C44),IF(AND(Factors!$T$13=2,Factors!$V$14=3),C44*1.942,IF(AND(Factors!$T$13=1,Factors!$V$14=3),C35*(1.007+C44*0.004331),"false"))))))</f>
        <v>0</v>
      </c>
      <c r="F44" s="852">
        <f>Equations!B23</f>
        <v>93.604399999999998</v>
      </c>
    </row>
    <row r="45" spans="2:8" ht="16.5" customHeight="1" thickTop="1" thickBot="1" x14ac:dyDescent="0.25">
      <c r="B45" s="66"/>
      <c r="C45" s="67"/>
      <c r="E45" s="68"/>
      <c r="G45" s="51" t="s">
        <v>222</v>
      </c>
    </row>
    <row r="46" spans="2:8" ht="21.75" customHeight="1" thickTop="1" x14ac:dyDescent="0.2">
      <c r="B46" s="37" t="s">
        <v>338</v>
      </c>
      <c r="C46" s="343"/>
      <c r="E46" s="29" t="s">
        <v>337</v>
      </c>
      <c r="F46" s="41"/>
      <c r="G46" s="224"/>
      <c r="H46" s="453" t="s">
        <v>750</v>
      </c>
    </row>
    <row r="47" spans="2:8" ht="14.25" customHeight="1" x14ac:dyDescent="0.2">
      <c r="B47" s="38" t="s">
        <v>42</v>
      </c>
      <c r="C47" s="344" t="s">
        <v>302</v>
      </c>
      <c r="E47" s="39" t="s">
        <v>223</v>
      </c>
      <c r="F47" s="42" t="s">
        <v>336</v>
      </c>
      <c r="G47" s="42" t="s">
        <v>302</v>
      </c>
      <c r="H47" s="453" t="s">
        <v>43</v>
      </c>
    </row>
    <row r="48" spans="2:8" ht="14.25" customHeight="1" x14ac:dyDescent="0.2">
      <c r="B48" s="62" t="s">
        <v>251</v>
      </c>
      <c r="C48" s="695">
        <f>IF($C$4&lt;25.0001,"Not Applicable",IF($C$4&gt;300.0001,Factors!$Z$24+(Factors!$Z$23-Factors!$Z$24)/(400-300)*(-$C$4+400),IF($C$4&gt;200.0001,Factors!$Z$23+(Factors!$Z$22-Factors!Z$23)/(300-200)*(-$C$4+300),IF($C$4&gt;100.0001,Factors!$Z$22+(Factors!$Z$21-Factors!$Z$22)/(200-100)*(-$C$4+200),IF($C$4&gt;50.0001,Factors!$Z$21+(Factors!$Z$20-Factors!$Z$21)/(100-50)*(-$C$4+100),IF(C4&gt;=25,Factors!Z20+(Factors!Z19-Factors!Z20)/(50-25)*(-C4+50)))))))</f>
        <v>1.5979999999999999</v>
      </c>
      <c r="D48" s="66"/>
      <c r="E48" s="345" t="s">
        <v>262</v>
      </c>
      <c r="F48" s="552">
        <v>1</v>
      </c>
      <c r="G48" s="63">
        <f>Factors!$V$21*F48</f>
        <v>0.59209999999999996</v>
      </c>
    </row>
    <row r="49" spans="2:8" ht="14.25" customHeight="1" x14ac:dyDescent="0.2">
      <c r="B49" s="62" t="s">
        <v>252</v>
      </c>
      <c r="C49" s="695">
        <f>IF($C$4&lt;25.0001,"Not Applicable",IF($C$4&gt;300.0001,Factors!AA24+(Factors!AA23-Factors!AA24)/(400-300)*(-$C$4+400),IF($C$4&gt;200.0001,Factors!AA23+(Factors!AA22-Factors!AA23)/(300-200)*(-$C$4+300),IF($C$4&gt;100.0001,Factors!AA22+(Factors!AA21-Factors!AA22)/(200-100)*(-$C$4+200),IF($C$4&gt;50.0001,Factors!AA21+(Factors!AA20-Factors!AA21)/(100-50)*(-$C$4+100),IF(C4&gt;=25,(Factors!AA20+(Factors!AA19-Factors!AA20)/(50-25)*(-C4+50))))))))</f>
        <v>1.49</v>
      </c>
      <c r="D49" s="66"/>
      <c r="E49" s="345" t="s">
        <v>263</v>
      </c>
      <c r="F49" s="552"/>
      <c r="G49" s="63">
        <f>Factors!$V$21*F49</f>
        <v>0</v>
      </c>
    </row>
    <row r="50" spans="2:8" ht="14.25" customHeight="1" x14ac:dyDescent="0.2">
      <c r="B50" s="62" t="s">
        <v>258</v>
      </c>
      <c r="C50" s="695">
        <f>IF($C$4&lt;25.0001,"Not Applicable",IF($C$4&gt;300.0001,Factors!AB24+(Factors!AB23-Factors!AB24)/(400-300)*(-$C$4+400),IF($C$4&gt;200.0001,Factors!AB23+(Factors!AB22-Factors!AB23)/(300-200)*(-$C$4+300),IF($C$4&gt;100.0001,Factors!AB22+(Factors!AB21-Factors!AB22)/(200-100)*(-$C$4+200),IF($C$4&gt;50.0001,Factors!AB21+(Factors!AB20-Factors!AB21)/(100-50)*(-$C$4+100),IF(C4&gt;=25,(Factors!AB20+(Factors!AB19-Factors!AB20)/(50-25)*(-C4+50))))))))</f>
        <v>1.4039999999999999</v>
      </c>
      <c r="D50" s="66"/>
      <c r="E50" s="345" t="s">
        <v>264</v>
      </c>
      <c r="F50" s="552"/>
      <c r="G50" s="63">
        <f>Factors!$V$21*F50</f>
        <v>0</v>
      </c>
    </row>
    <row r="51" spans="2:8" ht="14.25" customHeight="1" x14ac:dyDescent="0.2">
      <c r="B51" s="62" t="s">
        <v>259</v>
      </c>
      <c r="C51" s="695">
        <f>IF($C$4&lt;25.0001,"Not Applicable",IF($C$4&gt;300.0001,Factors!AC24+(Factors!AC23-Factors!AC24)/(400-300)*(-$C$4+400),IF($C$4&gt;200.0001,Factors!AC23+(Factors!AC22-Factors!AC23)/(300-200)*(-$C$4+300),IF($C$4&gt;100.0001,Factors!AC22+(Factors!AC21-Factors!AC22)/(200-100)*(-$C$4+200),IF($C$4&gt;50.0001,Factors!AC21+(Factors!AC20-Factors!AC21)/(100-50)*(-$C$4+100),IF(C4&gt;=25,(Factors!AC20+(Factors!AC19-Factors!AC20)/(50-25)*(-C4+50))))))))</f>
        <v>-42.647999999999996</v>
      </c>
      <c r="D51" s="87" t="s">
        <v>335</v>
      </c>
      <c r="E51" s="345" t="s">
        <v>259</v>
      </c>
      <c r="F51" s="552"/>
      <c r="G51" s="554">
        <f>F51</f>
        <v>0</v>
      </c>
      <c r="H51" s="437" t="s">
        <v>408</v>
      </c>
    </row>
    <row r="52" spans="2:8" ht="14.25" customHeight="1" x14ac:dyDescent="0.2">
      <c r="B52" s="64" t="s">
        <v>646</v>
      </c>
      <c r="C52" s="695">
        <f>IF($C$4&lt;25.0001,"Not Applicable",IF($C$4&gt;300.0001,Factors!$Z$17+(Factors!$Z$16-Factors!$Z$17)/(400-300)*(-$C$4+400),IF($C$4&gt;200.0001,Factors!$Z$16+(Factors!$Z$15-Factors!Z$16)/(300-200)*(-$C$4+300),IF($C$4&gt;100.0001,Factors!$Z$15+(Factors!$Z$14-Factors!$Z$15)/(200-100)*(-$C$4+200),IF($C$4&gt;50.0001,Factors!$Z$14+(Factors!$Z$13-Factors!$Z$14)/(100-50)*(-$C$4+100),IF(C4&gt;=25,(Factors!Z12+(Factors!Z13-Factors!Z20)/(50-25)*(-C4+50))))))))</f>
        <v>1.466</v>
      </c>
      <c r="D52" s="87"/>
      <c r="E52" s="345" t="s">
        <v>270</v>
      </c>
      <c r="F52" s="552"/>
      <c r="G52" s="63">
        <f>Factors!$V$21*F52</f>
        <v>0</v>
      </c>
    </row>
    <row r="53" spans="2:8" ht="14.25" customHeight="1" x14ac:dyDescent="0.2">
      <c r="B53" s="64" t="s">
        <v>253</v>
      </c>
      <c r="C53" s="695">
        <f>IF($C$4&lt;25.0001,"Not Applicable",IF($C$4&gt;300.0001,Factors!$AA$17+(Factors!$AA$16-Factors!$AA$17)/(400-300)*(-$C$4+400),IF($C$4&gt;200.0001,Factors!$AA$16+(Factors!$AA$15-Factors!AA$16)/(300-200)*(-$C$4+300),IF($C$4&gt;100.0001,Factors!$AA$15+(Factors!$AA$14-Factors!$AA$15)/(200-100)*(-$C$4+200),IF($C$4&gt;50.0001,Factors!$AA$14+(Factors!$Z$13-Factors!$AA$14)/(100-50)*(-$C$4+100),IF(C4&gt;=25,(Factors!AA12+(Factors!AA13-Factors!AA20)/(50-25)*(-C4+50))))))))</f>
        <v>1.3719999999999999</v>
      </c>
      <c r="D53" s="87"/>
      <c r="E53" s="345" t="s">
        <v>269</v>
      </c>
      <c r="F53" s="552"/>
      <c r="G53" s="63">
        <f>Factors!$V$21*F53</f>
        <v>0</v>
      </c>
    </row>
    <row r="54" spans="2:8" ht="14.25" customHeight="1" x14ac:dyDescent="0.2">
      <c r="B54" s="64" t="s">
        <v>257</v>
      </c>
      <c r="C54" s="695">
        <f>IF($C$4&lt;25.0001,"Not Applicable",IF($C$4&gt;300.0001,Factors!$AB$17+(Factors!$AB$16-Factors!$AB$17)/(400-300)*(-$C$4+400),IF($C$4&gt;200.0001,Factors!$AB$16+(Factors!$AB$15-Factors!AB$16)/(300-200)*(-$C$4+300),IF($C$4&gt;100.0001,Factors!$AB$15+(Factors!$AB$14-Factors!$AB$15)/(200-100)*(-$C$4+200),IF($C$4&gt;50.0001,Factors!$AB$14+(Factors!$AB$13-Factors!$AB$14)/(100-50)*(-$C$4+100),IF(C4&gt;=25,(Factors!AB12+(Factors!AB13-Factors!AB20)/(50-25)*(-C4+50))))))))</f>
        <v>1.28</v>
      </c>
      <c r="D54" s="87"/>
      <c r="E54" s="345" t="s">
        <v>268</v>
      </c>
      <c r="F54" s="552"/>
      <c r="G54" s="63">
        <f>Factors!$V$21*F54</f>
        <v>0</v>
      </c>
    </row>
    <row r="55" spans="2:8" ht="14.25" customHeight="1" x14ac:dyDescent="0.2">
      <c r="B55" s="64" t="s">
        <v>259</v>
      </c>
      <c r="C55" s="695">
        <f>IF($C$4&lt;25.0001,"Not Applicable",IF($C$4&gt;300.0001,Factors!$AC$17+(Factors!$AC$16-Factors!$AC$17)/(400-300)*(-$C$4+400),IF($C$4&gt;200.0001,Factors!$AC$16+(Factors!$AC$15-Factors!AC$16)/(300-200)*(-$C$4+300),IF($C$4&gt;100.0001,Factors!$AC$15+(Factors!$AC$14-Factors!$AC$15)/(200-100)*(-$C$4+200),IF($C$4&gt;50.0001,Factors!$AC$14+(Factors!$AC$13-Factors!$AC$14)/(100-50)*(-$C$4+100),IF(C4&gt;=25,(Factors!AC12+(Factors!AC13-Factors!AC20)/(50-25)*(-C4+50))))))))</f>
        <v>-42.647999999999996</v>
      </c>
      <c r="D55" s="87" t="s">
        <v>335</v>
      </c>
      <c r="E55" s="345" t="s">
        <v>259</v>
      </c>
      <c r="F55" s="552"/>
      <c r="G55" s="554">
        <f>F55</f>
        <v>0</v>
      </c>
      <c r="H55" s="437" t="s">
        <v>335</v>
      </c>
    </row>
    <row r="56" spans="2:8" ht="14.25" customHeight="1" x14ac:dyDescent="0.2">
      <c r="B56" s="62" t="s">
        <v>256</v>
      </c>
      <c r="C56" s="695">
        <f>IF($C$4&lt;25.0001,"Not Applicable",IF($C$4&gt;300.0001,Factors!$Z$31+(Factors!$Z$30-Factors!$Z$31)/(400-300)*(-$C$4+400),IF($C$4&gt;200.0001,Factors!$Z$30+(Factors!$Z$29-Factors!Z$30)/(300-200)*(-$C$4+300),IF($C$4&gt;100.0001,Factors!$Z$29+(Factors!$Z$28-Factors!$Z$29)/(200-100)*(-$C$4+200),IF($C$4&gt;50.0001,Factors!$Z$28+(Factors!$Z$27-Factors!$Z$28)/(100-50)*(-$C$4+100),IF(C4&gt;=25,(Factors!Z27+(Factors!Z26-Factors!Z27)/(50-25)*(-C4+50))))))))</f>
        <v>1.1339999999999999</v>
      </c>
      <c r="D56" s="87"/>
      <c r="E56" s="345" t="s">
        <v>265</v>
      </c>
      <c r="F56" s="552"/>
      <c r="G56" s="63">
        <f>Factors!$V$21*F56</f>
        <v>0</v>
      </c>
    </row>
    <row r="57" spans="2:8" ht="14.25" customHeight="1" x14ac:dyDescent="0.2">
      <c r="B57" s="62" t="s">
        <v>254</v>
      </c>
      <c r="C57" s="695">
        <f>IF($C$4&lt;25.0001,"Not Applicable",IF($C$4&gt;300.0001,Factors!$AA$31+(Factors!$AA$30-Factors!$AA$31)/(400-300)*(-$C$4+400),IF($C$4&gt;200.0001,Factors!$AA$30+(Factors!$AA$29-Factors!AA$30)/(300-200)*(-$C$4+300),IF($C$4&gt;100.0001,Factors!$AA$29+(Factors!$AA$28-Factors!$AA$29)/(200-100)*(-$C$4+200),IF($C$4&gt;50.0001,Factors!$AA$28+(Factors!$AA$27-Factors!$AA$28)/(100-50)*(-$C$4+100),IF(C4&gt;=25,(Factors!AA17+(Factors!AA26-Factors!AA27)/(50-25)*(-C4+50))))))))</f>
        <v>1.0900000000000001</v>
      </c>
      <c r="D57" s="87"/>
      <c r="E57" s="345" t="s">
        <v>266</v>
      </c>
      <c r="F57" s="552"/>
      <c r="G57" s="63">
        <f>Factors!$V$21*F57</f>
        <v>0</v>
      </c>
    </row>
    <row r="58" spans="2:8" ht="14.25" customHeight="1" x14ac:dyDescent="0.2">
      <c r="B58" s="62" t="s">
        <v>255</v>
      </c>
      <c r="C58" s="695">
        <f>IF($C$4&lt;25.0001,"Not Applicable",IF($C$4&gt;300.0001,Factors!$AB$31+(Factors!$AB$30-Factors!$AB$31)/(400-300)*(-$C$4+400),IF($C$4&gt;200.0001,Factors!$AB$30+(Factors!$AB$29-Factors!AB$30)/(300-200)*(-$C$4+300),IF($C$4&gt;100.0001,Factors!$AB$29+(Factors!$AB$28-Factors!$AB$29)/(200-100)*(-$C$4+200),IF($C$4&gt;50.0001,Factors!$AB$28+(Factors!$AB$27-Factors!$AB$28)/(100-50)*(-$C$4+100),IF(C4&gt;=25,(Factors!AB17+(Factors!AB26-Factors!AB27)/(50-25)*(-C4+50))))))))</f>
        <v>0.998</v>
      </c>
      <c r="D58" s="87"/>
      <c r="E58" s="345" t="s">
        <v>267</v>
      </c>
      <c r="F58" s="552"/>
      <c r="G58" s="63">
        <f>Factors!$V$21*F58</f>
        <v>0</v>
      </c>
    </row>
    <row r="59" spans="2:8" ht="29.25" customHeight="1" thickBot="1" x14ac:dyDescent="0.25">
      <c r="B59" s="65" t="s">
        <v>259</v>
      </c>
      <c r="C59" s="696">
        <f>IF($C$4&lt;25.0001,"Not Applicable",IF($C$4&gt;300.0001,Factors!$AC$31+(Factors!$AC$30-Factors!$AC$31)/(400-300)*(-$C$4+400),IF($C$4&gt;200.0001,Factors!$AC$30+(Factors!$AC$29-Factors!AC$30)/(300-200)*(-$C$4+300),IF($C$4&gt;100.0001,Factors!$AC$29+(Factors!$AC$28-Factors!$AC$29)/(200-100)*(-$C$4+200),IF($C$4&gt;50.0001,Factors!$AC$28+(Factors!$AC$27-Factors!$AC$28)/(100-50)*(-$C$4+100),IF(C4&gt;=25,(Factors!AC17+(Factors!AC26-Factors!AC27)/(50-25)*(-C4+50))))))))</f>
        <v>-42.647999999999996</v>
      </c>
      <c r="D59" s="87" t="s">
        <v>335</v>
      </c>
      <c r="E59" s="346" t="s">
        <v>259</v>
      </c>
      <c r="F59" s="553"/>
      <c r="G59" s="555">
        <f>F59</f>
        <v>0</v>
      </c>
      <c r="H59" s="437" t="s">
        <v>335</v>
      </c>
    </row>
    <row r="60" spans="2:8" ht="29.25" customHeight="1" thickTop="1" x14ac:dyDescent="0.2"/>
    <row r="61" spans="2:8" x14ac:dyDescent="0.2">
      <c r="B61" s="69"/>
      <c r="C61" s="70"/>
    </row>
    <row r="62" spans="2:8" x14ac:dyDescent="0.2">
      <c r="B62" s="69"/>
      <c r="C62" s="69" t="s">
        <v>222</v>
      </c>
    </row>
    <row r="63" spans="2:8" x14ac:dyDescent="0.2">
      <c r="B63" s="69"/>
      <c r="C63" s="69" t="s">
        <v>222</v>
      </c>
    </row>
    <row r="64" spans="2:8" x14ac:dyDescent="0.2">
      <c r="B64" s="69"/>
      <c r="C64" s="69" t="s">
        <v>222</v>
      </c>
    </row>
    <row r="65" spans="2:3" x14ac:dyDescent="0.2">
      <c r="B65" s="69"/>
      <c r="C65" s="69" t="s">
        <v>222</v>
      </c>
    </row>
  </sheetData>
  <sheetProtection password="83AF" sheet="1" objects="1" scenarios="1" formatRows="0"/>
  <phoneticPr fontId="4" type="noConversion"/>
  <conditionalFormatting sqref="C62:C65">
    <cfRule type="cellIs" priority="1" stopIfTrue="1" operator="greaterThan">
      <formula>0</formula>
    </cfRule>
  </conditionalFormatting>
  <conditionalFormatting sqref="F30">
    <cfRule type="cellIs" dxfId="136" priority="2" stopIfTrue="1" operator="equal">
      <formula>"YES"</formula>
    </cfRule>
    <cfRule type="cellIs" dxfId="135" priority="3" stopIfTrue="1" operator="equal">
      <formula>"NO"</formula>
    </cfRule>
  </conditionalFormatting>
  <conditionalFormatting sqref="C10">
    <cfRule type="cellIs" dxfId="134" priority="4" stopIfTrue="1" operator="lessThan">
      <formula>0</formula>
    </cfRule>
    <cfRule type="cellIs" dxfId="133" priority="5" stopIfTrue="1" operator="equal">
      <formula>"YES"</formula>
    </cfRule>
  </conditionalFormatting>
  <conditionalFormatting sqref="C12:C14">
    <cfRule type="cellIs" dxfId="132" priority="6" stopIfTrue="1" operator="equal">
      <formula>"YES"</formula>
    </cfRule>
    <cfRule type="cellIs" dxfId="131" priority="7" stopIfTrue="1" operator="equal">
      <formula>"NO"</formula>
    </cfRule>
  </conditionalFormatting>
  <conditionalFormatting sqref="C11">
    <cfRule type="cellIs" dxfId="130" priority="8" stopIfTrue="1" operator="notEqual">
      <formula>"no"</formula>
    </cfRule>
    <cfRule type="cellIs" dxfId="129" priority="9" stopIfTrue="1" operator="equal">
      <formula>"NO"</formula>
    </cfRule>
  </conditionalFormatting>
  <dataValidations disablePrompts="1" count="1">
    <dataValidation allowBlank="1" showInputMessage="1" showErrorMessage="1" prompt="Noted from Location worksheet" sqref="C15"/>
  </dataValidations>
  <pageMargins left="0.75" right="0.52" top="0.64" bottom="0.56999999999999995" header="0.5" footer="0.5"/>
  <pageSetup scale="67" orientation="portrait" horizontalDpi="1200" verticalDpi="1200" r:id="rId1"/>
  <headerFooter alignWithMargins="0">
    <oddHeader>&amp;L&amp;F&amp;C&amp;A</oddHeader>
    <oddFooter>&amp;R&amp;P</oddFooter>
  </headerFooter>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Drop Down 4">
              <controlPr defaultSize="0" autoLine="0" autoPict="0">
                <anchor moveWithCells="1">
                  <from>
                    <xdr:col>2</xdr:col>
                    <xdr:colOff>295275</xdr:colOff>
                    <xdr:row>36</xdr:row>
                    <xdr:rowOff>457200</xdr:rowOff>
                  </from>
                  <to>
                    <xdr:col>2</xdr:col>
                    <xdr:colOff>1143000</xdr:colOff>
                    <xdr:row>36</xdr:row>
                    <xdr:rowOff>723900</xdr:rowOff>
                  </to>
                </anchor>
              </controlPr>
            </control>
          </mc:Choice>
        </mc:AlternateContent>
        <mc:AlternateContent xmlns:mc="http://schemas.openxmlformats.org/markup-compatibility/2006">
          <mc:Choice Requires="x14">
            <control shapeId="4101" r:id="rId5" name="Drop Down 5">
              <controlPr defaultSize="0" autoLine="0" autoPict="0">
                <anchor moveWithCells="1">
                  <from>
                    <xdr:col>2</xdr:col>
                    <xdr:colOff>295275</xdr:colOff>
                    <xdr:row>36</xdr:row>
                    <xdr:rowOff>142875</xdr:rowOff>
                  </from>
                  <to>
                    <xdr:col>2</xdr:col>
                    <xdr:colOff>1143000</xdr:colOff>
                    <xdr:row>36</xdr:row>
                    <xdr:rowOff>400050</xdr:rowOff>
                  </to>
                </anchor>
              </controlPr>
            </control>
          </mc:Choice>
        </mc:AlternateContent>
        <mc:AlternateContent xmlns:mc="http://schemas.openxmlformats.org/markup-compatibility/2006">
          <mc:Choice Requires="x14">
            <control shapeId="4106" r:id="rId6" name="Drop Down 10">
              <controlPr locked="0" defaultSize="0" autoLine="0" autoPict="0">
                <anchor moveWithCells="1">
                  <from>
                    <xdr:col>5</xdr:col>
                    <xdr:colOff>333375</xdr:colOff>
                    <xdr:row>44</xdr:row>
                    <xdr:rowOff>219075</xdr:rowOff>
                  </from>
                  <to>
                    <xdr:col>5</xdr:col>
                    <xdr:colOff>1181100</xdr:colOff>
                    <xdr:row>45</xdr:row>
                    <xdr:rowOff>257175</xdr:rowOff>
                  </to>
                </anchor>
              </controlPr>
            </control>
          </mc:Choice>
        </mc:AlternateContent>
        <mc:AlternateContent xmlns:mc="http://schemas.openxmlformats.org/markup-compatibility/2006">
          <mc:Choice Requires="x14">
            <control shapeId="4129" r:id="rId7" name="Drop Down 33">
              <controlPr locked="0" defaultSize="0" autoLine="0" autoPict="0">
                <anchor moveWithCells="1">
                  <from>
                    <xdr:col>1</xdr:col>
                    <xdr:colOff>1228725</xdr:colOff>
                    <xdr:row>26</xdr:row>
                    <xdr:rowOff>38100</xdr:rowOff>
                  </from>
                  <to>
                    <xdr:col>1</xdr:col>
                    <xdr:colOff>1762125</xdr:colOff>
                    <xdr:row>26</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60"/>
    <pageSetUpPr fitToPage="1"/>
  </sheetPr>
  <dimension ref="A1:AH53"/>
  <sheetViews>
    <sheetView topLeftCell="A18" zoomScale="75" zoomScaleNormal="100" zoomScaleSheetLayoutView="75" workbookViewId="0">
      <selection activeCell="A24" sqref="A24"/>
    </sheetView>
  </sheetViews>
  <sheetFormatPr defaultRowHeight="12.75" x14ac:dyDescent="0.2"/>
  <cols>
    <col min="1" max="1" width="45" style="51" customWidth="1"/>
    <col min="2" max="2" width="24.85546875" style="51" customWidth="1"/>
    <col min="3" max="3" width="23" style="51" customWidth="1"/>
    <col min="4" max="4" width="60.85546875" style="54" customWidth="1"/>
    <col min="5" max="5" width="76.5703125" style="437" customWidth="1"/>
    <col min="6" max="6" width="9.140625" style="51"/>
    <col min="7" max="7" width="12.5703125" style="51" customWidth="1"/>
    <col min="8" max="16384" width="9.140625" style="51"/>
  </cols>
  <sheetData>
    <row r="1" spans="1:11" ht="13.5" thickBot="1" x14ac:dyDescent="0.25">
      <c r="B1" s="104" t="s">
        <v>696</v>
      </c>
    </row>
    <row r="2" spans="1:11" s="226" customFormat="1" ht="32.25" customHeight="1" thickTop="1" thickBot="1" x14ac:dyDescent="0.25">
      <c r="A2" s="157"/>
      <c r="B2" s="1129" t="s">
        <v>513</v>
      </c>
      <c r="C2" s="922"/>
      <c r="E2" s="225" t="s">
        <v>222</v>
      </c>
    </row>
    <row r="3" spans="1:11" s="226" customFormat="1" ht="14.25" thickTop="1" thickBot="1" x14ac:dyDescent="0.25">
      <c r="A3" s="157"/>
      <c r="B3" s="157"/>
      <c r="C3" s="157"/>
      <c r="D3" s="258"/>
      <c r="E3" s="239"/>
    </row>
    <row r="4" spans="1:11" ht="13.5" thickTop="1" x14ac:dyDescent="0.2">
      <c r="A4" s="1118" t="s">
        <v>487</v>
      </c>
      <c r="B4" s="1140"/>
      <c r="C4" s="1140"/>
      <c r="D4" s="1141"/>
    </row>
    <row r="5" spans="1:11" ht="18.75" customHeight="1" x14ac:dyDescent="0.2">
      <c r="A5" s="180" t="s">
        <v>208</v>
      </c>
      <c r="B5" s="1143" t="str">
        <f>IF(Factors!$J$6=1, "Independent Leg","Mat")</f>
        <v>Independent Leg</v>
      </c>
      <c r="C5" s="1144"/>
      <c r="D5" s="833" t="s">
        <v>222</v>
      </c>
    </row>
    <row r="6" spans="1:11" ht="18.75" customHeight="1" x14ac:dyDescent="0.2">
      <c r="A6" s="181" t="s">
        <v>411</v>
      </c>
      <c r="B6" s="1133" t="str">
        <f>'LEASEHOLDER Provided Data'!D36</f>
        <v>LOW CONSEQUENCE FROM INFRASTRUCTURE</v>
      </c>
      <c r="C6" s="1134"/>
      <c r="D6" s="690" t="str">
        <f>IF(Factors!$N$152&gt;0,"Mudslide Zone: Submit Report","Not in Mudslide Zone")</f>
        <v>Not in Mudslide Zone</v>
      </c>
      <c r="E6" s="767"/>
    </row>
    <row r="7" spans="1:11" ht="18.75" customHeight="1" thickBot="1" x14ac:dyDescent="0.25">
      <c r="A7" s="182" t="s">
        <v>341</v>
      </c>
      <c r="B7" s="717">
        <f>LOCATION!$D$12</f>
        <v>240</v>
      </c>
      <c r="C7" s="834"/>
      <c r="D7" s="835"/>
      <c r="E7" s="88"/>
    </row>
    <row r="8" spans="1:11" ht="14.25" thickTop="1" thickBot="1" x14ac:dyDescent="0.25">
      <c r="A8" s="1109" t="s">
        <v>409</v>
      </c>
      <c r="B8" s="1060"/>
      <c r="C8" s="1138"/>
      <c r="D8" s="259" t="s">
        <v>488</v>
      </c>
    </row>
    <row r="9" spans="1:11" ht="38.25" customHeight="1" thickTop="1" x14ac:dyDescent="0.2">
      <c r="A9" s="404" t="s">
        <v>621</v>
      </c>
      <c r="B9" s="405" t="s">
        <v>622</v>
      </c>
      <c r="C9" s="707">
        <f>'LEASEHOLDER Provided Data'!E52</f>
        <v>2008</v>
      </c>
      <c r="D9" s="837" t="s">
        <v>28</v>
      </c>
      <c r="E9" s="453" t="s">
        <v>46</v>
      </c>
    </row>
    <row r="10" spans="1:11" ht="38.25" customHeight="1" thickBot="1" x14ac:dyDescent="0.25">
      <c r="A10" s="179" t="s">
        <v>346</v>
      </c>
      <c r="B10" s="766" t="str">
        <f>VLOOKUP(Factors!AE23, Factors!AD16:AE22,2)</f>
        <v>On Arrival at Location</v>
      </c>
      <c r="C10" s="398" t="str">
        <f>'LEASEHOLDER Provided Data'!F54</f>
        <v>Optional Explanation of Suitability of the soil data for evaluating fitness for purpose</v>
      </c>
      <c r="D10" s="708" t="str">
        <f>'LEASEHOLDER Provided Data'!G54</f>
        <v>Leaseholder 11:</v>
      </c>
      <c r="E10" s="477" t="s">
        <v>741</v>
      </c>
    </row>
    <row r="11" spans="1:11" ht="45.75" customHeight="1" thickTop="1" x14ac:dyDescent="0.2">
      <c r="A11" s="178" t="s">
        <v>429</v>
      </c>
      <c r="B11" s="405" t="s">
        <v>622</v>
      </c>
      <c r="C11" s="1131" t="str">
        <f>'LEASEHOLDER Provided Data'!E55</f>
        <v xml:space="preserve">Leaseholder 12: </v>
      </c>
      <c r="D11" s="1132"/>
    </row>
    <row r="12" spans="1:11" ht="38.25" customHeight="1" thickBot="1" x14ac:dyDescent="0.25">
      <c r="A12" s="177" t="s">
        <v>410</v>
      </c>
      <c r="B12" s="561" t="s">
        <v>318</v>
      </c>
      <c r="C12" s="169"/>
      <c r="D12" s="576" t="s">
        <v>29</v>
      </c>
      <c r="E12" s="453" t="s">
        <v>47</v>
      </c>
    </row>
    <row r="13" spans="1:11" ht="14.25" thickTop="1" thickBot="1" x14ac:dyDescent="0.25">
      <c r="A13" s="1135" t="str">
        <f>IF(Factors!$J$6=2,"Please ignore this block of questions for Mat Supported Jack-Up","Please complete this Block of Questions for this Independent Leg Jack-Up")</f>
        <v>Please complete this Block of Questions for this Independent Leg Jack-Up</v>
      </c>
      <c r="B13" s="1136"/>
      <c r="C13" s="1136"/>
      <c r="D13" s="1137"/>
      <c r="E13" s="254"/>
      <c r="F13" s="89"/>
      <c r="G13" s="393"/>
      <c r="H13" s="88"/>
      <c r="I13" s="88"/>
      <c r="J13" s="88"/>
      <c r="K13" s="88"/>
    </row>
    <row r="14" spans="1:11" s="71" customFormat="1" ht="14.25" thickTop="1" thickBot="1" x14ac:dyDescent="0.25">
      <c r="A14" s="1109" t="s">
        <v>702</v>
      </c>
      <c r="B14" s="1018"/>
      <c r="C14" s="1138"/>
      <c r="D14" s="350" t="s">
        <v>488</v>
      </c>
      <c r="E14" s="451"/>
    </row>
    <row r="15" spans="1:11" ht="39" thickTop="1" x14ac:dyDescent="0.2">
      <c r="A15" s="404" t="str">
        <f>IF(Factors!J6=2, "Mat Rig: Please ignore","How Far Away from the Center of the Rig was the Samples for the Geotechnical Report taken? (ft)
 If &gt; 1000 Ft Explain. ")</f>
        <v xml:space="preserve">How Far Away from the Center of the Rig was the Samples for the Geotechnical Report taken? (ft)
 If &gt; 1000 Ft Explain. </v>
      </c>
      <c r="B15" s="707">
        <f>IF(Factors!J6=2,"",'LEASEHOLDER Provided Data'!E53)</f>
        <v>79</v>
      </c>
      <c r="C15" s="709" t="str">
        <f>IF(Factors!J6=2,"",IF((B15&gt;1000),"&gt;1000 ft",""))</f>
        <v/>
      </c>
      <c r="D15" s="877" t="str">
        <f>IF(Factors!J6=2,"",'LEASEHOLDER Provided Data'!G53)</f>
        <v>Leaseholder 10:</v>
      </c>
      <c r="E15" s="453" t="s">
        <v>48</v>
      </c>
    </row>
    <row r="16" spans="1:11" ht="27" customHeight="1" x14ac:dyDescent="0.2">
      <c r="A16" s="836" t="str">
        <f>IF(Factors!J6=2,"Mat Rig: Please ignore",IF(B15&lt;1000,"Less than 1000 ft: Please ignore",IF(Factors!J58=1,"The information was tied back to the site-specific location with Shallow Seismic","The information was NOT tied back with Shallow Seismic")))</f>
        <v>Less than 1000 ft: Please ignore</v>
      </c>
      <c r="B16" s="464" t="s">
        <v>49</v>
      </c>
      <c r="C16" s="813" t="str">
        <f>IF(Factors!J6=2,"",IF(AND(B15&gt;1000,Factors!$J$58=2),"Please Explain",""))</f>
        <v/>
      </c>
      <c r="D16" s="878" t="str">
        <f>IF(Factors!J6=2,"",'LEASEHOLDER Provided Data'!G58)</f>
        <v>Leaseholder 13:</v>
      </c>
    </row>
    <row r="17" spans="1:34" ht="50.25" customHeight="1" x14ac:dyDescent="0.2">
      <c r="A17" s="836" t="str">
        <f>IF(Factors!J6=2,"Mat Rig: Please ignore",IF(Factors!J80=2,"There is NO Calculated Load-Penetration curve available","There is a Calculated Load-Penetration Curve available"))</f>
        <v>There is a Calculated Load-Penetration Curve available</v>
      </c>
      <c r="B17" s="1131" t="str">
        <f>IF(Factors!J6=1,IF(Factors!$J$80=1, "Please attach Load-Penetration Curve for soils to at least half the spudcan diameter below expected penetration. Show stillwater and preload reactions on the curve", "Please Explain"),"")</f>
        <v>Please attach Load-Penetration Curve for soils to at least half the spudcan diameter below expected penetration. Show stillwater and preload reactions on the curve</v>
      </c>
      <c r="C17" s="1139"/>
      <c r="D17" s="560" t="s">
        <v>677</v>
      </c>
    </row>
    <row r="18" spans="1:34" ht="75" customHeight="1" x14ac:dyDescent="0.2">
      <c r="A18" s="836" t="str">
        <f>IF(Factors!J6=2,"Mat Rig: Please ignore",IF(Factors!$J$97=1,"No potential to scour","You previously indicated the following applies: 
The maximum penetration is &lt; Max bearing area of spud can + 5ft on sand AND
High current speed OR
Breaking wave"))</f>
        <v>No potential to scour</v>
      </c>
      <c r="B18" s="345" t="s">
        <v>53</v>
      </c>
      <c r="C18" s="812" t="str">
        <f>IF(Factors!J6=2,"",IF(AND(Factors!J6=1,Factors!$J$97=1),"","Explain potential for and protection against Scour"))</f>
        <v/>
      </c>
      <c r="D18" s="708" t="str">
        <f>IF(Factors!J6=2,"",LOCATION!G45)</f>
        <v xml:space="preserve">Loc 8: </v>
      </c>
    </row>
    <row r="19" spans="1:34" ht="26.25" thickBot="1" x14ac:dyDescent="0.25">
      <c r="A19" s="392" t="str">
        <f>IF(Factors!J6=2, "Mat Rig: Please ignore","Selected Survival Case (Drilling Contractor's) :" )</f>
        <v>Selected Survival Case (Drilling Contractor's) :</v>
      </c>
      <c r="B19" s="706" t="str">
        <f>IF(Factors!J6=2,"",VLOOKUP(Factors!$AE$14,Factors!$AD$4:$AE$10,2))</f>
        <v>10-Yr Site Specific</v>
      </c>
      <c r="C19" s="406" t="s">
        <v>412</v>
      </c>
      <c r="D19" s="710" t="str">
        <f>IF(Factors!J6=2,"",LOCATION!G38)</f>
        <v>Loc 5:</v>
      </c>
    </row>
    <row r="20" spans="1:34" ht="13.5" thickTop="1" x14ac:dyDescent="0.2">
      <c r="A20" s="101"/>
      <c r="B20" s="69"/>
      <c r="C20" s="69"/>
      <c r="D20" s="397"/>
      <c r="E20" s="461"/>
      <c r="F20" s="393"/>
      <c r="G20" s="88"/>
      <c r="H20" s="88"/>
      <c r="I20" s="88"/>
      <c r="J20" s="88"/>
    </row>
    <row r="21" spans="1:34" ht="13.5" customHeight="1" x14ac:dyDescent="0.2">
      <c r="A21" s="102" t="str">
        <f>IF(Factors!J6=2, "Mat Rig: Please ignore","Expected Leg Penetration on Location (full preload)")</f>
        <v>Expected Leg Penetration on Location (full preload)</v>
      </c>
      <c r="B21" s="711">
        <f>LOCATION!D17</f>
        <v>10</v>
      </c>
      <c r="C21" s="69" t="s">
        <v>413</v>
      </c>
      <c r="D21" s="397"/>
      <c r="E21" s="465" t="s">
        <v>222</v>
      </c>
      <c r="F21" s="393"/>
      <c r="G21" s="88"/>
      <c r="H21" s="88"/>
      <c r="I21" s="88"/>
      <c r="J21" s="88"/>
    </row>
    <row r="22" spans="1:34" ht="33.75" customHeight="1" thickBot="1" x14ac:dyDescent="0.25">
      <c r="A22" s="102" t="str">
        <f>IF(Factors!J6=2, "Mat Rig: Please ignore","What will be soils under spudcan at expected penetration")</f>
        <v>What will be soils under spudcan at expected penetration</v>
      </c>
      <c r="B22" s="859"/>
      <c r="C22" s="393"/>
      <c r="D22" s="397"/>
      <c r="E22" s="461"/>
      <c r="F22" s="393"/>
      <c r="G22" s="88"/>
      <c r="H22" s="88"/>
      <c r="I22" s="88"/>
      <c r="J22" s="88"/>
    </row>
    <row r="23" spans="1:34" ht="30.75" customHeight="1" thickTop="1" thickBot="1" x14ac:dyDescent="0.25">
      <c r="A23" s="103" t="str">
        <f>IF(Factors!J6=2, "Mat Rig: Please ignore","Is Punchthrough a possibility on Location during storm?")</f>
        <v>Is Punchthrough a possibility on Location during storm?</v>
      </c>
      <c r="B23" s="860" t="s">
        <v>222</v>
      </c>
      <c r="C23" s="393" t="str">
        <f>IF(Factors!$J$6=1,IF(Factors!$AL$6=1,"Please Explain Controls",""),"")</f>
        <v/>
      </c>
      <c r="D23" s="562" t="s">
        <v>678</v>
      </c>
      <c r="E23" s="461" t="str">
        <f>C23</f>
        <v/>
      </c>
      <c r="F23" s="393"/>
      <c r="G23" s="88"/>
      <c r="H23" s="88"/>
      <c r="I23" s="88"/>
      <c r="J23" s="88"/>
    </row>
    <row r="24" spans="1:34" ht="37.5" customHeight="1" thickTop="1" thickBot="1" x14ac:dyDescent="0.25">
      <c r="A24" s="809" t="str">
        <f>IF(Factors!J6=2,"Mat Rig: Please ignore",IF(Factors!$AL$12=1,"You previously indicated that the rig has no more than 4ft settlement in the GoM Annex Contingency case","You previously indicated that the Jack-up had &gt;4ft settlement in GoM Annex Contingency Case"))</f>
        <v>You previously indicated that the rig has no more than 4ft settlement in the GoM Annex Contingency case</v>
      </c>
      <c r="B24" s="393" t="s">
        <v>222</v>
      </c>
      <c r="C24" s="714" t="str">
        <f>IF(Factors!$AL$12=2,"Explanation was:","")</f>
        <v/>
      </c>
      <c r="D24" s="712" t="str">
        <f>IF(Factors!J6=2,"",LOCATION!$G$42)</f>
        <v xml:space="preserve">Loc 6: </v>
      </c>
      <c r="E24" s="462"/>
      <c r="F24" s="393"/>
      <c r="G24" s="88"/>
      <c r="H24" s="88"/>
      <c r="I24" s="88"/>
      <c r="J24" s="88"/>
    </row>
    <row r="25" spans="1:34" ht="45.75" customHeight="1" thickTop="1" thickBot="1" x14ac:dyDescent="0.25">
      <c r="A25" s="809" t="str">
        <f>IF(Factors!J6=2,"Mat Rig: Please ignore",IF(Factors!$J$86=1,"You previously indicated that the rig has no more than 6 ft settlement in the GoM Annex Survival case",IF(Factors!$J$86=2,"You previously indicated that the Jack-up had &gt; 6 ft settlement in GoM Annex Survival Case","Explanation of how you will predict/control settlement ina major storm")))</f>
        <v>You previously indicated that the rig has no more than 6 ft settlement in the GoM Annex Survival case</v>
      </c>
      <c r="B25" s="393" t="s">
        <v>222</v>
      </c>
      <c r="C25" s="714" t="str">
        <f>IF(Factors!$J$86=1,"","Explanation was:")</f>
        <v/>
      </c>
      <c r="D25" s="713" t="str">
        <f>IF(Factors!J6=2,"",LOCATION!$G$43)</f>
        <v xml:space="preserve">Loc 7: </v>
      </c>
      <c r="E25" s="461"/>
      <c r="F25" s="393"/>
    </row>
    <row r="26" spans="1:34" ht="14.25" thickTop="1" thickBot="1" x14ac:dyDescent="0.25">
      <c r="A26" s="1135" t="str">
        <f>IF(Factors!$J$6=1,"Please ignore this block of questions for Independent Leg Jack-Up","Please complete this Block of Questions for this Mat Supported Jack-Up")</f>
        <v>Please ignore this block of questions for Independent Leg Jack-Up</v>
      </c>
      <c r="B26" s="1136"/>
      <c r="C26" s="1136"/>
      <c r="D26" s="1137"/>
      <c r="E26" s="254"/>
      <c r="F26" s="89"/>
      <c r="G26" s="393"/>
      <c r="H26" s="88"/>
      <c r="I26" s="88"/>
      <c r="J26" s="88"/>
      <c r="K26" s="88"/>
    </row>
    <row r="27" spans="1:34" s="71" customFormat="1" ht="14.25" thickTop="1" thickBot="1" x14ac:dyDescent="0.25">
      <c r="A27" s="1109" t="s">
        <v>701</v>
      </c>
      <c r="B27" s="1018"/>
      <c r="C27" s="1138"/>
      <c r="D27" s="350" t="s">
        <v>488</v>
      </c>
      <c r="E27" s="458"/>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row>
    <row r="28" spans="1:34" ht="31.5" customHeight="1" thickTop="1" x14ac:dyDescent="0.2">
      <c r="A28" s="178" t="str">
        <f>IF(Factors!J6=1, "Independent Leg Rig: Please ignore","How Far Away from the Center of the Rig was the geotechnical information?  (ft)")</f>
        <v>Independent Leg Rig: Please ignore</v>
      </c>
      <c r="B28" s="717" t="str">
        <f>IF(Factors!J6=1,"",'LEASEHOLDER Provided Data'!E53)</f>
        <v/>
      </c>
      <c r="C28" s="688" t="str">
        <f>IF(Factors!J6=1,"",IF($B$28&gt;1000, "&gt;1000 ft, Please Explain", ""))</f>
        <v/>
      </c>
      <c r="D28" s="560" t="s">
        <v>30</v>
      </c>
      <c r="F28" s="71"/>
      <c r="G28" s="51" t="s">
        <v>222</v>
      </c>
    </row>
    <row r="29" spans="1:34" s="71" customFormat="1" ht="44.25" customHeight="1" thickBot="1" x14ac:dyDescent="0.25">
      <c r="A29" s="407" t="str">
        <f>IF(Factors!J6=1, "Independent Leg Rig: Please ignore","What is the average Soil Shear Strength at the Seabed?  (psf)  ( threshold value is &lt; or &gt; 100 psf)")</f>
        <v>Independent Leg Rig: Please ignore</v>
      </c>
      <c r="B29" s="564">
        <v>80</v>
      </c>
      <c r="C29" s="715" t="str">
        <f>IF(Factors!J6=1,"",IF($B$29&lt;100,(IF('LEASEHOLDER Provided Data'!$D$36="High Consequence from Infrastructure","Detailed Soil safety factor submission required or Explain",(IF('LEASEHOLDER Provided Data'!$D$36="Medium Consequence from Infrastructure","Detailed Soil safety factor submission required or Explain","")))),""))</f>
        <v/>
      </c>
      <c r="D29" s="563" t="s">
        <v>679</v>
      </c>
      <c r="E29" s="453" t="s">
        <v>358</v>
      </c>
    </row>
    <row r="30" spans="1:34" ht="26.25" thickTop="1" x14ac:dyDescent="0.2">
      <c r="A30" s="404" t="str">
        <f>IF(Factors!J6=1, "Independent Leg Rig: Please ignore","Explanation of any consequence of movement: (Repeated from Leaseholder Data worksheet")</f>
        <v>Independent Leg Rig: Please ignore</v>
      </c>
      <c r="B30" s="1130"/>
      <c r="C30" s="1130"/>
      <c r="D30" s="716" t="str">
        <f>IF(Factors!J6=1,"",'LEASEHOLDER Provided Data'!$E$36)</f>
        <v/>
      </c>
      <c r="E30" s="453" t="s">
        <v>31</v>
      </c>
    </row>
    <row r="31" spans="1:34" s="71" customFormat="1" ht="32.25" customHeight="1" x14ac:dyDescent="0.2">
      <c r="A31" s="407" t="str">
        <f>IF(Factors!J6=1,"Independent Leg Rig: Please ignore",IF(C29="Detailed Soil safety factor submission required or Explain","Sliding calculation as needed- Mat forces included:","Sliding Calculation not Compulsory"))</f>
        <v>Independent Leg Rig: Please ignore</v>
      </c>
      <c r="B31" s="408" t="s">
        <v>222</v>
      </c>
      <c r="C31" s="409" t="str">
        <f>IF(C29="Detailed Soil safety factor submission required or Explain","Sliding Factor of Safety =:","")</f>
        <v/>
      </c>
      <c r="D31" s="565" t="s">
        <v>680</v>
      </c>
      <c r="E31" s="478" t="s">
        <v>359</v>
      </c>
    </row>
    <row r="32" spans="1:34" s="71" customFormat="1" ht="32.25" customHeight="1" x14ac:dyDescent="0.2">
      <c r="A32" s="407" t="str">
        <f>IF(Factors!J6=1,"Independent Leg Rig: Please ignore",IF(C29="Detailed Soil safety factor submission required or Explain","Overturning calculation :","Overturning Calculation not Compulsory"))</f>
        <v>Independent Leg Rig: Please ignore</v>
      </c>
      <c r="B32" s="408" t="s">
        <v>222</v>
      </c>
      <c r="C32" s="409" t="str">
        <f>IF(C29="Detailed Soil safety factor submission required or Explain","Overturning Factor of Safety =:","")</f>
        <v/>
      </c>
      <c r="D32" s="565" t="s">
        <v>681</v>
      </c>
      <c r="E32" s="478" t="s">
        <v>360</v>
      </c>
    </row>
    <row r="33" spans="1:5" s="71" customFormat="1" ht="25.5" x14ac:dyDescent="0.2">
      <c r="A33" s="178" t="str">
        <f>IF(Factors!J6=1, "Independent Leg Rig: Please ignore","Scour Potential: ")</f>
        <v>Independent Leg Rig: Please ignore</v>
      </c>
      <c r="B33" s="1142" t="str">
        <f>IF(Factors!J6=1,"",IF(LOCATION!F49="Explain potential to scour","Since there may be potential to scour  at this location: Please Explain","Scour less important at this location"))</f>
        <v/>
      </c>
      <c r="C33" s="1142"/>
      <c r="D33" s="708" t="str">
        <f>IF(Factors!J6=1,"",LOCATION!G49)</f>
        <v/>
      </c>
      <c r="E33" s="478" t="s">
        <v>623</v>
      </c>
    </row>
    <row r="34" spans="1:5" s="71" customFormat="1" ht="27.75" customHeight="1" x14ac:dyDescent="0.2">
      <c r="A34" s="179" t="str">
        <f>IF(Factors!J6=1, "Independent Leg Rig: Please ignore","Expected Penetration including Skirt (ft)")</f>
        <v>Independent Leg Rig: Please ignore</v>
      </c>
      <c r="B34" s="765" t="str">
        <f>IF(Factors!J6=2, IF(B35+LOCATION!D17&gt;13,"EH? &gt; 13 - recheck Penetration or Skirt Ht",B35+LOCATION!D17),"")</f>
        <v/>
      </c>
      <c r="C34" s="235"/>
      <c r="D34" s="410"/>
      <c r="E34" s="478" t="s">
        <v>54</v>
      </c>
    </row>
    <row r="35" spans="1:5" s="71" customFormat="1" ht="27.75" customHeight="1" x14ac:dyDescent="0.2">
      <c r="A35" s="179" t="str">
        <f>IF(Factors!J6=1, "Independent Leg Rig: Please ignore","Skirt Height: (ft)")</f>
        <v>Independent Leg Rig: Please ignore</v>
      </c>
      <c r="B35" s="808">
        <v>1</v>
      </c>
      <c r="C35" s="396"/>
      <c r="D35" s="411"/>
      <c r="E35" s="478" t="s">
        <v>54</v>
      </c>
    </row>
    <row r="36" spans="1:5" ht="33.75" customHeight="1" x14ac:dyDescent="0.2">
      <c r="A36" s="466" t="str">
        <f>IF(Factors!J6=1, "Independent Leg Rig: Please ignore","Storm used for Evaluation based on Drilling Contractor's Survivability Case:" )</f>
        <v>Independent Leg Rig: Please ignore</v>
      </c>
      <c r="B36" s="717" t="str">
        <f>IF(Factors!J6=1,"",VLOOKUP(Factors!$AE$14,Factors!$AD$4:$AE$10,2))</f>
        <v/>
      </c>
      <c r="C36" s="402" t="str">
        <f>IF(Factors!J6=1,"","Survivability Selected on Location Page:")</f>
        <v/>
      </c>
      <c r="D36" s="708" t="str">
        <f>IF(Factors!J6=1,"",LOCATION!G38)</f>
        <v/>
      </c>
    </row>
    <row r="37" spans="1:5" ht="35.25" customHeight="1" thickBot="1" x14ac:dyDescent="0.25">
      <c r="A37" s="177" t="str">
        <f>IF(Factors!J6=1, "Independent Leg Rig: Please ignore","Does the Geotechnical Information go to a depth equal to or greater than the width of the mat")</f>
        <v>Independent Leg Rig: Please ignore</v>
      </c>
      <c r="B37" s="390"/>
      <c r="C37" s="412" t="str">
        <f>IF(AND(Factors!J6=2,Factors!$J$62=2),"Please Explain","")</f>
        <v/>
      </c>
      <c r="D37" s="559" t="s">
        <v>676</v>
      </c>
      <c r="E37" s="478" t="s">
        <v>33</v>
      </c>
    </row>
    <row r="38" spans="1:5" ht="13.5" thickTop="1" x14ac:dyDescent="0.2">
      <c r="A38" s="51" t="s">
        <v>222</v>
      </c>
      <c r="B38" s="51" t="s">
        <v>222</v>
      </c>
    </row>
    <row r="39" spans="1:5" x14ac:dyDescent="0.2">
      <c r="A39" s="51" t="s">
        <v>222</v>
      </c>
    </row>
    <row r="40" spans="1:5" x14ac:dyDescent="0.2">
      <c r="A40" s="51" t="s">
        <v>222</v>
      </c>
    </row>
    <row r="42" spans="1:5" x14ac:dyDescent="0.2">
      <c r="A42" s="51" t="s">
        <v>222</v>
      </c>
    </row>
    <row r="43" spans="1:5" x14ac:dyDescent="0.2">
      <c r="A43" s="51" t="s">
        <v>222</v>
      </c>
    </row>
    <row r="44" spans="1:5" x14ac:dyDescent="0.2">
      <c r="A44" s="51" t="s">
        <v>222</v>
      </c>
    </row>
    <row r="53" spans="3:3" x14ac:dyDescent="0.2">
      <c r="C53" s="66"/>
    </row>
  </sheetData>
  <sheetProtection password="83AF" sheet="1" objects="1" scenarios="1" formatRows="0"/>
  <mergeCells count="13">
    <mergeCell ref="A4:D4"/>
    <mergeCell ref="B33:C33"/>
    <mergeCell ref="B5:C5"/>
    <mergeCell ref="B2:C2"/>
    <mergeCell ref="B30:C30"/>
    <mergeCell ref="C11:D11"/>
    <mergeCell ref="B6:C6"/>
    <mergeCell ref="A13:D13"/>
    <mergeCell ref="A8:C8"/>
    <mergeCell ref="A14:C14"/>
    <mergeCell ref="B17:C17"/>
    <mergeCell ref="A27:C27"/>
    <mergeCell ref="A26:D26"/>
  </mergeCells>
  <phoneticPr fontId="4" type="noConversion"/>
  <conditionalFormatting sqref="D36 D24:D25">
    <cfRule type="cellIs" dxfId="128" priority="1" stopIfTrue="1" operator="equal">
      <formula>0</formula>
    </cfRule>
  </conditionalFormatting>
  <conditionalFormatting sqref="C36 B19:C19">
    <cfRule type="cellIs" dxfId="127" priority="2" stopIfTrue="1" operator="equal">
      <formula>"State Survivability Level"</formula>
    </cfRule>
  </conditionalFormatting>
  <conditionalFormatting sqref="D37">
    <cfRule type="cellIs" dxfId="126" priority="3" stopIfTrue="1" operator="equal">
      <formula>0</formula>
    </cfRule>
  </conditionalFormatting>
  <conditionalFormatting sqref="C34">
    <cfRule type="cellIs" priority="4" stopIfTrue="1" operator="equal">
      <formula>"Explain potential to scour"</formula>
    </cfRule>
  </conditionalFormatting>
  <conditionalFormatting sqref="C28">
    <cfRule type="cellIs" dxfId="125" priority="5" stopIfTrue="1" operator="equal">
      <formula>"&gt;1000 ft, Please Explain"</formula>
    </cfRule>
    <cfRule type="cellIs" dxfId="124" priority="6" stopIfTrue="1" operator="equal">
      <formula>""</formula>
    </cfRule>
  </conditionalFormatting>
  <conditionalFormatting sqref="A33">
    <cfRule type="cellIs" dxfId="123" priority="7" stopIfTrue="1" operator="equal">
      <formula>"Since there may be potential to scour  at this location: Please Explain"</formula>
    </cfRule>
    <cfRule type="cellIs" dxfId="122" priority="8" stopIfTrue="1" operator="equal">
      <formula>""</formula>
    </cfRule>
  </conditionalFormatting>
  <conditionalFormatting sqref="C29">
    <cfRule type="cellIs" dxfId="121" priority="9" stopIfTrue="1" operator="equal">
      <formula>"Detailed Soil safety factor submission required or Explain"</formula>
    </cfRule>
  </conditionalFormatting>
  <conditionalFormatting sqref="F26 F13">
    <cfRule type="cellIs" dxfId="120" priority="10" stopIfTrue="1" operator="equal">
      <formula>"Please complete this Block of Questions for this Independent Leg Jack-Up"</formula>
    </cfRule>
    <cfRule type="cellIs" dxfId="119" priority="11" stopIfTrue="1" operator="equal">
      <formula>"Please ignore this block of questions for Mat Supported Jack-Up"</formula>
    </cfRule>
  </conditionalFormatting>
  <conditionalFormatting sqref="A26 A13">
    <cfRule type="cellIs" dxfId="118" priority="12" stopIfTrue="1" operator="equal">
      <formula>"Please complete this Block of Questions for this Independent Leg Jack-Up"</formula>
    </cfRule>
    <cfRule type="cellIs" dxfId="117" priority="13" stopIfTrue="1" operator="equal">
      <formula>"Please ignore this block of questions for Mat Supported Jack-Up"</formula>
    </cfRule>
  </conditionalFormatting>
  <conditionalFormatting sqref="B33:C33">
    <cfRule type="cellIs" dxfId="116" priority="14" stopIfTrue="1" operator="equal">
      <formula>"Since there may be potential to scour  at this location: Please Explain"</formula>
    </cfRule>
  </conditionalFormatting>
  <conditionalFormatting sqref="C37 C16">
    <cfRule type="cellIs" dxfId="115" priority="15" stopIfTrue="1" operator="equal">
      <formula>"Please Explain"</formula>
    </cfRule>
    <cfRule type="cellIs" dxfId="114" priority="16" stopIfTrue="1" operator="equal">
      <formula>""</formula>
    </cfRule>
  </conditionalFormatting>
  <conditionalFormatting sqref="E24">
    <cfRule type="cellIs" dxfId="113" priority="17" stopIfTrue="1" operator="equal">
      <formula>"Please Explain Soil Limits"</formula>
    </cfRule>
  </conditionalFormatting>
  <conditionalFormatting sqref="C23">
    <cfRule type="cellIs" dxfId="112" priority="18" stopIfTrue="1" operator="equal">
      <formula>"Please Explain Controls"</formula>
    </cfRule>
  </conditionalFormatting>
  <conditionalFormatting sqref="C7">
    <cfRule type="cellIs" dxfId="111" priority="19" stopIfTrue="1" operator="equal">
      <formula>1</formula>
    </cfRule>
  </conditionalFormatting>
  <conditionalFormatting sqref="B7 D5">
    <cfRule type="cellIs" dxfId="110" priority="20" stopIfTrue="1" operator="equal">
      <formula>"Submit Report"</formula>
    </cfRule>
  </conditionalFormatting>
  <conditionalFormatting sqref="C15">
    <cfRule type="cellIs" dxfId="109" priority="21" stopIfTrue="1" operator="equal">
      <formula>"&gt;1000 ft"</formula>
    </cfRule>
    <cfRule type="cellIs" dxfId="108" priority="22" stopIfTrue="1" operator="equal">
      <formula>""</formula>
    </cfRule>
  </conditionalFormatting>
  <conditionalFormatting sqref="C18">
    <cfRule type="cellIs" dxfId="107" priority="23" stopIfTrue="1" operator="equal">
      <formula>"Explain potential for and protection against Scour"</formula>
    </cfRule>
  </conditionalFormatting>
  <conditionalFormatting sqref="D6:E6">
    <cfRule type="cellIs" dxfId="106" priority="24" stopIfTrue="1" operator="equal">
      <formula>"Mudslide Zone: Submit Report"</formula>
    </cfRule>
  </conditionalFormatting>
  <conditionalFormatting sqref="B6:C6">
    <cfRule type="cellIs" dxfId="105" priority="25" stopIfTrue="1" operator="equal">
      <formula>"LOW CONSEQUENCE FROM INFRASTRUCTURE"</formula>
    </cfRule>
    <cfRule type="cellIs" dxfId="104" priority="26" stopIfTrue="1" operator="equal">
      <formula>"MEDIUM CONSEQUENCE FROM INFRASTRUCTURE"</formula>
    </cfRule>
    <cfRule type="cellIs" dxfId="103" priority="27" stopIfTrue="1" operator="equal">
      <formula>"HIGH CONSEQUENCE FROM INFRASTRUCTURE"</formula>
    </cfRule>
  </conditionalFormatting>
  <conditionalFormatting sqref="B17:C17">
    <cfRule type="cellIs" dxfId="102" priority="28" stopIfTrue="1" operator="equal">
      <formula>"Please explain"</formula>
    </cfRule>
    <cfRule type="cellIs" dxfId="101" priority="29" stopIfTrue="1" operator="equal">
      <formula>"Please attach Load-Penetration Curve for soils to at least half the spudcan diameter below expected penetration. Show stillwater and preload reactions on the curve"</formula>
    </cfRule>
  </conditionalFormatting>
  <pageMargins left="0.94" right="0.41" top="0.82" bottom="0.6" header="0.5" footer="0.5"/>
  <pageSetup scale="59" fitToHeight="2" orientation="portrait" horizontalDpi="1200" verticalDpi="1200" r:id="rId1"/>
  <headerFooter alignWithMargins="0">
    <oddHeader>&amp;L&amp;F&amp;C&amp;A</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23" r:id="rId4" name="Drop Down 31">
              <controlPr defaultSize="0" autoLine="0" autoPict="0">
                <anchor moveWithCells="1">
                  <from>
                    <xdr:col>1</xdr:col>
                    <xdr:colOff>352425</xdr:colOff>
                    <xdr:row>36</xdr:row>
                    <xdr:rowOff>57150</xdr:rowOff>
                  </from>
                  <to>
                    <xdr:col>1</xdr:col>
                    <xdr:colOff>1238250</xdr:colOff>
                    <xdr:row>36</xdr:row>
                    <xdr:rowOff>266700</xdr:rowOff>
                  </to>
                </anchor>
              </controlPr>
            </control>
          </mc:Choice>
        </mc:AlternateContent>
        <mc:AlternateContent xmlns:mc="http://schemas.openxmlformats.org/markup-compatibility/2006">
          <mc:Choice Requires="x14">
            <control shapeId="8233" r:id="rId5" name="Drop Down 41">
              <controlPr defaultSize="0" autoLine="0" autoPict="0">
                <anchor moveWithCells="1">
                  <from>
                    <xdr:col>1</xdr:col>
                    <xdr:colOff>542925</xdr:colOff>
                    <xdr:row>22</xdr:row>
                    <xdr:rowOff>47625</xdr:rowOff>
                  </from>
                  <to>
                    <xdr:col>1</xdr:col>
                    <xdr:colOff>1428750</xdr:colOff>
                    <xdr:row>22</xdr:row>
                    <xdr:rowOff>247650</xdr:rowOff>
                  </to>
                </anchor>
              </controlPr>
            </control>
          </mc:Choice>
        </mc:AlternateContent>
        <mc:AlternateContent xmlns:mc="http://schemas.openxmlformats.org/markup-compatibility/2006">
          <mc:Choice Requires="x14">
            <control shapeId="8234" r:id="rId6" name="Drop Down 42">
              <controlPr defaultSize="0" autoLine="0" autoPict="0">
                <anchor moveWithCells="1">
                  <from>
                    <xdr:col>1</xdr:col>
                    <xdr:colOff>447675</xdr:colOff>
                    <xdr:row>21</xdr:row>
                    <xdr:rowOff>85725</xdr:rowOff>
                  </from>
                  <to>
                    <xdr:col>1</xdr:col>
                    <xdr:colOff>1514475</xdr:colOff>
                    <xdr:row>21</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23"/>
    <pageSetUpPr fitToPage="1"/>
  </sheetPr>
  <dimension ref="A1:O40"/>
  <sheetViews>
    <sheetView topLeftCell="A24" zoomScale="75" zoomScaleNormal="75" zoomScaleSheetLayoutView="75" workbookViewId="0">
      <selection activeCell="H34" sqref="H34"/>
    </sheetView>
  </sheetViews>
  <sheetFormatPr defaultRowHeight="12.75" x14ac:dyDescent="0.2"/>
  <cols>
    <col min="1" max="1" width="36.5703125" style="317" customWidth="1"/>
    <col min="2" max="2" width="15" style="317" customWidth="1"/>
    <col min="3" max="3" width="16.42578125" style="317" customWidth="1"/>
    <col min="4" max="4" width="14.28515625" style="317" customWidth="1"/>
    <col min="5" max="5" width="14.140625" style="317" customWidth="1"/>
    <col min="6" max="6" width="15.85546875" style="317" customWidth="1"/>
    <col min="7" max="7" width="28.28515625" style="317" customWidth="1"/>
    <col min="8" max="8" width="19.42578125" style="317" customWidth="1"/>
    <col min="9" max="9" width="87.7109375" style="459" customWidth="1"/>
    <col min="10" max="16384" width="9.140625" style="317"/>
  </cols>
  <sheetData>
    <row r="1" spans="1:10" ht="13.5" thickBot="1" x14ac:dyDescent="0.25">
      <c r="D1" s="318" t="s">
        <v>693</v>
      </c>
      <c r="G1" s="319"/>
    </row>
    <row r="2" spans="1:10" ht="14.25" thickTop="1" thickBot="1" x14ac:dyDescent="0.25">
      <c r="B2" s="1157" t="s">
        <v>697</v>
      </c>
      <c r="C2" s="1158"/>
      <c r="D2" s="1158"/>
      <c r="E2" s="1158"/>
      <c r="F2" s="1159"/>
      <c r="G2" s="319"/>
      <c r="H2" s="319"/>
      <c r="I2" s="458"/>
    </row>
    <row r="3" spans="1:10" ht="14.25" thickTop="1" thickBot="1" x14ac:dyDescent="0.25">
      <c r="C3" s="319"/>
      <c r="D3" s="319"/>
      <c r="E3" s="319"/>
      <c r="F3" s="319"/>
      <c r="G3" s="319"/>
      <c r="H3" s="319"/>
      <c r="I3" s="458"/>
    </row>
    <row r="4" spans="1:10" ht="13.5" thickTop="1" x14ac:dyDescent="0.2">
      <c r="A4" s="320" t="s">
        <v>288</v>
      </c>
      <c r="B4" s="321"/>
      <c r="C4" s="319"/>
      <c r="D4" s="319"/>
      <c r="E4" s="1145" t="s">
        <v>85</v>
      </c>
      <c r="F4" s="1140"/>
      <c r="G4" s="1141"/>
      <c r="I4" s="458"/>
    </row>
    <row r="5" spans="1:10" x14ac:dyDescent="0.2">
      <c r="A5" s="322" t="s">
        <v>506</v>
      </c>
      <c r="B5" s="570"/>
      <c r="C5" s="319"/>
      <c r="D5" s="319"/>
      <c r="E5" s="323" t="s">
        <v>586</v>
      </c>
      <c r="F5" s="324"/>
      <c r="G5" s="325">
        <f>G6-G7-G8-G9-G10-6</f>
        <v>41.399999999999977</v>
      </c>
      <c r="H5" s="326"/>
      <c r="I5" s="458"/>
    </row>
    <row r="6" spans="1:10" x14ac:dyDescent="0.2">
      <c r="A6" s="322" t="s">
        <v>507</v>
      </c>
      <c r="B6" s="571"/>
      <c r="C6" s="319"/>
      <c r="D6" s="319"/>
      <c r="E6" s="1168" t="str">
        <f>IF(Factors!J6=1,"Total Leg Length","Total Leg Length to Bottom of Mat")</f>
        <v>Total Leg Length</v>
      </c>
      <c r="F6" s="1108"/>
      <c r="G6" s="698">
        <f>LOCATION!D14</f>
        <v>410</v>
      </c>
      <c r="H6" s="319"/>
      <c r="I6" s="458"/>
    </row>
    <row r="7" spans="1:10" x14ac:dyDescent="0.2">
      <c r="A7" s="322" t="s">
        <v>508</v>
      </c>
      <c r="B7" s="571"/>
      <c r="C7" s="319"/>
      <c r="D7" s="319"/>
      <c r="E7" s="1168" t="s">
        <v>84</v>
      </c>
      <c r="F7" s="1108"/>
      <c r="G7" s="698">
        <f>LOCATION!D15</f>
        <v>50</v>
      </c>
      <c r="H7" s="326"/>
      <c r="I7" s="458"/>
    </row>
    <row r="8" spans="1:10" x14ac:dyDescent="0.2">
      <c r="A8" s="322" t="s">
        <v>289</v>
      </c>
      <c r="B8" s="571"/>
      <c r="C8" s="319"/>
      <c r="D8" s="319"/>
      <c r="E8" s="323" t="s">
        <v>495</v>
      </c>
      <c r="F8" s="324"/>
      <c r="G8" s="698">
        <f>METOCEAN!C7</f>
        <v>62.6</v>
      </c>
      <c r="H8" s="326"/>
      <c r="I8" s="458"/>
    </row>
    <row r="9" spans="1:10" x14ac:dyDescent="0.2">
      <c r="A9" s="322" t="s">
        <v>326</v>
      </c>
      <c r="B9" s="571"/>
      <c r="C9" s="319"/>
      <c r="D9" s="319" t="s">
        <v>222</v>
      </c>
      <c r="E9" s="323" t="s">
        <v>242</v>
      </c>
      <c r="F9" s="324"/>
      <c r="G9" s="698">
        <f>METOCEAN!C4</f>
        <v>240</v>
      </c>
      <c r="H9" s="326"/>
      <c r="I9" s="458"/>
    </row>
    <row r="10" spans="1:10" ht="33.75" customHeight="1" thickBot="1" x14ac:dyDescent="0.25">
      <c r="A10" s="327" t="s">
        <v>325</v>
      </c>
      <c r="B10" s="571"/>
      <c r="C10" s="319"/>
      <c r="D10" s="319"/>
      <c r="E10" s="1168" t="str">
        <f>IF(Factors!J6=1,"Expected Penetration: Full Preload (ft)","Expected Penetration: surface to mat bottom (ft)")</f>
        <v>Expected Penetration: Full Preload (ft)</v>
      </c>
      <c r="F10" s="1108"/>
      <c r="G10" s="699">
        <f>GEOTECH!B21</f>
        <v>10</v>
      </c>
      <c r="H10" s="319"/>
      <c r="I10" s="458"/>
    </row>
    <row r="11" spans="1:10" ht="19.5" customHeight="1" thickTop="1" thickBot="1" x14ac:dyDescent="0.25">
      <c r="A11" s="413" t="s">
        <v>316</v>
      </c>
      <c r="B11" s="572"/>
      <c r="C11" s="319"/>
      <c r="D11" s="319"/>
      <c r="E11" s="326"/>
      <c r="F11" s="326"/>
      <c r="G11" s="319"/>
      <c r="H11" s="319"/>
      <c r="I11" s="458"/>
    </row>
    <row r="12" spans="1:10" ht="14.25" thickTop="1" thickBot="1" x14ac:dyDescent="0.25">
      <c r="A12" s="415" t="s">
        <v>222</v>
      </c>
      <c r="B12" s="415"/>
      <c r="C12" s="326"/>
      <c r="D12" s="319"/>
      <c r="E12" s="328" t="s">
        <v>510</v>
      </c>
      <c r="F12" s="1152" t="str">
        <f>LOCATION!$D$25</f>
        <v>West Central</v>
      </c>
      <c r="G12" s="1153"/>
      <c r="H12" s="319"/>
      <c r="I12" s="458"/>
      <c r="J12" s="319"/>
    </row>
    <row r="13" spans="1:10" ht="13.5" thickTop="1" x14ac:dyDescent="0.2">
      <c r="A13" s="414" t="str">
        <f>IF(Factors!$J$6=2,"Mat Length (ft)","Spud Can Diameter (ft)")</f>
        <v>Spud Can Diameter (ft)</v>
      </c>
      <c r="B13" s="573"/>
      <c r="C13" s="319"/>
      <c r="D13" s="319"/>
      <c r="F13" s="319"/>
      <c r="G13" s="319"/>
      <c r="H13" s="319"/>
      <c r="I13" s="458"/>
      <c r="J13" s="319"/>
    </row>
    <row r="14" spans="1:10" x14ac:dyDescent="0.2">
      <c r="A14" s="329" t="str">
        <f>IF(Factors!$J$6=2,"Mat Height (excluding Skirt) (ft)","Spud Can Height (ft)")</f>
        <v>Spud Can Height (ft)</v>
      </c>
      <c r="B14" s="569"/>
      <c r="C14" s="319"/>
      <c r="D14" s="319"/>
      <c r="F14" s="319"/>
      <c r="G14" s="319"/>
      <c r="H14" s="319"/>
      <c r="I14" s="458"/>
      <c r="J14" s="319"/>
    </row>
    <row r="15" spans="1:10" x14ac:dyDescent="0.2">
      <c r="A15" s="329" t="str">
        <f>IF(Factors!$J$6=2,"Mat Width","")</f>
        <v/>
      </c>
      <c r="B15" s="569"/>
      <c r="C15" s="319"/>
      <c r="D15" s="319"/>
      <c r="F15" s="319"/>
      <c r="G15" s="319"/>
      <c r="H15" s="319"/>
      <c r="I15" s="458"/>
      <c r="J15" s="319"/>
    </row>
    <row r="16" spans="1:10" x14ac:dyDescent="0.2">
      <c r="A16" s="329" t="str">
        <f>IF(Factors!$J$6=2,"Skirt Height","")</f>
        <v/>
      </c>
      <c r="B16" s="569"/>
      <c r="C16" s="319"/>
      <c r="D16" s="319"/>
      <c r="F16" s="319"/>
      <c r="G16" s="319"/>
      <c r="H16" s="319"/>
      <c r="I16" s="458"/>
      <c r="J16" s="319"/>
    </row>
    <row r="17" spans="1:15" ht="25.5" x14ac:dyDescent="0.2">
      <c r="A17" s="322" t="s">
        <v>699</v>
      </c>
      <c r="B17" s="697">
        <f>LOCATION!E28</f>
        <v>250</v>
      </c>
      <c r="C17" s="319"/>
      <c r="D17" s="319"/>
      <c r="F17" s="319"/>
      <c r="G17" s="319"/>
      <c r="H17" s="319"/>
      <c r="I17" s="458"/>
      <c r="J17" s="319"/>
    </row>
    <row r="18" spans="1:15" ht="15.75" customHeight="1" x14ac:dyDescent="0.2">
      <c r="A18" s="322" t="s">
        <v>509</v>
      </c>
      <c r="B18" s="569"/>
      <c r="C18" s="319"/>
      <c r="D18" s="330" t="s">
        <v>222</v>
      </c>
      <c r="F18" s="319"/>
      <c r="G18" s="319"/>
      <c r="H18" s="319"/>
      <c r="I18" s="458"/>
      <c r="J18" s="319"/>
    </row>
    <row r="19" spans="1:15" ht="21.75" customHeight="1" thickBot="1" x14ac:dyDescent="0.25">
      <c r="A19" s="322" t="s">
        <v>290</v>
      </c>
      <c r="B19" s="569" t="s">
        <v>222</v>
      </c>
      <c r="C19" s="319"/>
      <c r="D19" s="330" t="s">
        <v>222</v>
      </c>
      <c r="F19" s="319"/>
      <c r="G19" s="319"/>
      <c r="H19" s="319"/>
      <c r="I19" s="458"/>
      <c r="J19" s="319"/>
    </row>
    <row r="20" spans="1:15" ht="89.25" customHeight="1" thickTop="1" thickBot="1" x14ac:dyDescent="0.25">
      <c r="A20" s="887" t="s">
        <v>381</v>
      </c>
      <c r="B20" s="888"/>
      <c r="C20" s="380" t="str">
        <f>IF(Factors!$J$10=2, "Explain","")</f>
        <v/>
      </c>
      <c r="D20" s="1165" t="s">
        <v>771</v>
      </c>
      <c r="E20" s="1166"/>
      <c r="F20" s="1166"/>
      <c r="G20" s="1166"/>
      <c r="H20" s="1167"/>
      <c r="I20" s="458"/>
      <c r="J20" s="319"/>
    </row>
    <row r="21" spans="1:15" ht="14.25" thickTop="1" thickBot="1" x14ac:dyDescent="0.25">
      <c r="A21" s="319"/>
      <c r="B21" s="319"/>
      <c r="C21" s="319"/>
      <c r="D21" s="319"/>
      <c r="E21" s="319"/>
      <c r="F21" s="380"/>
      <c r="G21" s="319"/>
      <c r="H21" s="319"/>
      <c r="I21" s="458"/>
      <c r="J21" s="319"/>
    </row>
    <row r="22" spans="1:15" s="319" customFormat="1" ht="58.5" customHeight="1" thickTop="1" thickBot="1" x14ac:dyDescent="0.25">
      <c r="A22" s="1160" t="str">
        <f>IF(Factors!$J$76=1,"From the Location Sheet: The rig meets the Structural requirements of the SNAME GoM Annex (both curves)","From the Location Sheet: The rig does NOT meet the Structural requirements of SNAME GoM Annex (both curves)")</f>
        <v>From the Location Sheet: The rig meets the Structural requirements of the SNAME GoM Annex (both curves)</v>
      </c>
      <c r="B22" s="1161"/>
      <c r="C22" s="1161"/>
      <c r="D22" s="1162"/>
      <c r="E22" s="1163" t="str">
        <f>IF(Factors!$J$76=2,"Explanation from Location worksheet","")</f>
        <v/>
      </c>
      <c r="F22" s="1164"/>
      <c r="G22" s="1146" t="str">
        <f>LOCATION!$G$37</f>
        <v xml:space="preserve">Loc 4:  </v>
      </c>
      <c r="H22" s="1147"/>
      <c r="I22" s="460"/>
    </row>
    <row r="23" spans="1:15" ht="14.25" thickTop="1" thickBot="1" x14ac:dyDescent="0.25">
      <c r="A23" s="331"/>
      <c r="B23" s="326"/>
      <c r="C23" s="326"/>
      <c r="D23" s="330"/>
      <c r="F23" s="319"/>
      <c r="G23" s="319"/>
      <c r="H23" s="319"/>
      <c r="I23" s="458"/>
      <c r="J23" s="319"/>
    </row>
    <row r="24" spans="1:15" ht="39" customHeight="1" thickTop="1" thickBot="1" x14ac:dyDescent="0.25">
      <c r="A24" s="1148" t="s">
        <v>362</v>
      </c>
      <c r="B24" s="1149"/>
      <c r="C24" s="1149"/>
      <c r="D24" s="1149"/>
      <c r="E24" s="1149"/>
      <c r="F24" s="1149"/>
      <c r="G24" s="1150" t="s">
        <v>417</v>
      </c>
      <c r="H24" s="1151"/>
      <c r="I24" s="458"/>
      <c r="J24" s="241"/>
      <c r="K24" s="241"/>
      <c r="L24" s="241"/>
      <c r="M24" s="241"/>
      <c r="N24" s="241"/>
      <c r="O24" s="241"/>
    </row>
    <row r="25" spans="1:15" ht="55.5" customHeight="1" thickTop="1" thickBot="1" x14ac:dyDescent="0.25">
      <c r="A25" s="1148" t="s">
        <v>738</v>
      </c>
      <c r="B25" s="1169"/>
      <c r="C25" s="1169"/>
      <c r="D25" s="1170"/>
      <c r="E25" s="347" t="s">
        <v>511</v>
      </c>
      <c r="F25" s="347" t="s">
        <v>511</v>
      </c>
      <c r="G25" s="348" t="str">
        <f>IF(Factors!AE14&lt;4,"Survival Case
in 
Full Population Hurricane", "Please Ignore Below")</f>
        <v>Please Ignore Below</v>
      </c>
      <c r="H25" s="675" t="str">
        <f>IF(Factors!AE14&lt;4,"Please Ignore Below",IF(Factors!AE14=4,"10-Year Site Specific",IF(Factors!AE14=5,"50-Year Site Specific",IF(Factors!AE14=6,"100-Year Site Specific",IF(Factors!AE14=7,"10-Year Site Seasonal",IF(Factors!AE14=8,"50-Year Site Seasonal",IF(Factors!AE14=9,"100-Year Site Seasonal",IF(Factors!AE14=10,"Survival Case Other Specified:
(Specify Return Period Below)"""))))))))</f>
        <v>10-Year Site Specific</v>
      </c>
      <c r="I25" s="676"/>
      <c r="J25" s="241"/>
      <c r="K25" s="241"/>
      <c r="L25" s="241"/>
      <c r="M25" s="241"/>
      <c r="N25" s="241"/>
      <c r="O25" s="241"/>
    </row>
    <row r="26" spans="1:15" ht="68.25" customHeight="1" thickTop="1" thickBot="1" x14ac:dyDescent="0.25">
      <c r="A26" s="349" t="s">
        <v>512</v>
      </c>
      <c r="B26" s="347" t="s">
        <v>291</v>
      </c>
      <c r="C26" s="347" t="s">
        <v>292</v>
      </c>
      <c r="D26" s="347" t="s">
        <v>293</v>
      </c>
      <c r="E26" s="348" t="s">
        <v>340</v>
      </c>
      <c r="F26" s="348" t="s">
        <v>340</v>
      </c>
      <c r="G26" s="100" t="str">
        <f>IF(Factors!AE14&lt;4,'ASSESSMENT RESULTS'!B31,IF(Factors!AE14&gt;3,"Please Ignore",""))</f>
        <v>Please Ignore</v>
      </c>
      <c r="H26" s="674" t="str">
        <f>IF(Factors!AE14=10,LOCATION!$G$38,"")</f>
        <v/>
      </c>
      <c r="I26" s="677" t="s">
        <v>772</v>
      </c>
      <c r="J26" s="241"/>
      <c r="K26" s="241"/>
      <c r="L26" s="241"/>
      <c r="M26" s="241"/>
      <c r="N26" s="241"/>
      <c r="O26" s="241"/>
    </row>
    <row r="27" spans="1:15" ht="22.5" customHeight="1" thickTop="1" x14ac:dyDescent="0.2">
      <c r="A27" s="381" t="s">
        <v>242</v>
      </c>
      <c r="B27" s="861" t="s">
        <v>222</v>
      </c>
      <c r="C27" s="862"/>
      <c r="D27" s="863"/>
      <c r="E27" s="700">
        <f>LOCATION!$D$12</f>
        <v>240</v>
      </c>
      <c r="F27" s="700">
        <f>LOCATION!$D$12</f>
        <v>240</v>
      </c>
      <c r="G27" s="700">
        <f>LOCATION!$D$12</f>
        <v>240</v>
      </c>
      <c r="H27" s="700">
        <f>LOCATION!$D$12</f>
        <v>240</v>
      </c>
      <c r="I27" s="458" t="s">
        <v>222</v>
      </c>
      <c r="J27" s="241"/>
      <c r="K27" s="241"/>
      <c r="L27" s="241"/>
      <c r="M27" s="241"/>
      <c r="N27" s="241"/>
      <c r="O27" s="241"/>
    </row>
    <row r="28" spans="1:15" ht="29.25" customHeight="1" x14ac:dyDescent="0.2">
      <c r="A28" s="322" t="s">
        <v>294</v>
      </c>
      <c r="B28" s="864"/>
      <c r="C28" s="865"/>
      <c r="D28" s="864" t="s">
        <v>222</v>
      </c>
      <c r="E28" s="701">
        <f>IF(Factors!$Y$6=1,METOCEAN!$C$40,IF(Factors!$Y$6=2,METOCEAN!$C$39,IF(Factors!$Y$6=3,METOCEAN!$C$41,"Error")))</f>
        <v>61.062692416000004</v>
      </c>
      <c r="F28" s="701">
        <f>IF(Factors!$Z$6=1,METOCEAN!$C$40,IF(Factors!$Z$6=2,METOCEAN!$C$39,IF(Factors!$Z$6=3,METOCEAN!$C$41,"Error")))</f>
        <v>66.108955584</v>
      </c>
      <c r="G28" s="702" t="str">
        <f>IF(Factors!$AE$14=1,Equations!$B$21,IF(Factors!$AE$14=2,Equations!$B$22,IF(Factors!$AE$14=3,Equations!$B$23,"")))</f>
        <v/>
      </c>
      <c r="H28" s="568"/>
      <c r="I28" s="458"/>
      <c r="J28" s="241"/>
      <c r="K28" s="241"/>
      <c r="L28" s="241"/>
      <c r="M28" s="241"/>
      <c r="N28" s="241"/>
      <c r="O28" s="241"/>
    </row>
    <row r="29" spans="1:15" ht="29.25" customHeight="1" x14ac:dyDescent="0.2">
      <c r="A29" s="322" t="s">
        <v>295</v>
      </c>
      <c r="B29" s="864"/>
      <c r="C29" s="865"/>
      <c r="D29" s="864" t="s">
        <v>222</v>
      </c>
      <c r="E29" s="701">
        <f>IF(Factors!$Y$6=1,METOCEAN!$C$33,IF(Factors!$Y$6=2,METOCEAN!$C$32,IF(Factors!$Y$6=3,METOCEAN!$C$34,"Error")))</f>
        <v>37.007373215999998</v>
      </c>
      <c r="F29" s="701">
        <f>IF(Factors!$Z$6=1,METOCEAN!$C$33,IF(Factors!$Z$6=2,METOCEAN!$C$32,IF(Factors!$Z$6=3,METOCEAN!$C$34,"Error")))</f>
        <v>40.356856870399994</v>
      </c>
      <c r="G29" s="703" t="str">
        <f>IF(Factors!$AE$14=1,Equations!$B$20*3.2808,IF(Factors!$AE$14=2,Equations!$B$18*3.2808,IF(Factors!$AE$14=3,Equations!$B$17*3.2808,"")))</f>
        <v/>
      </c>
      <c r="H29" s="568"/>
      <c r="I29" s="458"/>
      <c r="J29" s="241"/>
      <c r="K29" s="241"/>
      <c r="L29" s="241"/>
      <c r="M29" s="241"/>
      <c r="N29" s="241"/>
      <c r="O29" s="241"/>
    </row>
    <row r="30" spans="1:15" ht="29.25" customHeight="1" x14ac:dyDescent="0.2">
      <c r="A30" s="322" t="s">
        <v>296</v>
      </c>
      <c r="B30" s="865"/>
      <c r="C30" s="865"/>
      <c r="D30" s="864"/>
      <c r="E30" s="701"/>
      <c r="F30" s="701"/>
      <c r="G30" s="703"/>
      <c r="H30" s="568"/>
      <c r="I30" s="458" t="s">
        <v>222</v>
      </c>
      <c r="J30" s="241"/>
      <c r="K30" s="241"/>
      <c r="L30" s="241"/>
      <c r="M30" s="241"/>
      <c r="N30" s="241"/>
      <c r="O30" s="241"/>
    </row>
    <row r="31" spans="1:15" ht="29.25" customHeight="1" x14ac:dyDescent="0.2">
      <c r="A31" s="322" t="s">
        <v>299</v>
      </c>
      <c r="B31" s="865"/>
      <c r="C31" s="865"/>
      <c r="D31" s="864"/>
      <c r="E31" s="701" t="s">
        <v>319</v>
      </c>
      <c r="F31" s="701" t="s">
        <v>319</v>
      </c>
      <c r="G31" s="703" t="str">
        <f>IF(OR(Factors!$AE$14=1,Factors!$AE$14=2,Factors!$AE$14=3),"Incl. in C.E.","")</f>
        <v/>
      </c>
      <c r="H31" s="568"/>
      <c r="I31" s="458"/>
      <c r="J31" s="241"/>
      <c r="K31" s="241"/>
      <c r="L31" s="241"/>
      <c r="M31" s="241"/>
      <c r="N31" s="241"/>
      <c r="O31" s="241"/>
    </row>
    <row r="32" spans="1:15" ht="29.25" customHeight="1" thickBot="1" x14ac:dyDescent="0.25">
      <c r="A32" s="322" t="s">
        <v>315</v>
      </c>
      <c r="B32" s="865"/>
      <c r="C32" s="865"/>
      <c r="D32" s="864"/>
      <c r="E32" s="701" t="s">
        <v>319</v>
      </c>
      <c r="F32" s="701" t="s">
        <v>319</v>
      </c>
      <c r="G32" s="703" t="str">
        <f>IF(OR(Factors!$AE$14=1,Factors!$AE$14=2,Factors!$AE$14=3),"Incl. in C.E.","")</f>
        <v/>
      </c>
      <c r="H32" s="568"/>
      <c r="I32" s="458"/>
      <c r="J32" s="241"/>
      <c r="K32" s="241"/>
      <c r="L32" s="241"/>
      <c r="M32" s="241"/>
      <c r="N32" s="241"/>
      <c r="O32" s="241"/>
    </row>
    <row r="33" spans="1:15" ht="29.25" customHeight="1" thickTop="1" x14ac:dyDescent="0.2">
      <c r="A33" s="322" t="s">
        <v>297</v>
      </c>
      <c r="B33" s="865"/>
      <c r="C33" s="865"/>
      <c r="D33" s="864"/>
      <c r="E33" s="701">
        <f>METOCEAN!$C$7</f>
        <v>62.6</v>
      </c>
      <c r="F33" s="701">
        <f>METOCEAN!$C$7</f>
        <v>62.6</v>
      </c>
      <c r="G33" s="701">
        <f>METOCEAN!$C$7</f>
        <v>62.6</v>
      </c>
      <c r="H33" s="700">
        <f>METOCEAN!$C$7</f>
        <v>62.6</v>
      </c>
      <c r="I33" s="479" t="s">
        <v>44</v>
      </c>
      <c r="J33" s="241"/>
      <c r="K33" s="241"/>
      <c r="L33" s="241"/>
      <c r="M33" s="241"/>
      <c r="N33" s="241"/>
      <c r="O33" s="241"/>
    </row>
    <row r="34" spans="1:15" ht="29.25" customHeight="1" x14ac:dyDescent="0.2">
      <c r="A34" s="322" t="s">
        <v>320</v>
      </c>
      <c r="B34" s="866"/>
      <c r="C34" s="865"/>
      <c r="D34" s="864"/>
      <c r="E34" s="704">
        <f>IF(Factors!$Y$6=1,METOCEAN!$C$52,IF(Factors!$Y$6=2,METOCEAN!$C$48,IF(Factors!$Y$6=3,METOCEAN!$C$56,"Error")))</f>
        <v>1.466</v>
      </c>
      <c r="F34" s="704">
        <f>IF(Factors!$Z$6=1,METOCEAN!$C$52,IF(Factors!$Z$6=2,METOCEAN!$C$48,IF(Factors!$Z$6=3,METOCEAN!$C$56,"Error")))</f>
        <v>1.5979999999999999</v>
      </c>
      <c r="G34" s="894"/>
      <c r="H34" s="568"/>
      <c r="I34" s="458"/>
      <c r="J34" s="241"/>
      <c r="K34" s="241"/>
      <c r="L34" s="241"/>
      <c r="M34" s="241"/>
      <c r="N34" s="241"/>
      <c r="O34" s="241"/>
    </row>
    <row r="35" spans="1:15" ht="29.25" customHeight="1" x14ac:dyDescent="0.2">
      <c r="A35" s="322" t="s">
        <v>486</v>
      </c>
      <c r="B35" s="865" t="s">
        <v>521</v>
      </c>
      <c r="C35" s="865"/>
      <c r="D35" s="864"/>
      <c r="E35" s="867" t="s">
        <v>521</v>
      </c>
      <c r="F35" s="867"/>
      <c r="G35" s="703">
        <f>LOCATION!$D$17</f>
        <v>10</v>
      </c>
      <c r="H35" s="705">
        <f>LOCATION!$D$17</f>
        <v>10</v>
      </c>
      <c r="I35" s="479" t="s">
        <v>45</v>
      </c>
      <c r="J35" s="241"/>
      <c r="K35" s="241"/>
      <c r="L35" s="241"/>
      <c r="M35" s="241"/>
      <c r="N35" s="241"/>
      <c r="O35" s="241"/>
    </row>
    <row r="36" spans="1:15" ht="53.25" customHeight="1" x14ac:dyDescent="0.2">
      <c r="A36" s="387" t="s">
        <v>419</v>
      </c>
      <c r="B36" s="865"/>
      <c r="C36" s="865"/>
      <c r="D36" s="864"/>
      <c r="E36" s="867" t="s">
        <v>222</v>
      </c>
      <c r="F36" s="871" t="s">
        <v>661</v>
      </c>
      <c r="G36" s="567" t="s">
        <v>222</v>
      </c>
      <c r="H36" s="568"/>
      <c r="I36" s="678" t="s">
        <v>361</v>
      </c>
      <c r="J36" s="241"/>
      <c r="K36" s="241"/>
      <c r="L36" s="241"/>
      <c r="M36" s="241"/>
      <c r="N36" s="241"/>
      <c r="O36" s="241"/>
    </row>
    <row r="37" spans="1:15" ht="45" customHeight="1" x14ac:dyDescent="0.2">
      <c r="A37" s="1171" t="s">
        <v>52</v>
      </c>
      <c r="B37" s="1172"/>
      <c r="C37" s="1172"/>
      <c r="D37" s="1172"/>
      <c r="E37" s="1172"/>
      <c r="F37" s="1172"/>
      <c r="G37" s="673" t="str">
        <f>IF(Factors!AE14&gt;3,"",IF('LEASEHOLDER Provided Data'!$D$36="LOW CONSEQUENCE FROM INFRASTRUCTURE","",IF(AND(Factors!Y40=1,'LEASEHOLDER Provided Data'!$D$36="MEDIUM CONSEQUENCE FROM INFRASTRUCTURE"),"Calculated Value Required: Medium Consequence",IF(AND(Factors!Y40=1,'LEASEHOLDER Provided Data'!$D$36="HIGH CONSEQUENCE FROM INFRASTRUCTURE"),"Calculated Value Required: High Consequence",""))))</f>
        <v/>
      </c>
      <c r="H37" s="673" t="str">
        <f>IF(Factors!AE14&gt;3, IF('LEASEHOLDER Provided Data'!$D$36="LOW CONSEQUENCE FROM INFRASTRUCTURE","",IF(AND(Factors!AA40=1,'LEASEHOLDER Provided Data'!$D$36="MEDIUM CONSEQUENCE FROM INFRASTRUCTURE"),"Calculated Required: Medium Consequence",IF(AND(Factors!AA40=1,'LEASEHOLDER Provided Data'!$D$36="HIGH CONSEQUENCE FROM INFRASTRUCTURE"),"Calculated Required: High Consequence",""))),"")</f>
        <v/>
      </c>
      <c r="I37" s="317"/>
      <c r="J37" s="241"/>
      <c r="K37" s="241"/>
      <c r="L37" s="241"/>
      <c r="M37" s="241"/>
      <c r="N37" s="241"/>
      <c r="O37" s="241"/>
    </row>
    <row r="38" spans="1:15" ht="57.75" customHeight="1" thickBot="1" x14ac:dyDescent="0.25">
      <c r="A38" s="388" t="s">
        <v>363</v>
      </c>
      <c r="B38" s="332" t="s">
        <v>661</v>
      </c>
      <c r="C38" s="332" t="s">
        <v>661</v>
      </c>
      <c r="D38" s="332" t="s">
        <v>661</v>
      </c>
      <c r="E38" s="868" t="s">
        <v>522</v>
      </c>
      <c r="F38" s="566" t="s">
        <v>682</v>
      </c>
      <c r="G38" s="566" t="s">
        <v>722</v>
      </c>
      <c r="H38" s="810" t="s">
        <v>723</v>
      </c>
      <c r="I38" s="811" t="s">
        <v>383</v>
      </c>
      <c r="J38" s="241"/>
      <c r="K38" s="241"/>
      <c r="L38" s="241"/>
      <c r="M38" s="241"/>
      <c r="N38" s="241"/>
      <c r="O38" s="241"/>
    </row>
    <row r="39" spans="1:15" s="319" customFormat="1" ht="45.75" customHeight="1" thickTop="1" thickBot="1" x14ac:dyDescent="0.25">
      <c r="A39" s="388" t="s">
        <v>418</v>
      </c>
      <c r="B39" s="1154" t="s">
        <v>521</v>
      </c>
      <c r="C39" s="1155"/>
      <c r="D39" s="1155"/>
      <c r="E39" s="1155"/>
      <c r="F39" s="1155"/>
      <c r="G39" s="1155"/>
      <c r="H39" s="1156"/>
      <c r="I39" s="458"/>
    </row>
    <row r="40" spans="1:15" ht="13.5" thickTop="1" x14ac:dyDescent="0.2"/>
  </sheetData>
  <sheetProtection password="83AF" sheet="1" objects="1" scenarios="1" formatRows="0"/>
  <mergeCells count="15">
    <mergeCell ref="B2:F2"/>
    <mergeCell ref="A22:D22"/>
    <mergeCell ref="E22:F22"/>
    <mergeCell ref="D20:H20"/>
    <mergeCell ref="E6:F6"/>
    <mergeCell ref="E7:F7"/>
    <mergeCell ref="E10:F10"/>
    <mergeCell ref="E4:G4"/>
    <mergeCell ref="G22:H22"/>
    <mergeCell ref="A24:F24"/>
    <mergeCell ref="G24:H24"/>
    <mergeCell ref="F12:G12"/>
    <mergeCell ref="B39:H39"/>
    <mergeCell ref="A25:D25"/>
    <mergeCell ref="A37:F37"/>
  </mergeCells>
  <phoneticPr fontId="4" type="noConversion"/>
  <conditionalFormatting sqref="H37">
    <cfRule type="cellIs" dxfId="100" priority="1" stopIfTrue="1" operator="equal">
      <formula>"Calculated Required: High Consequence"</formula>
    </cfRule>
    <cfRule type="cellIs" dxfId="99" priority="2" stopIfTrue="1" operator="equal">
      <formula>"Calculated Required: Medium Consequence"</formula>
    </cfRule>
  </conditionalFormatting>
  <conditionalFormatting sqref="G37">
    <cfRule type="cellIs" dxfId="98" priority="3" stopIfTrue="1" operator="equal">
      <formula>"Calculated Value Required: High Consequence"</formula>
    </cfRule>
    <cfRule type="cellIs" dxfId="97" priority="4" stopIfTrue="1" operator="equal">
      <formula>"Calculated Value Required: Medium Consequence"</formula>
    </cfRule>
  </conditionalFormatting>
  <conditionalFormatting sqref="G22">
    <cfRule type="cellIs" dxfId="96" priority="5" stopIfTrue="1" operator="equal">
      <formula>0</formula>
    </cfRule>
  </conditionalFormatting>
  <conditionalFormatting sqref="E22:F22">
    <cfRule type="cellIs" dxfId="95" priority="6" stopIfTrue="1" operator="equal">
      <formula>"Explanation from Location worksheet"</formula>
    </cfRule>
  </conditionalFormatting>
  <conditionalFormatting sqref="C20">
    <cfRule type="cellIs" dxfId="94" priority="7" stopIfTrue="1" operator="equal">
      <formula>"Explain"</formula>
    </cfRule>
  </conditionalFormatting>
  <conditionalFormatting sqref="G5">
    <cfRule type="cellIs" dxfId="93" priority="8" stopIfTrue="1" operator="lessThan">
      <formula>6</formula>
    </cfRule>
    <cfRule type="cellIs" dxfId="92" priority="9" stopIfTrue="1" operator="greaterThan">
      <formula>6</formula>
    </cfRule>
  </conditionalFormatting>
  <dataValidations count="3">
    <dataValidation allowBlank="1" showInputMessage="1" showErrorMessage="1" promptTitle="Factor may exceed 1.0" prompt="Historically, jack-ups in GoM have been shown to survive a Structural factor of &gt;1.5 over the design storm _x000a_and in many cases &gt;2 when foundations are sufficient." sqref="G38:H38"/>
    <dataValidation allowBlank="1" showInputMessage="1" showErrorMessage="1" promptTitle="Analysis Method" prompt="e.g SNAME 5-5A or General Engineering Calculations or Pushover" sqref="A36"/>
    <dataValidation allowBlank="1" showInputMessage="1" showErrorMessage="1" promptTitle="Surface Current" prompt="Although Int-Met specifies current it was decided to allow user input of the current to take account of potential load combination issues.   Thus, if using API 2 Int-Met enter the specified current within this box for your load combination case " sqref="G34"/>
  </dataValidations>
  <pageMargins left="0.75" right="0.4" top="0.85" bottom="0.57999999999999996" header="0.5" footer="0.5"/>
  <pageSetup scale="59" fitToHeight="2" orientation="portrait" horizontalDpi="1200" verticalDpi="1200" r:id="rId1"/>
  <headerFooter alignWithMargins="0">
    <oddHeader>&amp;L&amp;F&amp;C&amp;A</oddHeader>
    <oddFooter>&amp;R&amp;P</oddFooter>
  </headerFooter>
  <rowBreaks count="1" manualBreakCount="1">
    <brk id="2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153" r:id="rId4" name="Drop Down 9">
              <controlPr defaultSize="0" autoLine="0" autoPict="0">
                <anchor moveWithCells="1">
                  <from>
                    <xdr:col>1</xdr:col>
                    <xdr:colOff>200025</xdr:colOff>
                    <xdr:row>19</xdr:row>
                    <xdr:rowOff>371475</xdr:rowOff>
                  </from>
                  <to>
                    <xdr:col>1</xdr:col>
                    <xdr:colOff>828675</xdr:colOff>
                    <xdr:row>19</xdr:row>
                    <xdr:rowOff>581025</xdr:rowOff>
                  </to>
                </anchor>
              </controlPr>
            </control>
          </mc:Choice>
        </mc:AlternateContent>
        <mc:AlternateContent xmlns:mc="http://schemas.openxmlformats.org/markup-compatibility/2006">
          <mc:Choice Requires="x14">
            <control shapeId="6157" r:id="rId5" name="Check Box 13">
              <controlPr defaultSize="0" autoFill="0" autoLine="0" autoPict="0">
                <anchor moveWithCells="1" sizeWithCells="1">
                  <from>
                    <xdr:col>4</xdr:col>
                    <xdr:colOff>1295400</xdr:colOff>
                    <xdr:row>41</xdr:row>
                    <xdr:rowOff>0</xdr:rowOff>
                  </from>
                  <to>
                    <xdr:col>4</xdr:col>
                    <xdr:colOff>609600</xdr:colOff>
                    <xdr:row>41</xdr:row>
                    <xdr:rowOff>0</xdr:rowOff>
                  </to>
                </anchor>
              </controlPr>
            </control>
          </mc:Choice>
        </mc:AlternateContent>
        <mc:AlternateContent xmlns:mc="http://schemas.openxmlformats.org/markup-compatibility/2006">
          <mc:Choice Requires="x14">
            <control shapeId="6160" r:id="rId6" name="Drop Down 16">
              <controlPr defaultSize="0" autoLine="0" autoPict="0">
                <anchor moveWithCells="1">
                  <from>
                    <xdr:col>4</xdr:col>
                    <xdr:colOff>9525</xdr:colOff>
                    <xdr:row>25</xdr:row>
                    <xdr:rowOff>57150</xdr:rowOff>
                  </from>
                  <to>
                    <xdr:col>5</xdr:col>
                    <xdr:colOff>0</xdr:colOff>
                    <xdr:row>25</xdr:row>
                    <xdr:rowOff>304800</xdr:rowOff>
                  </to>
                </anchor>
              </controlPr>
            </control>
          </mc:Choice>
        </mc:AlternateContent>
        <mc:AlternateContent xmlns:mc="http://schemas.openxmlformats.org/markup-compatibility/2006">
          <mc:Choice Requires="x14">
            <control shapeId="6163" r:id="rId7" name="Drop Down 19">
              <controlPr defaultSize="0" autoLine="0" autoPict="0">
                <anchor moveWithCells="1">
                  <from>
                    <xdr:col>5</xdr:col>
                    <xdr:colOff>9525</xdr:colOff>
                    <xdr:row>25</xdr:row>
                    <xdr:rowOff>57150</xdr:rowOff>
                  </from>
                  <to>
                    <xdr:col>6</xdr:col>
                    <xdr:colOff>0</xdr:colOff>
                    <xdr:row>25</xdr:row>
                    <xdr:rowOff>295275</xdr:rowOff>
                  </to>
                </anchor>
              </controlPr>
            </control>
          </mc:Choice>
        </mc:AlternateContent>
        <mc:AlternateContent xmlns:mc="http://schemas.openxmlformats.org/markup-compatibility/2006">
          <mc:Choice Requires="x14">
            <control shapeId="6173" r:id="rId8" name="Drop Down 29">
              <controlPr defaultSize="0" autoLine="0" autoPict="0">
                <anchor moveWithCells="1">
                  <from>
                    <xdr:col>6</xdr:col>
                    <xdr:colOff>381000</xdr:colOff>
                    <xdr:row>35</xdr:row>
                    <xdr:rowOff>114300</xdr:rowOff>
                  </from>
                  <to>
                    <xdr:col>6</xdr:col>
                    <xdr:colOff>1304925</xdr:colOff>
                    <xdr:row>35</xdr:row>
                    <xdr:rowOff>371475</xdr:rowOff>
                  </to>
                </anchor>
              </controlPr>
            </control>
          </mc:Choice>
        </mc:AlternateContent>
        <mc:AlternateContent xmlns:mc="http://schemas.openxmlformats.org/markup-compatibility/2006">
          <mc:Choice Requires="x14">
            <control shapeId="6175" r:id="rId9" name="Drop Down 31">
              <controlPr defaultSize="0" autoLine="0" autoPict="0">
                <anchor moveWithCells="1">
                  <from>
                    <xdr:col>7</xdr:col>
                    <xdr:colOff>142875</xdr:colOff>
                    <xdr:row>35</xdr:row>
                    <xdr:rowOff>104775</xdr:rowOff>
                  </from>
                  <to>
                    <xdr:col>7</xdr:col>
                    <xdr:colOff>1066800</xdr:colOff>
                    <xdr:row>35</xdr:row>
                    <xdr:rowOff>361950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H40"/>
  <sheetViews>
    <sheetView topLeftCell="B1" zoomScale="75" zoomScaleNormal="100" workbookViewId="0">
      <selection activeCell="F7" sqref="F7"/>
    </sheetView>
  </sheetViews>
  <sheetFormatPr defaultRowHeight="12.75" x14ac:dyDescent="0.2"/>
  <cols>
    <col min="1" max="3" width="9.140625" style="246"/>
    <col min="4" max="4" width="46" style="246" customWidth="1"/>
    <col min="5" max="5" width="14.85546875" style="246" customWidth="1"/>
    <col min="6" max="6" width="21.7109375" style="246" customWidth="1"/>
    <col min="7" max="7" width="32.7109375" style="246" customWidth="1"/>
    <col min="8" max="8" width="33.5703125" style="246" customWidth="1"/>
    <col min="9" max="16384" width="9.140625" style="246"/>
  </cols>
  <sheetData>
    <row r="1" spans="1:8" ht="13.5" thickBot="1" x14ac:dyDescent="0.25">
      <c r="D1" s="1188" t="s">
        <v>693</v>
      </c>
      <c r="E1" s="1189"/>
      <c r="F1" s="1189"/>
    </row>
    <row r="2" spans="1:8" ht="14.25" thickTop="1" thickBot="1" x14ac:dyDescent="0.25">
      <c r="D2" s="1193" t="s">
        <v>685</v>
      </c>
      <c r="E2" s="1194"/>
      <c r="F2" s="1195"/>
    </row>
    <row r="3" spans="1:8" ht="13.5" thickTop="1" x14ac:dyDescent="0.2">
      <c r="D3" s="244"/>
      <c r="E3" s="247"/>
      <c r="H3" s="1185" t="s">
        <v>222</v>
      </c>
    </row>
    <row r="4" spans="1:8" ht="39.75" customHeight="1" x14ac:dyDescent="0.2">
      <c r="D4" s="1186" t="s">
        <v>403</v>
      </c>
      <c r="E4" s="1187"/>
      <c r="F4" s="1187"/>
      <c r="G4" s="454"/>
      <c r="H4" s="1185"/>
    </row>
    <row r="5" spans="1:8" ht="18.75" customHeight="1" thickBot="1" x14ac:dyDescent="0.25">
      <c r="B5" s="246" t="s">
        <v>222</v>
      </c>
      <c r="D5" s="245"/>
      <c r="E5" s="455"/>
      <c r="H5" s="1185"/>
    </row>
    <row r="6" spans="1:8" ht="23.25" customHeight="1" thickTop="1" thickBot="1" x14ac:dyDescent="0.25">
      <c r="B6" s="1190" t="s">
        <v>644</v>
      </c>
      <c r="C6" s="1191"/>
      <c r="D6" s="1191"/>
      <c r="E6" s="1191"/>
      <c r="F6" s="1191"/>
      <c r="G6" s="1192"/>
    </row>
    <row r="7" spans="1:8" ht="30" customHeight="1" thickTop="1" x14ac:dyDescent="0.2">
      <c r="A7" s="247"/>
      <c r="B7" s="1173" t="s">
        <v>366</v>
      </c>
      <c r="C7" s="1174"/>
      <c r="D7" s="1175"/>
      <c r="E7" s="883"/>
      <c r="F7" s="884" t="s">
        <v>222</v>
      </c>
      <c r="G7" s="885"/>
    </row>
    <row r="8" spans="1:8" ht="46.5" customHeight="1" x14ac:dyDescent="0.2">
      <c r="A8" s="247"/>
      <c r="B8" s="1182" t="s">
        <v>367</v>
      </c>
      <c r="C8" s="1183"/>
      <c r="D8" s="1184" t="s">
        <v>475</v>
      </c>
      <c r="E8" s="248"/>
      <c r="F8" s="882" t="s">
        <v>222</v>
      </c>
      <c r="G8" s="886"/>
    </row>
    <row r="9" spans="1:8" ht="33" customHeight="1" thickBot="1" x14ac:dyDescent="0.25">
      <c r="A9" s="247"/>
      <c r="B9" s="1182" t="s">
        <v>390</v>
      </c>
      <c r="C9" s="1183"/>
      <c r="D9" s="1184"/>
      <c r="E9" s="249"/>
      <c r="F9" s="880" t="str">
        <f>IF(Factors!$J$31=2,"Please Explain","")</f>
        <v/>
      </c>
      <c r="G9" s="881" t="s">
        <v>768</v>
      </c>
    </row>
    <row r="10" spans="1:8" ht="37.5" customHeight="1" thickTop="1" thickBot="1" x14ac:dyDescent="0.25">
      <c r="A10" s="247"/>
      <c r="B10" s="1179" t="s">
        <v>380</v>
      </c>
      <c r="C10" s="1180"/>
      <c r="D10" s="1181"/>
      <c r="E10" s="249"/>
      <c r="F10" s="250" t="s">
        <v>478</v>
      </c>
      <c r="G10" s="574" t="s">
        <v>769</v>
      </c>
    </row>
    <row r="11" spans="1:8" ht="36.75" customHeight="1" thickTop="1" thickBot="1" x14ac:dyDescent="0.25">
      <c r="A11" s="247"/>
      <c r="B11" s="1176" t="s">
        <v>379</v>
      </c>
      <c r="C11" s="1177"/>
      <c r="D11" s="1178"/>
      <c r="E11" s="456"/>
      <c r="F11" s="251" t="s">
        <v>478</v>
      </c>
      <c r="G11" s="574" t="s">
        <v>770</v>
      </c>
    </row>
    <row r="12" spans="1:8" ht="13.5" thickTop="1" x14ac:dyDescent="0.2"/>
    <row r="32" spans="2:2" x14ac:dyDescent="0.2">
      <c r="B32" s="457"/>
    </row>
    <row r="40" spans="2:2" x14ac:dyDescent="0.2">
      <c r="B40" s="457"/>
    </row>
  </sheetData>
  <sheetProtection password="83AF" sheet="1" objects="1" scenarios="1" formatRows="0"/>
  <mergeCells count="10">
    <mergeCell ref="D1:F1"/>
    <mergeCell ref="B6:G6"/>
    <mergeCell ref="D2:F2"/>
    <mergeCell ref="B7:D7"/>
    <mergeCell ref="B11:D11"/>
    <mergeCell ref="B10:D10"/>
    <mergeCell ref="B9:D9"/>
    <mergeCell ref="B8:D8"/>
    <mergeCell ref="H3:H5"/>
    <mergeCell ref="D4:F4"/>
  </mergeCells>
  <phoneticPr fontId="4" type="noConversion"/>
  <conditionalFormatting sqref="F10:F11">
    <cfRule type="cellIs" dxfId="91" priority="1" stopIfTrue="1" operator="equal">
      <formula>1</formula>
    </cfRule>
  </conditionalFormatting>
  <conditionalFormatting sqref="F7:F8">
    <cfRule type="cellIs" dxfId="90" priority="2" stopIfTrue="1" operator="equal">
      <formula>"Please Explain"</formula>
    </cfRule>
  </conditionalFormatting>
  <conditionalFormatting sqref="E7:E10">
    <cfRule type="cellIs" dxfId="89" priority="3" stopIfTrue="1" operator="equal">
      <formula>"Submit Report"</formula>
    </cfRule>
  </conditionalFormatting>
  <conditionalFormatting sqref="F9">
    <cfRule type="cellIs" dxfId="88" priority="4" stopIfTrue="1" operator="equal">
      <formula>"Please Explain"</formula>
    </cfRule>
    <cfRule type="cellIs" dxfId="87" priority="5" stopIfTrue="1" operator="equal">
      <formula>""</formula>
    </cfRule>
  </conditionalFormatting>
  <pageMargins left="0.75" right="0.75" top="1" bottom="1" header="0.5" footer="0.5"/>
  <pageSetup scale="63" orientation="portrait" horizontalDpi="300" verticalDpi="300" r:id="rId1"/>
  <headerFooter alignWithMargins="0">
    <oddHeader>&amp;L&amp;F&amp;C&amp;A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locked="0" defaultSize="0" autoLine="0" autoPict="0">
                <anchor moveWithCells="1">
                  <from>
                    <xdr:col>4</xdr:col>
                    <xdr:colOff>180975</xdr:colOff>
                    <xdr:row>8</xdr:row>
                    <xdr:rowOff>95250</xdr:rowOff>
                  </from>
                  <to>
                    <xdr:col>4</xdr:col>
                    <xdr:colOff>800100</xdr:colOff>
                    <xdr:row>8</xdr:row>
                    <xdr:rowOff>295275</xdr:rowOff>
                  </to>
                </anchor>
              </controlPr>
            </control>
          </mc:Choice>
        </mc:AlternateContent>
        <mc:AlternateContent xmlns:mc="http://schemas.openxmlformats.org/markup-compatibility/2006">
          <mc:Choice Requires="x14">
            <control shapeId="14338" r:id="rId5" name="Drop Down 2">
              <controlPr locked="0" defaultSize="0" autoLine="0" autoPict="0">
                <anchor moveWithCells="1">
                  <from>
                    <xdr:col>4</xdr:col>
                    <xdr:colOff>180975</xdr:colOff>
                    <xdr:row>6</xdr:row>
                    <xdr:rowOff>57150</xdr:rowOff>
                  </from>
                  <to>
                    <xdr:col>4</xdr:col>
                    <xdr:colOff>819150</xdr:colOff>
                    <xdr:row>6</xdr:row>
                    <xdr:rowOff>257175</xdr:rowOff>
                  </to>
                </anchor>
              </controlPr>
            </control>
          </mc:Choice>
        </mc:AlternateContent>
        <mc:AlternateContent xmlns:mc="http://schemas.openxmlformats.org/markup-compatibility/2006">
          <mc:Choice Requires="x14">
            <control shapeId="14339" r:id="rId6" name="Drop Down 3">
              <controlPr locked="0" defaultSize="0" autoLine="0" autoPict="0">
                <anchor moveWithCells="1">
                  <from>
                    <xdr:col>4</xdr:col>
                    <xdr:colOff>180975</xdr:colOff>
                    <xdr:row>7</xdr:row>
                    <xdr:rowOff>180975</xdr:rowOff>
                  </from>
                  <to>
                    <xdr:col>4</xdr:col>
                    <xdr:colOff>819150</xdr:colOff>
                    <xdr:row>7</xdr:row>
                    <xdr:rowOff>361950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1"/>
  </sheetPr>
  <dimension ref="A1:AE101"/>
  <sheetViews>
    <sheetView topLeftCell="A12" zoomScale="75" zoomScaleNormal="75" zoomScaleSheetLayoutView="75" workbookViewId="0">
      <selection activeCell="B31" sqref="B31"/>
    </sheetView>
  </sheetViews>
  <sheetFormatPr defaultRowHeight="12.75" x14ac:dyDescent="0.2"/>
  <cols>
    <col min="1" max="1" width="62.7109375" style="51" customWidth="1"/>
    <col min="2" max="2" width="43.28515625" style="51" customWidth="1"/>
    <col min="3" max="3" width="96.7109375" style="54" customWidth="1"/>
    <col min="4" max="4" width="2.140625" style="51" customWidth="1"/>
    <col min="5" max="5" width="9.140625" style="51"/>
    <col min="6" max="6" width="12.5703125" style="51" customWidth="1"/>
    <col min="7" max="16384" width="9.140625" style="51"/>
  </cols>
  <sheetData>
    <row r="1" spans="1:31" s="69" customFormat="1" ht="13.5" thickBot="1" x14ac:dyDescent="0.25">
      <c r="B1" s="93" t="s">
        <v>698</v>
      </c>
      <c r="C1" s="254"/>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row>
    <row r="2" spans="1:31" s="69" customFormat="1" ht="13.5" customHeight="1" thickTop="1" thickBot="1" x14ac:dyDescent="0.25">
      <c r="A2" s="110" t="s">
        <v>222</v>
      </c>
      <c r="B2" s="156" t="s">
        <v>703</v>
      </c>
      <c r="C2" s="257"/>
      <c r="D2" s="22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row>
    <row r="3" spans="1:31" s="157" customFormat="1" ht="3" customHeight="1" thickTop="1" thickBot="1" x14ac:dyDescent="0.25">
      <c r="A3" s="110"/>
      <c r="B3" s="158"/>
      <c r="C3" s="258"/>
    </row>
    <row r="4" spans="1:31" s="157" customFormat="1" ht="21" customHeight="1" thickTop="1" x14ac:dyDescent="0.2">
      <c r="A4" s="110" t="s">
        <v>531</v>
      </c>
      <c r="B4" s="256">
        <f>LOCATION!$D$8</f>
        <v>0</v>
      </c>
      <c r="C4" s="258"/>
    </row>
    <row r="5" spans="1:31" s="733" customFormat="1" ht="21" customHeight="1" x14ac:dyDescent="0.2">
      <c r="A5" s="110" t="s">
        <v>657</v>
      </c>
      <c r="B5" s="731" t="str">
        <f>VLOOKUP(Factors!$A$66,Factors!$A$3:'Factors'!$B$65,2)</f>
        <v xml:space="preserve">Galveston </v>
      </c>
      <c r="C5" s="732"/>
    </row>
    <row r="6" spans="1:31" s="733" customFormat="1" ht="21" customHeight="1" x14ac:dyDescent="0.2">
      <c r="A6" s="110" t="s">
        <v>524</v>
      </c>
      <c r="B6" s="731">
        <f>Factors!$A$67</f>
        <v>53</v>
      </c>
      <c r="C6" s="732"/>
    </row>
    <row r="7" spans="1:31" s="733" customFormat="1" ht="21" customHeight="1" x14ac:dyDescent="0.2">
      <c r="A7" s="110" t="s">
        <v>231</v>
      </c>
      <c r="B7" s="734">
        <f>LOCATION!$D$11</f>
        <v>0</v>
      </c>
      <c r="C7" s="732"/>
    </row>
    <row r="8" spans="1:31" s="733" customFormat="1" ht="21" customHeight="1" x14ac:dyDescent="0.2">
      <c r="A8" s="110" t="s">
        <v>530</v>
      </c>
      <c r="B8" s="731">
        <f>LOCATION!$D$12</f>
        <v>240</v>
      </c>
      <c r="C8" s="732"/>
    </row>
    <row r="9" spans="1:31" s="733" customFormat="1" ht="21" customHeight="1" x14ac:dyDescent="0.2">
      <c r="A9" s="110" t="s">
        <v>525</v>
      </c>
      <c r="B9" s="735">
        <f>LOCATION!$D$13</f>
        <v>0</v>
      </c>
      <c r="C9" s="732"/>
    </row>
    <row r="10" spans="1:31" s="733" customFormat="1" ht="21" customHeight="1" x14ac:dyDescent="0.2">
      <c r="A10" s="110" t="s">
        <v>526</v>
      </c>
      <c r="B10" s="735">
        <f>LOCATION!$D$18</f>
        <v>0</v>
      </c>
      <c r="C10" s="732"/>
    </row>
    <row r="11" spans="1:31" s="733" customFormat="1" ht="21" customHeight="1" x14ac:dyDescent="0.2">
      <c r="A11" s="110" t="s">
        <v>527</v>
      </c>
      <c r="B11" s="736">
        <f>LOCATION!$D$19</f>
        <v>92</v>
      </c>
      <c r="C11" s="732"/>
    </row>
    <row r="12" spans="1:31" s="69" customFormat="1" ht="21" customHeight="1" x14ac:dyDescent="0.2">
      <c r="A12" s="110" t="s">
        <v>209</v>
      </c>
      <c r="B12" s="729" t="str">
        <f>IF(Factors!$J$6=1,"Independent Leg Jack-up","Mat Jack-up")</f>
        <v>Independent Leg Jack-up</v>
      </c>
      <c r="C12" s="254"/>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row>
    <row r="13" spans="1:31" s="69" customFormat="1" ht="21" customHeight="1" x14ac:dyDescent="0.2">
      <c r="A13" s="110" t="s">
        <v>528</v>
      </c>
      <c r="B13" s="718">
        <f>LOCATION!$D$4</f>
        <v>0</v>
      </c>
      <c r="C13" s="254"/>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row>
    <row r="14" spans="1:31" s="69" customFormat="1" ht="21" customHeight="1" x14ac:dyDescent="0.2">
      <c r="A14" s="110" t="s">
        <v>529</v>
      </c>
      <c r="B14" s="718">
        <f>LOCATION!$D$7</f>
        <v>0</v>
      </c>
      <c r="C14" s="254"/>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row>
    <row r="15" spans="1:31" s="69" customFormat="1" ht="21" customHeight="1" x14ac:dyDescent="0.2">
      <c r="A15" s="110" t="s">
        <v>533</v>
      </c>
      <c r="B15" s="718">
        <f>LOCATION!$D$5</f>
        <v>0</v>
      </c>
      <c r="C15" s="254"/>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row>
    <row r="16" spans="1:31" s="69" customFormat="1" ht="21" customHeight="1" x14ac:dyDescent="0.2">
      <c r="A16" s="110" t="s">
        <v>71</v>
      </c>
      <c r="B16" s="729" t="str">
        <f>LOCATION!$D$25</f>
        <v>West Central</v>
      </c>
      <c r="C16" s="254" t="s">
        <v>222</v>
      </c>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row>
    <row r="17" spans="1:31" s="69" customFormat="1" ht="21" customHeight="1" x14ac:dyDescent="0.2">
      <c r="A17" s="110" t="s">
        <v>532</v>
      </c>
      <c r="B17" s="729" t="str">
        <f>IF('LEASEHOLDER Provided Data'!$E$9="YES","PEAK", "NOT PEAK")</f>
        <v>PEAK</v>
      </c>
      <c r="C17" s="254"/>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69" customFormat="1" ht="29.25" customHeight="1" thickBot="1" x14ac:dyDescent="0.25">
      <c r="A18" s="110" t="s">
        <v>534</v>
      </c>
      <c r="B18" s="730" t="str">
        <f>'LEASEHOLDER Provided Data'!$B$12</f>
        <v>GoM at Peak of Season, but not most severe zone</v>
      </c>
      <c r="C18" s="254"/>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69" customFormat="1" ht="21" customHeight="1" thickTop="1" thickBot="1" x14ac:dyDescent="0.25">
      <c r="A19" s="231" t="s">
        <v>222</v>
      </c>
      <c r="B19" s="159"/>
      <c r="C19" s="737" t="s">
        <v>57</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69" customFormat="1" ht="14.25" thickTop="1" thickBot="1" x14ac:dyDescent="0.25">
      <c r="A20" s="838" t="s">
        <v>499</v>
      </c>
      <c r="B20" s="111" t="s">
        <v>260</v>
      </c>
      <c r="C20" s="659" t="s">
        <v>659</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69" customFormat="1" ht="32.25" customHeight="1" thickTop="1" x14ac:dyDescent="0.2">
      <c r="A21" s="805" t="str">
        <f>IF(LOCATION!$D$23="YES", "Potential for Mudslide: Expert Report Needed","")</f>
        <v/>
      </c>
      <c r="B21" s="728" t="str">
        <f>IF(LOCATION!D23="YES","Mudslide Report Information","Not in the Mudslide Area - No Further Info Required")</f>
        <v>Not in the Mudslide Area - No Further Info Required</v>
      </c>
      <c r="C21" s="738" t="str">
        <f>LOCATION!$G$23</f>
        <v xml:space="preserve">Loc 1: Mudslide:  </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109" customFormat="1" ht="30" customHeight="1" x14ac:dyDescent="0.2">
      <c r="A22" s="407" t="s">
        <v>364</v>
      </c>
      <c r="B22" s="398" t="str">
        <f>'LEASEHOLDER Provided Data'!$D$36</f>
        <v>LOW CONSEQUENCE FROM INFRASTRUCTURE</v>
      </c>
      <c r="C22" s="739" t="str">
        <f>IF('LEASEHOLDER Provided Data'!$D$36="HIGH Consequence FROM INFRASTRUCTURE",'LEASEHOLDER Provided Data'!E22,IF('LEASEHOLDER Provided Data'!D36="MEDIUM Consequence FROM INFRASTRUCTURE",'LEASEHOLDER Provided Data'!E30,""))</f>
        <v/>
      </c>
      <c r="D22" s="254" t="s">
        <v>521</v>
      </c>
      <c r="E22" s="382" t="s">
        <v>222</v>
      </c>
      <c r="K22" s="314"/>
      <c r="L22" s="314"/>
      <c r="M22" s="314"/>
      <c r="N22" s="314"/>
      <c r="O22" s="314"/>
      <c r="P22" s="314"/>
      <c r="Q22" s="314"/>
      <c r="R22" s="314"/>
      <c r="S22" s="314"/>
      <c r="T22" s="314"/>
      <c r="U22" s="314"/>
      <c r="V22" s="314"/>
      <c r="W22" s="314"/>
      <c r="X22" s="314"/>
      <c r="Y22" s="314"/>
      <c r="Z22" s="314"/>
      <c r="AA22" s="314"/>
      <c r="AB22" s="314"/>
      <c r="AC22" s="314"/>
      <c r="AD22" s="314"/>
      <c r="AE22" s="314"/>
    </row>
    <row r="23" spans="1:31" s="109" customFormat="1" ht="30" customHeight="1" x14ac:dyDescent="0.2">
      <c r="A23" s="407" t="s">
        <v>672</v>
      </c>
      <c r="B23" s="872" t="str">
        <f>'LEASEHOLDER Provided Data'!E22</f>
        <v>NONE</v>
      </c>
      <c r="C23" s="873" t="str">
        <f>'LEASEHOLDER Provided Data'!E30</f>
        <v>NONE</v>
      </c>
      <c r="D23" s="254"/>
      <c r="E23" s="382"/>
      <c r="K23" s="314"/>
      <c r="L23" s="314"/>
      <c r="M23" s="314"/>
      <c r="N23" s="314"/>
      <c r="O23" s="314"/>
      <c r="P23" s="314"/>
      <c r="Q23" s="314"/>
      <c r="R23" s="314"/>
      <c r="S23" s="314"/>
      <c r="T23" s="314"/>
      <c r="U23" s="314"/>
      <c r="V23" s="314"/>
      <c r="W23" s="314"/>
      <c r="X23" s="314"/>
      <c r="Y23" s="314"/>
      <c r="Z23" s="314"/>
      <c r="AA23" s="314"/>
      <c r="AB23" s="314"/>
      <c r="AC23" s="314"/>
      <c r="AD23" s="314"/>
      <c r="AE23" s="314"/>
    </row>
    <row r="24" spans="1:31" s="109" customFormat="1" ht="27" customHeight="1" x14ac:dyDescent="0.2">
      <c r="A24" s="764" t="str">
        <f>IF(AND(Factors!$J$90=1,(OR($B$22="HIGH Consequence FROM INFRASTRUCTURE",$B$22="MEDIUM Consequence FROM INFRASTRUCTURE"))),"Expected Punchthrough going onto location AND High or Med Consequence","Either No expected punchthrough going on location or Low Consequence")</f>
        <v>Either No expected punchthrough going on location or Low Consequence</v>
      </c>
      <c r="B24" s="688" t="str">
        <f>IF($A$24="Expected Punchthrough going onto location AND High or Med Consequence", "Explanation (to the right)", "")</f>
        <v/>
      </c>
      <c r="C24" s="739" t="str">
        <f>LOCATION!$G$34</f>
        <v xml:space="preserve">Loc 3:  </v>
      </c>
      <c r="K24" s="314"/>
      <c r="L24" s="314"/>
      <c r="M24" s="314"/>
      <c r="N24" s="314"/>
      <c r="O24" s="314"/>
      <c r="P24" s="314"/>
      <c r="Q24" s="314"/>
      <c r="R24" s="314"/>
      <c r="S24" s="314"/>
      <c r="T24" s="314"/>
      <c r="U24" s="314"/>
      <c r="V24" s="314"/>
      <c r="W24" s="314"/>
      <c r="X24" s="314"/>
      <c r="Y24" s="314"/>
      <c r="Z24" s="314"/>
      <c r="AA24" s="314"/>
      <c r="AB24" s="314"/>
      <c r="AC24" s="314"/>
      <c r="AD24" s="314"/>
      <c r="AE24" s="314"/>
    </row>
    <row r="25" spans="1:31" s="69" customFormat="1" ht="23.25" customHeight="1" x14ac:dyDescent="0.2">
      <c r="A25" s="179" t="str">
        <f>IF(STRUCTURE!$G$5&lt;6,"Insufficient leg length","Sufficient Leg Length")</f>
        <v>Sufficient Leg Length</v>
      </c>
      <c r="B25" s="774" t="str">
        <f>IF(STRUCTURE!$G$5&gt;6,"OK", "Explanation (to the right)")</f>
        <v>OK</v>
      </c>
      <c r="C25" s="575"/>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69" customFormat="1" ht="23.25" customHeight="1" x14ac:dyDescent="0.2">
      <c r="A26" s="179" t="s">
        <v>382</v>
      </c>
      <c r="B26" s="742" t="str">
        <f>IF(VLOOKUP(Factors!$J$10,Factors!$I$8:'Factors'!$J$9,2)="YES","OK","Explanation (to the right)")</f>
        <v>OK</v>
      </c>
      <c r="C26" s="739" t="str">
        <f>STRUCTURE!$D$20</f>
        <v>Structure 1:</v>
      </c>
      <c r="D26" s="416" t="s">
        <v>222</v>
      </c>
      <c r="K26" s="157"/>
      <c r="L26" s="157"/>
      <c r="M26" s="157"/>
      <c r="N26" s="157"/>
      <c r="O26" s="157"/>
      <c r="P26" s="157"/>
      <c r="Q26" s="157"/>
      <c r="R26" s="157"/>
      <c r="S26" s="157"/>
      <c r="T26" s="157"/>
      <c r="U26" s="157"/>
      <c r="V26" s="157"/>
      <c r="W26" s="157"/>
      <c r="X26" s="157"/>
      <c r="Y26" s="157"/>
      <c r="Z26" s="157"/>
      <c r="AA26" s="157"/>
      <c r="AB26" s="157"/>
      <c r="AC26" s="157"/>
      <c r="AD26" s="157"/>
      <c r="AE26" s="157"/>
    </row>
    <row r="27" spans="1:31" s="69" customFormat="1" ht="23.25" customHeight="1" x14ac:dyDescent="0.2">
      <c r="A27" s="1201" t="s">
        <v>734</v>
      </c>
      <c r="B27" s="742" t="str">
        <f>IF(Factors!$AE$23=1,Factors!$AE$16,IF(Factors!$AE$23=2,Factors!$AE$17,IF(Factors!$AE$23=3,Factors!$AE$18,IF(Factors!$AE$23=4,Factors!$AE$19,IF(Factors!$AE$23=5,Factors!$AE$20,IF(Factors!$AE$23=6,Factors!$AE$21,IF(Factors!$AE$23=7,Factors!$AE$22,"")))))))</f>
        <v>On Arrival at Location</v>
      </c>
      <c r="C27" s="1203" t="str">
        <f>'LEASEHOLDER Provided Data'!G54</f>
        <v>Leaseholder 11:</v>
      </c>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69" customFormat="1" ht="23.25" customHeight="1" x14ac:dyDescent="0.2">
      <c r="A28" s="1202"/>
      <c r="B28" s="742" t="str">
        <f>IF(Factors!J105=1,"Borehole Provided","Borehole NOT provided")</f>
        <v>Borehole NOT provided</v>
      </c>
      <c r="C28" s="1204"/>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69" customFormat="1" ht="28.5" customHeight="1" x14ac:dyDescent="0.2">
      <c r="A29" s="178" t="s">
        <v>12</v>
      </c>
      <c r="B29" s="743">
        <f>GEOTECH!C9</f>
        <v>2008</v>
      </c>
      <c r="C29" s="739" t="str">
        <f>GEOTECH!$D$9</f>
        <v xml:space="preserve">Geotech 1:   </v>
      </c>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69" customFormat="1" ht="39" customHeight="1" x14ac:dyDescent="0.2">
      <c r="A30" s="178" t="s">
        <v>717</v>
      </c>
      <c r="B30" s="1199" t="str">
        <f>'LEASEHOLDER Provided Data'!E55</f>
        <v xml:space="preserve">Leaseholder 12: </v>
      </c>
      <c r="C30" s="1200"/>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69" customFormat="1" ht="32.25" customHeight="1" x14ac:dyDescent="0.2">
      <c r="A31" s="178" t="s">
        <v>716</v>
      </c>
      <c r="B31" s="742" t="str">
        <f>VLOOKUP(Factors!$AE$14,Factors!$AD$4:$AE$13,2)</f>
        <v>10-Yr Site Specific</v>
      </c>
      <c r="C31" s="740" t="str">
        <f>LOCATION!$G$38</f>
        <v>Loc 5:</v>
      </c>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24" customFormat="1" ht="32.25" customHeight="1" thickBot="1" x14ac:dyDescent="0.25">
      <c r="A32" s="417" t="s">
        <v>711</v>
      </c>
      <c r="B32" s="744" t="str">
        <f>VLOOKUP(Factors!AE34,Factors!AD4:'Factors'!AE13,2)</f>
        <v>10-Yr Int Met</v>
      </c>
      <c r="C32" s="741" t="str">
        <f>'LEASEHOLDER Provided Data'!$G$37</f>
        <v xml:space="preserve">Leaseholder 4: </v>
      </c>
      <c r="D32" s="109" t="s">
        <v>222</v>
      </c>
      <c r="E32" s="357" t="s">
        <v>222</v>
      </c>
      <c r="F32" s="1196" t="s">
        <v>222</v>
      </c>
      <c r="G32" s="1196"/>
      <c r="H32" s="1196"/>
      <c r="I32" s="69"/>
      <c r="J32" s="69"/>
      <c r="K32" s="357" t="s">
        <v>222</v>
      </c>
      <c r="L32" s="357" t="s">
        <v>222</v>
      </c>
      <c r="M32" s="357" t="s">
        <v>222</v>
      </c>
    </row>
    <row r="33" spans="1:31" s="24" customFormat="1" ht="11.25" customHeight="1" thickTop="1" thickBot="1" x14ac:dyDescent="0.25">
      <c r="A33" s="839"/>
      <c r="B33" s="418"/>
      <c r="C33" s="660"/>
      <c r="D33" s="109"/>
      <c r="E33" s="357" t="s">
        <v>222</v>
      </c>
      <c r="F33" s="109"/>
      <c r="G33" s="109"/>
      <c r="H33" s="109"/>
      <c r="I33" s="69"/>
      <c r="J33" s="69"/>
      <c r="L33" s="357" t="s">
        <v>222</v>
      </c>
      <c r="M33" s="357" t="s">
        <v>222</v>
      </c>
    </row>
    <row r="34" spans="1:31" s="97" customFormat="1" ht="14.25" thickTop="1" thickBot="1" x14ac:dyDescent="0.25">
      <c r="A34" s="341" t="s">
        <v>539</v>
      </c>
      <c r="B34" s="25" t="s">
        <v>260</v>
      </c>
      <c r="C34" s="661" t="s">
        <v>659</v>
      </c>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row>
    <row r="35" spans="1:31" s="69" customFormat="1" ht="55.5" customHeight="1" thickTop="1" x14ac:dyDescent="0.2">
      <c r="A35" s="757" t="str">
        <f>IF(Factors!$AL$5=1, "Operator has supplied Geotech (Soils) data for the Location", "Operator has not supplied Geotech (Soil) data ")</f>
        <v>Operator has supplied Geotech (Soils) data for the Location</v>
      </c>
      <c r="B35" s="719" t="str">
        <f>IF(Factors!$AL$5=2, "Explanation (to the right)", "")</f>
        <v/>
      </c>
      <c r="C35" s="745" t="str">
        <f>'LEASEHOLDER Provided Data'!$G$41</f>
        <v>Leaseholder 5:</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row>
    <row r="36" spans="1:31" s="69" customFormat="1" ht="55.5" customHeight="1" x14ac:dyDescent="0.2">
      <c r="A36" s="807" t="str">
        <f>IF(Factors!$AL$4=1, "Operator has supplied Geotech information from which a Load-Penetration Curve can be provided", "Operator has NOT supplied Geotech information from which a Load-Penetration Curve can be provided")</f>
        <v>Operator has supplied Geotech information from which a Load-Penetration Curve can be provided</v>
      </c>
      <c r="B36" s="824" t="str">
        <f>IF(Factors!$AL$4=2, "Explanation (to the right)", "Please attach Load-Penetration Curve for soils to at least half the spudcan diameter below expected penetration. Show stillwater and preload reactions on the curve")</f>
        <v>Please attach Load-Penetration Curve for soils to at least half the spudcan diameter below expected penetration. Show stillwater and preload reactions on the curve</v>
      </c>
      <c r="C36" s="745" t="str">
        <f>'LEASEHOLDER Provided Data'!G42</f>
        <v xml:space="preserve">Leaseholder 6: </v>
      </c>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row>
    <row r="37" spans="1:31" s="69" customFormat="1" ht="55.5" customHeight="1" x14ac:dyDescent="0.2">
      <c r="A37" s="807" t="str">
        <f>IF(Factors!$J$23=1,"The Geotech (soil) information supplied is sufficient to determine the soil charateristics over depth and foundation strength of the location", "The soil information is NOT sufficient to determine the soil characteristics over the depth and foundation strength of the location")</f>
        <v>The Geotech (soil) information supplied is sufficient to determine the soil charateristics over depth and foundation strength of the location</v>
      </c>
      <c r="B37" s="823" t="str">
        <f>IF(Factors!$J$23=2,"Explanation (to the right)","")</f>
        <v/>
      </c>
      <c r="C37" s="739" t="str">
        <f>LOCATION!$G$32</f>
        <v>Loc 2:</v>
      </c>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row>
    <row r="38" spans="1:31" s="69" customFormat="1" ht="55.5" customHeight="1" x14ac:dyDescent="0.2">
      <c r="A38" s="807" t="str">
        <f>IF(Factors!$J$27=1,"Operator supplied shallow hazards survey or Mesotech for jack-up optimal siting: NTL 2008-G05", "Operator has NOT supplies shallow hazards survey or Mesotech for jack-up optimal siting: NTL 2008-G05")</f>
        <v>Operator supplied shallow hazards survey or Mesotech for jack-up optimal siting: NTL 2008-G05</v>
      </c>
      <c r="B38" s="720" t="str">
        <f>IF(Factors!$J$27=2,"Explanation (to the right)","")</f>
        <v/>
      </c>
      <c r="C38" s="739" t="str">
        <f>'LEASEHOLDER Provided Data'!$G$43</f>
        <v>Leaseholder 7:</v>
      </c>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row>
    <row r="39" spans="1:31" s="69" customFormat="1" ht="55.5" customHeight="1" x14ac:dyDescent="0.2">
      <c r="A39" s="807" t="str">
        <f>IF(AND(Factors!$J$35=1,Factors!J109=1),"The cantilever will be stowed and the conductor supported during the storm", "Either cantilever is not stowed or conductor is not supported")</f>
        <v>The cantilever will be stowed and the conductor supported during the storm</v>
      </c>
      <c r="B39" s="720" t="str">
        <f>IF(OR(Factors!$J$35=2,Factors!J109=2),"Explanation (to the right)","")</f>
        <v/>
      </c>
      <c r="C39" s="739" t="str">
        <f>'LEASEHOLDER Provided Data'!$G$44</f>
        <v>Leaseholder 8:</v>
      </c>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row>
    <row r="40" spans="1:31" s="69" customFormat="1" ht="36.75" customHeight="1" thickBot="1" x14ac:dyDescent="0.25">
      <c r="A40" s="721" t="s">
        <v>683</v>
      </c>
      <c r="B40" s="419"/>
      <c r="C40" s="746">
        <f>'LEASEHOLDER Provided Data'!$E$45</f>
        <v>100</v>
      </c>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row>
    <row r="41" spans="1:31" s="69" customFormat="1" ht="20.25" customHeight="1" thickTop="1" thickBot="1" x14ac:dyDescent="0.25">
      <c r="A41" s="420"/>
      <c r="B41" s="421"/>
      <c r="C41" s="422"/>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row>
    <row r="42" spans="1:31" s="69" customFormat="1" ht="14.25" thickTop="1" thickBot="1" x14ac:dyDescent="0.25">
      <c r="A42" s="351" t="s">
        <v>476</v>
      </c>
      <c r="B42" s="25" t="s">
        <v>260</v>
      </c>
      <c r="C42" s="350" t="s">
        <v>659</v>
      </c>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row>
    <row r="43" spans="1:31" s="69" customFormat="1" ht="15" customHeight="1" thickTop="1" x14ac:dyDescent="0.2">
      <c r="A43" s="757" t="str">
        <f>IF(Factors!$J$47=1,"There has been a jack-up operating at this location before","There has NOT been a jack-up operating at this location before")</f>
        <v>There has been a jack-up operating at this location before</v>
      </c>
      <c r="B43" s="440"/>
      <c r="C43" s="840"/>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row>
    <row r="44" spans="1:31" s="69" customFormat="1" ht="29.25" customHeight="1" thickBot="1" x14ac:dyDescent="0.25">
      <c r="A44" s="773" t="str">
        <f>IF(AND(Factors!$J$47=1,Factors!$J$51=1),"A history of jack-up type and leg/mat penetrations at this location has been been provided",IF(Factors!$J$47=1,"A history of jack-up type and leg/mat penetrations at this location has NOT been provided","Please ignore"))</f>
        <v>A history of jack-up type and leg/mat penetrations at this location has been been provided</v>
      </c>
      <c r="B44" s="756" t="str">
        <f>IF(AND(Factors!$J$47=1,Factors!$J$51=2),"Explanation (to the right)","")</f>
        <v/>
      </c>
      <c r="C44" s="748" t="str">
        <f>'LEASEHOLDER Provided Data'!$G$49</f>
        <v>Leaseholder 9:</v>
      </c>
      <c r="E44" s="157" t="s">
        <v>222</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row>
    <row r="45" spans="1:31" s="69" customFormat="1" ht="14.25" thickTop="1" thickBot="1" x14ac:dyDescent="0.25">
      <c r="A45" s="107" t="s">
        <v>498</v>
      </c>
      <c r="B45" s="107" t="s">
        <v>260</v>
      </c>
      <c r="C45" s="662" t="s">
        <v>659</v>
      </c>
      <c r="E45" s="157"/>
      <c r="F45" s="314" t="s">
        <v>222</v>
      </c>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row>
    <row r="46" spans="1:31" s="69" customFormat="1" ht="21" customHeight="1" thickTop="1" x14ac:dyDescent="0.2">
      <c r="A46" s="423" t="s">
        <v>483</v>
      </c>
      <c r="B46" s="747" t="str">
        <f>IF(Factors!$J$57=1,"API RP 95J",IF(Factors!$J$57=2,"API INT-MET with Contingency",IF(Factors!$J$57=3,"API INT-MET without Contingency",(IF(Factors!J57=4,"Site Specific Values","Error")))))</f>
        <v>API RP 95J</v>
      </c>
      <c r="C46" s="663"/>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31" s="69" customFormat="1" ht="21" customHeight="1" x14ac:dyDescent="0.2">
      <c r="A47" s="255" t="s">
        <v>261</v>
      </c>
      <c r="B47" s="742" t="str">
        <f>IF(METOCEAN!$C$8= "Complies with API 95J", "YES", "Does Not Comply with API 95J")</f>
        <v>YES</v>
      </c>
      <c r="C47" s="575"/>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row>
    <row r="48" spans="1:31" s="69" customFormat="1" ht="21" customHeight="1" x14ac:dyDescent="0.2">
      <c r="A48" s="255" t="s">
        <v>721</v>
      </c>
      <c r="B48" s="742" t="str">
        <f>METOCEAN!C14</f>
        <v>Please Ignore</v>
      </c>
      <c r="C48" s="575"/>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s="69" customFormat="1" ht="21" customHeight="1" x14ac:dyDescent="0.2">
      <c r="A49" s="658" t="s">
        <v>587</v>
      </c>
      <c r="B49" s="743" t="str">
        <f>METOCEAN!C11</f>
        <v>NO</v>
      </c>
      <c r="C49" s="575"/>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row>
    <row r="50" spans="1:31" s="69" customFormat="1" ht="21" customHeight="1" x14ac:dyDescent="0.2">
      <c r="A50" s="658" t="s">
        <v>420</v>
      </c>
      <c r="B50" s="742" t="str">
        <f>METOCEAN!C12</f>
        <v>YES</v>
      </c>
      <c r="C50" s="575"/>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row>
    <row r="51" spans="1:31" s="69" customFormat="1" ht="21" customHeight="1" x14ac:dyDescent="0.2">
      <c r="A51" s="255" t="s">
        <v>719</v>
      </c>
      <c r="B51" s="742" t="str">
        <f>METOCEAN!C13</f>
        <v>YES</v>
      </c>
      <c r="C51" s="575"/>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row>
    <row r="52" spans="1:31" s="69" customFormat="1" ht="21" customHeight="1" x14ac:dyDescent="0.2">
      <c r="A52" s="255" t="s">
        <v>484</v>
      </c>
      <c r="B52" s="742" t="str">
        <f>METOCEAN!$C$14</f>
        <v>Please Ignore</v>
      </c>
      <c r="C52" s="575"/>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s="69" customFormat="1" ht="21" customHeight="1" thickBot="1" x14ac:dyDescent="0.25">
      <c r="A53" s="424" t="s">
        <v>505</v>
      </c>
      <c r="B53" s="744" t="str">
        <f>IF(STRUCTURE!$G$5&lt;6, "Leg Length is &gt; Limits: Explain", "Leg Length OK")</f>
        <v>Leg Length OK</v>
      </c>
      <c r="C53" s="57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row>
    <row r="54" spans="1:31" s="69" customFormat="1" ht="14.25" thickTop="1" thickBot="1" x14ac:dyDescent="0.25">
      <c r="A54" s="425"/>
      <c r="B54" s="426"/>
      <c r="C54" s="664"/>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s="69" customFormat="1" ht="14.25" thickTop="1" thickBot="1" x14ac:dyDescent="0.25">
      <c r="A55" s="383" t="s">
        <v>500</v>
      </c>
      <c r="B55" s="107" t="s">
        <v>260</v>
      </c>
      <c r="C55" s="662" t="s">
        <v>659</v>
      </c>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row>
    <row r="56" spans="1:31" s="69" customFormat="1" ht="47.25" customHeight="1" thickTop="1" x14ac:dyDescent="0.2">
      <c r="A56" s="841" t="str">
        <f>IF(Factors!$J$76=1,"Jack-Up meets the Structural  requirements of the SNAME GoM Annex (both Assessment and Contingency curves)","Jack-Up does NOT meet the requirements of the SNAME GoM Annex (both Assessment and Contingency curves)")</f>
        <v>Jack-Up meets the Structural  requirements of the SNAME GoM Annex (both Assessment and Contingency curves)</v>
      </c>
      <c r="B56" s="824" t="str">
        <f>IF(Factors!$J$76=2, "Explanation (to the right)","OK")</f>
        <v>OK</v>
      </c>
      <c r="C56" s="749" t="str">
        <f>LOCATION!G37</f>
        <v xml:space="preserve">Loc 4:  </v>
      </c>
      <c r="E56" s="157" t="s">
        <v>222</v>
      </c>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s="69" customFormat="1" ht="47.25" customHeight="1" thickBot="1" x14ac:dyDescent="0.25">
      <c r="A57" s="842" t="s">
        <v>422</v>
      </c>
      <c r="B57" s="752" t="str">
        <f>IF(Factors!$AE$14&lt;4,VLOOKUP(Factors!$Y$40,Factors!$X$37:$Y$39,2),VLOOKUP(Factors!$AA$40,Factors!$Z$37:$AA$39,2))</f>
        <v>Estimated *</v>
      </c>
      <c r="C57" s="750" t="str">
        <f>IF(Factors!$AE$14&lt;4,STRUCTURE!$G$38,STRUCTURE!$H$38)</f>
        <v>Structure Factor 2</v>
      </c>
      <c r="E57" s="751"/>
      <c r="F57" s="389"/>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row>
    <row r="58" spans="1:31" s="69" customFormat="1" ht="36" customHeight="1" thickTop="1" thickBot="1" x14ac:dyDescent="0.25">
      <c r="A58" s="429"/>
      <c r="B58" s="430" t="str">
        <f>IF(B22="LOW CONSEQUENCE FROM INFRASTRUCTURE","",IF(AND(B57="Calculated *",B22="MEDIUM CONSEQUENCE FROM INFRASTRUCTURE"),"",IF(AND(B57="Calculated *",B22="HIGH CONSEQUENCE FROM INFRASTRUCTURE"),"","Warning: Calculated Values Required as High or Medium Consequence location")))</f>
        <v/>
      </c>
      <c r="C58" s="665"/>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row>
    <row r="59" spans="1:31" s="173" customFormat="1" ht="22.5" customHeight="1" thickTop="1" thickBot="1" x14ac:dyDescent="0.25">
      <c r="A59" s="843" t="s">
        <v>540</v>
      </c>
      <c r="B59" s="100" t="s">
        <v>260</v>
      </c>
      <c r="C59" s="659" t="s">
        <v>659</v>
      </c>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row>
    <row r="60" spans="1:31" s="69" customFormat="1" ht="48.75" customHeight="1" thickTop="1" x14ac:dyDescent="0.2">
      <c r="A60" s="760" t="str">
        <f>IF(Factors!J6=2,"Mat Rig: Please ignore",IF(GEOTECH!$B$15&gt;1000,"Geotech information is&gt;1000 ft distance away from the location","Geotech information is &lt;1000 ft from location"))</f>
        <v>Geotech information is &lt;1000 ft from location</v>
      </c>
      <c r="B60" s="688" t="str">
        <f>IF(Factors!J6=2,"",IF('LEASEHOLDER Provided Data'!E53&lt;1000,"","Explanation: "))</f>
        <v/>
      </c>
      <c r="C60" s="739" t="str">
        <f>IF(Factors!J6=2,"",GEOTECH!$D$15)</f>
        <v>Leaseholder 10:</v>
      </c>
      <c r="E60" s="157" t="s">
        <v>222</v>
      </c>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row>
    <row r="61" spans="1:31" s="69" customFormat="1" ht="48.75" customHeight="1" x14ac:dyDescent="0.2">
      <c r="A61" s="760" t="str">
        <f>IF(Factors!J6=2,"Mat Rig: Please ignore",IF(AND('LEASEHOLDER Provided Data'!E53&gt;1000,Factors!$J$58=2),"Geotech info is &gt;1000 ft and no tieback","Tieback of soil MAY not be required"))</f>
        <v>Tieback of soil MAY not be required</v>
      </c>
      <c r="B61" s="161"/>
      <c r="C61" s="739" t="str">
        <f>IF(Factors!J6=2,"",GEOTECH!D16)</f>
        <v>Leaseholder 13:</v>
      </c>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row>
    <row r="62" spans="1:31" s="69" customFormat="1" ht="48.75" customHeight="1" x14ac:dyDescent="0.2">
      <c r="A62" s="759" t="str">
        <f>IF(Factors!J6=2,"Mat Rig: Please ignore",IF(Factors!$AL$6=1,"Potential for punchthru during storm","Jack-up punchthrough during storm is NOT anticipated"))</f>
        <v>Jack-up punchthrough during storm is NOT anticipated</v>
      </c>
      <c r="B62" s="742" t="str">
        <f>IF(Factors!J6=2,"",IF(Factors!$AL$6=1,"Controls Explained (to the right)","Please ignore"))</f>
        <v>Please ignore</v>
      </c>
      <c r="C62" s="739" t="str">
        <f>IF(Factors!J6=2,"",GEOTECH!$D$23)</f>
        <v>Geotech 4: this is ind leg</v>
      </c>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row>
    <row r="63" spans="1:31" s="69" customFormat="1" ht="48.75" customHeight="1" x14ac:dyDescent="0.2">
      <c r="A63" s="761" t="str">
        <f>IF(Factors!J6=2,"Mat Rig: Please ignore","Settlement in Contingency storm")</f>
        <v>Settlement in Contingency storm</v>
      </c>
      <c r="B63" s="742" t="str">
        <f>IF(Factors!J6=2,"",IF(Factors!$AL$12=1,"Settlement in Contingency Case is = or &lt; 4ft","Settlement in Contingency case may be &gt; 4 ft"))</f>
        <v>Settlement in Contingency Case is = or &lt; 4ft</v>
      </c>
      <c r="C63" s="739" t="str">
        <f>IF(Factors!J6=2,"",LOCATION!$G$42)</f>
        <v xml:space="preserve">Loc 6: </v>
      </c>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row>
    <row r="64" spans="1:31" s="69" customFormat="1" ht="48.75" customHeight="1" x14ac:dyDescent="0.2">
      <c r="A64" s="762" t="str">
        <f>IF(Factors!J6=2,"Mat Rig: Please ignore",IF(Factors!$J$6=1,IF(Factors!$J$92=2,"The soil limits of the sand are as follows:","Please Ignore"),"Please Ignore"))</f>
        <v>Please Ignore</v>
      </c>
      <c r="B64" s="92"/>
      <c r="C64" s="739" t="e">
        <f>IF(Factors!J6=2,"",GEOTECH!#REF!)</f>
        <v>#REF!</v>
      </c>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row>
    <row r="65" spans="1:31" s="69" customFormat="1" ht="48.75" customHeight="1" x14ac:dyDescent="0.2">
      <c r="A65" s="759" t="str">
        <f>IF(Factors!J6=2,"Mat Rig: Please ignore", "Calculated Load-Penetration Curve")</f>
        <v>Calculated Load-Penetration Curve</v>
      </c>
      <c r="B65" s="743" t="str">
        <f>IF(Factors!J6=2,"",IF(Factors!J80=1,"Submit Load-Penetration Curve annotated as described","Load-Penetration Curve was NOT provided"))</f>
        <v>Submit Load-Penetration Curve annotated as described</v>
      </c>
      <c r="C65" s="739" t="str">
        <f>IF(Factors!J6=2,"",GEOTECH!D17)</f>
        <v>Geotech 3:</v>
      </c>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row>
    <row r="66" spans="1:31" s="69" customFormat="1" ht="48.75" customHeight="1" thickBot="1" x14ac:dyDescent="0.25">
      <c r="A66" s="243" t="str">
        <f>IF(Factors!J6=2,"Mat Rig: Please ignore","Settlement in Survival storm")</f>
        <v>Settlement in Survival storm</v>
      </c>
      <c r="B66" s="758" t="str">
        <f>IF(Factors!J6=2,"",IF(Factors!J86=1,"Settlement in Survival storm is = or &lt; 6ft","Settlement in Survival storm may be &gt; 6ft"))</f>
        <v>Settlement in Survival storm is = or &lt; 6ft</v>
      </c>
      <c r="C66" s="753" t="str">
        <f>IF(Factors!J6=2,"",LOCATION!$G$43)</f>
        <v xml:space="preserve">Loc 7: </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row>
    <row r="67" spans="1:31" s="69" customFormat="1" ht="48.75" customHeight="1" thickTop="1" x14ac:dyDescent="0.2">
      <c r="A67" s="255" t="str">
        <f>IF(Factors!J6=2,"Mat Rig: Please ignore","Comment on Potential Scour: ")</f>
        <v xml:space="preserve">Comment on Potential Scour: </v>
      </c>
      <c r="B67" s="742" t="str">
        <f>IF(Factors!J6=2,"",IF(GEOTECH!$C$18="Explain potential for and protection against Scour","Potential to Scour explained to the right","None"))</f>
        <v>None</v>
      </c>
      <c r="C67" s="739" t="str">
        <f>IF(Factors!J6=2,"",GEOTECH!D18)</f>
        <v xml:space="preserve">Loc 8: </v>
      </c>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row>
    <row r="68" spans="1:31" s="69" customFormat="1" ht="48.75" customHeight="1" thickBot="1" x14ac:dyDescent="0.25">
      <c r="A68" s="373" t="str">
        <f>IF(Factors!J6=2,"Mat Rig: Please ignore","Further Explanation of any consequence of sideways or sway movement:")</f>
        <v>Further Explanation of any consequence of sideways or sway movement:</v>
      </c>
      <c r="B68" s="419"/>
      <c r="C68" s="754" t="str">
        <f>IF(Factors!J6=1,'LEASEHOLDER Provided Data'!$E$36,"")</f>
        <v xml:space="preserve">Leaseholder 3 :  </v>
      </c>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row>
    <row r="69" spans="1:31" s="69" customFormat="1" ht="22.5" customHeight="1" thickTop="1" thickBot="1" x14ac:dyDescent="0.25">
      <c r="A69" s="428"/>
      <c r="B69" s="421"/>
      <c r="C69" s="665"/>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row>
    <row r="70" spans="1:31" s="108" customFormat="1" ht="22.5" customHeight="1" thickTop="1" thickBot="1" x14ac:dyDescent="0.25">
      <c r="A70" s="858" t="s">
        <v>502</v>
      </c>
      <c r="B70" s="100" t="s">
        <v>260</v>
      </c>
      <c r="C70" s="659" t="s">
        <v>659</v>
      </c>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row>
    <row r="71" spans="1:31" s="69" customFormat="1" ht="48.75" customHeight="1" thickTop="1" x14ac:dyDescent="0.2">
      <c r="A71" s="763" t="str">
        <f>IF(Factors!J6=1,"Independent Leg Rig: Please ignore",IF(GEOTECH!$B$28&gt;1000,"Geotech information is&gt;1000 ft distance away from the location","Geotech information is &lt;1000 ft from location"))</f>
        <v>Independent Leg Rig: Please ignore</v>
      </c>
      <c r="B71" s="722" t="str">
        <f>IF(Factors!J6=1,"",IF('LEASEHOLDER Provided Data'!E53&lt;1000,"","Explanation: "))</f>
        <v/>
      </c>
      <c r="C71" s="755" t="str">
        <f>IF(Factors!J6=1,"",GEOTECH!$D$28)</f>
        <v/>
      </c>
      <c r="D71" s="668"/>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1:31" s="69" customFormat="1" ht="48.75" customHeight="1" x14ac:dyDescent="0.2">
      <c r="A72" s="760" t="str">
        <f>IF(Factors!J6=1,"Independent Leg Rig: Please ignore",IF(Factors!J62=1,"Soil information is of sufficient depth","Soil information may be insufficient depth for analysis"))</f>
        <v>Independent Leg Rig: Please ignore</v>
      </c>
      <c r="B72" s="743" t="s">
        <v>222</v>
      </c>
      <c r="C72" s="739" t="str">
        <f>IF(Factors!J6=1,"",GEOTECH!$D$37)</f>
        <v/>
      </c>
      <c r="D72" s="668"/>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row>
    <row r="73" spans="1:31" s="69" customFormat="1" ht="48.75" customHeight="1" x14ac:dyDescent="0.2">
      <c r="A73" s="764" t="str">
        <f>IF(Factors!J6=1,"Independent Leg Rig: Please ignore",IF(GEOTECH!C29="Detailed Soil safety factor submission required or Explain","Comment on Potential Sliding since shear strength &lt;100 psf and this is a High or Medium Consequence Location","Sliding less Likely as Shear Strength &gt;100 psf OR this is a Low Consequence Location"))</f>
        <v>Independent Leg Rig: Please ignore</v>
      </c>
      <c r="B73" s="402" t="str">
        <f>IF(Factors!J6=1,"",IF(A73="Sliding less Likely as Shear Strength &gt;100 psf OR this is a Low Consequence Location","","Detailed Soil Safety Factor Submission Required"))</f>
        <v/>
      </c>
      <c r="C73" s="740" t="str">
        <f>IF(Factors!J6=1,"",GEOTECH!D29)</f>
        <v/>
      </c>
      <c r="D73" s="668"/>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1:31" s="69" customFormat="1" ht="48.75" customHeight="1" x14ac:dyDescent="0.2">
      <c r="A74" s="240" t="str">
        <f>IF(Factors!J6=1,"Independent Leg Rig: Please ignore","Sliding condition if checked")</f>
        <v>Independent Leg Rig: Please ignore</v>
      </c>
      <c r="B74" s="345" t="str">
        <f>IF(Factors!J6=1,"",IF(AND(Factors!$J$6=2,$B$22="low Consequence from infrastructure"),"Safety Factor Calculation not Compulsory","Safety Factor on Sliding calculated as"))</f>
        <v/>
      </c>
      <c r="C74" s="739" t="str">
        <f>IF(Factors!J6=1,"",GEOTECH!D31)</f>
        <v/>
      </c>
      <c r="D74" s="668"/>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row>
    <row r="75" spans="1:31" s="69" customFormat="1" ht="48.75" customHeight="1" x14ac:dyDescent="0.2">
      <c r="A75" s="240" t="str">
        <f>IF(Factors!J6=1,"Independent Leg Rig: Please ignore","Overturning potential if checked")</f>
        <v>Independent Leg Rig: Please ignore</v>
      </c>
      <c r="B75" s="345" t="str">
        <f>IF(Factors!J6=1,"",IF(AND(Factors!$J$6=2,$B$22="LOW Consequence FROM INFRASTRUCTURE"),"Safety Factor Calculation not Compulsory","Safety Factor on Overturning calculated as"))</f>
        <v/>
      </c>
      <c r="C75" s="739" t="str">
        <f>IF(Factors!J6=1,"",GEOTECH!D32)</f>
        <v/>
      </c>
      <c r="D75" s="668"/>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row>
    <row r="76" spans="1:31" s="69" customFormat="1" ht="48.75" customHeight="1" x14ac:dyDescent="0.2">
      <c r="A76" s="178" t="str">
        <f>IF(Factors!J6=1,"Independent Leg Rig: Please ignore","If Consequence is High or Medium and sliding may impact infrastructure, and you wish to supply explanation as to why this return period is an acceptable Consequence, please do so here:"   )</f>
        <v>Independent Leg Rig: Please ignore</v>
      </c>
      <c r="B76" s="1197"/>
      <c r="C76" s="1198"/>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row>
    <row r="77" spans="1:31" s="69" customFormat="1" ht="48.75" customHeight="1" x14ac:dyDescent="0.2">
      <c r="A77" s="178" t="str">
        <f>IF(Factors!J6=1,"Independent Leg Rig: Please ignore","Comment on Potential Scour on sand bottom in high current or breaking wave area")</f>
        <v>Independent Leg Rig: Please ignore</v>
      </c>
      <c r="B77" s="742" t="str">
        <f>IF(Factors!J6=1,"",IF(LOCATION!F49="Explain potential to scour","Potential to Scour explained to the right","Not Likely"))</f>
        <v/>
      </c>
      <c r="C77" s="739" t="str">
        <f>IF(Factors!J6=1,"",GEOTECH!$D$33)</f>
        <v/>
      </c>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row>
    <row r="78" spans="1:31" s="69" customFormat="1" ht="48.75" customHeight="1" thickBot="1" x14ac:dyDescent="0.25">
      <c r="A78" s="243" t="str">
        <f>IF(Factors!J6=1,"Independent Leg Rig: Please ignore","Comment on Consequences of the rig sliding")</f>
        <v>Independent Leg Rig: Please ignore</v>
      </c>
      <c r="B78" s="427"/>
      <c r="C78" s="753" t="str">
        <f>IF(Factors!J6=2,'LEASEHOLDER Provided Data'!$E$36,"")</f>
        <v/>
      </c>
    </row>
    <row r="79" spans="1:31" s="69" customFormat="1" ht="22.5" customHeight="1" thickTop="1" thickBot="1" x14ac:dyDescent="0.25">
      <c r="A79" s="98"/>
      <c r="B79" s="253"/>
      <c r="C79" s="666"/>
    </row>
    <row r="80" spans="1:31" s="69" customFormat="1" ht="22.5" customHeight="1" thickTop="1" thickBot="1" x14ac:dyDescent="0.25">
      <c r="A80" s="252" t="s">
        <v>645</v>
      </c>
      <c r="B80" s="236" t="s">
        <v>647</v>
      </c>
      <c r="C80" s="667" t="s">
        <v>659</v>
      </c>
    </row>
    <row r="81" spans="1:3" s="69" customFormat="1" ht="48.75" customHeight="1" thickTop="1" x14ac:dyDescent="0.2">
      <c r="A81" s="757" t="s">
        <v>424</v>
      </c>
      <c r="B81" s="431" t="str">
        <f>IF(Factors!$J$31=2,"Explanation (to the right)","")</f>
        <v/>
      </c>
      <c r="C81" s="755" t="str">
        <f>'OPTIONAL NTL INFO'!$G$9</f>
        <v>Optional 1:</v>
      </c>
    </row>
    <row r="82" spans="1:3" s="69" customFormat="1" ht="48.75" customHeight="1" x14ac:dyDescent="0.2">
      <c r="A82" s="176" t="s">
        <v>380</v>
      </c>
      <c r="B82" s="384" t="s">
        <v>485</v>
      </c>
      <c r="C82" s="739" t="str">
        <f>'OPTIONAL NTL INFO'!$G$10</f>
        <v xml:space="preserve">Optional 2: </v>
      </c>
    </row>
    <row r="83" spans="1:3" s="69" customFormat="1" ht="45" customHeight="1" thickBot="1" x14ac:dyDescent="0.25">
      <c r="A83" s="879" t="s">
        <v>423</v>
      </c>
      <c r="B83" s="756" t="s">
        <v>485</v>
      </c>
      <c r="C83" s="753" t="str">
        <f>'OPTIONAL NTL INFO'!$G$11</f>
        <v xml:space="preserve">Optional 3: </v>
      </c>
    </row>
    <row r="84" spans="1:3" ht="13.5" thickTop="1" x14ac:dyDescent="0.2">
      <c r="A84" s="160"/>
      <c r="B84" s="87"/>
    </row>
    <row r="85" spans="1:3" x14ac:dyDescent="0.2">
      <c r="A85" s="160"/>
      <c r="B85" s="87"/>
    </row>
    <row r="86" spans="1:3" x14ac:dyDescent="0.2">
      <c r="A86" s="160"/>
      <c r="B86" s="87"/>
    </row>
    <row r="87" spans="1:3" x14ac:dyDescent="0.2">
      <c r="A87" s="160"/>
      <c r="B87" s="87"/>
    </row>
    <row r="88" spans="1:3" x14ac:dyDescent="0.2">
      <c r="A88" s="160"/>
      <c r="B88" s="87"/>
    </row>
    <row r="89" spans="1:3" x14ac:dyDescent="0.2">
      <c r="A89" s="160"/>
      <c r="B89" s="87"/>
    </row>
    <row r="90" spans="1:3" x14ac:dyDescent="0.2">
      <c r="A90" s="160"/>
      <c r="B90" s="87"/>
    </row>
    <row r="91" spans="1:3" x14ac:dyDescent="0.2">
      <c r="A91" s="160"/>
      <c r="B91" s="87"/>
    </row>
    <row r="92" spans="1:3" x14ac:dyDescent="0.2">
      <c r="A92" s="160"/>
      <c r="B92" s="87"/>
    </row>
    <row r="93" spans="1:3" x14ac:dyDescent="0.2">
      <c r="A93" s="160"/>
      <c r="B93" s="87"/>
    </row>
    <row r="94" spans="1:3" x14ac:dyDescent="0.2">
      <c r="A94" s="160"/>
      <c r="B94" s="87"/>
    </row>
    <row r="95" spans="1:3" x14ac:dyDescent="0.2">
      <c r="A95" s="160"/>
      <c r="B95" s="87"/>
    </row>
    <row r="96" spans="1:3" x14ac:dyDescent="0.2">
      <c r="A96" s="160"/>
      <c r="B96" s="87"/>
    </row>
    <row r="97" spans="1:2" x14ac:dyDescent="0.2">
      <c r="A97" s="160"/>
      <c r="B97" s="87"/>
    </row>
    <row r="98" spans="1:2" x14ac:dyDescent="0.2">
      <c r="A98" s="160"/>
      <c r="B98" s="87"/>
    </row>
    <row r="99" spans="1:2" x14ac:dyDescent="0.2">
      <c r="A99" s="160"/>
      <c r="B99" s="87"/>
    </row>
    <row r="100" spans="1:2" x14ac:dyDescent="0.2">
      <c r="A100" s="160"/>
      <c r="B100" s="87"/>
    </row>
    <row r="101" spans="1:2" x14ac:dyDescent="0.2">
      <c r="A101" s="160"/>
    </row>
  </sheetData>
  <sheetProtection formatRows="0"/>
  <mergeCells count="5">
    <mergeCell ref="F32:H32"/>
    <mergeCell ref="B76:C76"/>
    <mergeCell ref="B30:C30"/>
    <mergeCell ref="A27:A28"/>
    <mergeCell ref="C27:C28"/>
  </mergeCells>
  <phoneticPr fontId="4" type="noConversion"/>
  <conditionalFormatting sqref="C81:C83 C71:C75 C77 C67:C69 B79:C79 C60:C65 B57:C57 C43:C44 C35:C41 E57:F57 C27 B29:C29 D26 B13:B17 B4:B11">
    <cfRule type="cellIs" dxfId="86" priority="1" stopIfTrue="1" operator="equal">
      <formula>0</formula>
    </cfRule>
  </conditionalFormatting>
  <conditionalFormatting sqref="A70">
    <cfRule type="cellIs" dxfId="85" priority="2" stopIfTrue="1" operator="equal">
      <formula>"Settlement in Survival storm is &lt; 4ft"</formula>
    </cfRule>
    <cfRule type="cellIs" priority="3" stopIfTrue="1" operator="equal">
      <formula>"Settlement in Survival storm is &gt; 4ft"</formula>
    </cfRule>
  </conditionalFormatting>
  <conditionalFormatting sqref="B68:B69 B78 B64 B61 B40:B41">
    <cfRule type="cellIs" dxfId="84" priority="4" stopIfTrue="1" operator="equal">
      <formula>"Explanation (to the right)"</formula>
    </cfRule>
  </conditionalFormatting>
  <conditionalFormatting sqref="B76">
    <cfRule type="cellIs" dxfId="83" priority="5" stopIfTrue="1" operator="equal">
      <formula>"winter"</formula>
    </cfRule>
    <cfRule type="cellIs" dxfId="82" priority="6" stopIfTrue="1" operator="equal">
      <formula>"Operating Manual Condition"</formula>
    </cfRule>
    <cfRule type="cellIs" dxfId="81" priority="7" stopIfTrue="1" operator="equal">
      <formula>"Other Specified"</formula>
    </cfRule>
  </conditionalFormatting>
  <conditionalFormatting sqref="B71">
    <cfRule type="cellIs" dxfId="80" priority="8" stopIfTrue="1" operator="equal">
      <formula>"Explanation: "</formula>
    </cfRule>
    <cfRule type="cellIs" dxfId="79" priority="9" stopIfTrue="1" operator="equal">
      <formula>""</formula>
    </cfRule>
  </conditionalFormatting>
  <conditionalFormatting sqref="B67">
    <cfRule type="cellIs" dxfId="78" priority="10" stopIfTrue="1" operator="equal">
      <formula>"Potential to Scour explained to the right"</formula>
    </cfRule>
    <cfRule type="cellIs" dxfId="77" priority="11" stopIfTrue="1" operator="equal">
      <formula>"None"</formula>
    </cfRule>
  </conditionalFormatting>
  <conditionalFormatting sqref="B81">
    <cfRule type="cellIs" dxfId="76" priority="12" stopIfTrue="1" operator="equal">
      <formula>""</formula>
    </cfRule>
  </conditionalFormatting>
  <conditionalFormatting sqref="B73">
    <cfRule type="cellIs" dxfId="75" priority="13" stopIfTrue="1" operator="equal">
      <formula>"Detailed Soil Safety Factor Submission Required"</formula>
    </cfRule>
    <cfRule type="cellIs" dxfId="74" priority="14" stopIfTrue="1" operator="notEqual">
      <formula>"Detailed Soil Safety Factor Submission Required"</formula>
    </cfRule>
  </conditionalFormatting>
  <conditionalFormatting sqref="B72">
    <cfRule type="cellIs" dxfId="73" priority="15" stopIfTrue="1" operator="equal">
      <formula>"Soil information may be insufficient depth for analysis"</formula>
    </cfRule>
    <cfRule type="cellIs" dxfId="72" priority="16" stopIfTrue="1" operator="equal">
      <formula>"Soil information is of sufficient depth"</formula>
    </cfRule>
    <cfRule type="cellIs" dxfId="71" priority="17" stopIfTrue="1" operator="equal">
      <formula>"Independent Leg Rig: Please ignore"</formula>
    </cfRule>
  </conditionalFormatting>
  <conditionalFormatting sqref="B77">
    <cfRule type="cellIs" dxfId="70" priority="18" stopIfTrue="1" operator="equal">
      <formula>"Potential to Scour explained to the right"</formula>
    </cfRule>
    <cfRule type="cellIs" dxfId="69" priority="19" stopIfTrue="1" operator="equal">
      <formula>"Not Likely"</formula>
    </cfRule>
  </conditionalFormatting>
  <conditionalFormatting sqref="A65">
    <cfRule type="cellIs" dxfId="68" priority="20" stopIfTrue="1" operator="equal">
      <formula>"Load Penetration curve was not provided"</formula>
    </cfRule>
    <cfRule type="cellIs" dxfId="67" priority="21" stopIfTrue="1" operator="equal">
      <formula>"Load Penetration curve was provided"</formula>
    </cfRule>
  </conditionalFormatting>
  <conditionalFormatting sqref="A59">
    <cfRule type="cellIs" dxfId="66" priority="22" stopIfTrue="1" operator="equal">
      <formula>"winter"</formula>
    </cfRule>
    <cfRule type="cellIs" dxfId="65" priority="23" stopIfTrue="1" operator="equal">
      <formula>"Operating Manual Condition"</formula>
    </cfRule>
    <cfRule type="cellIs" dxfId="64" priority="24" stopIfTrue="1" operator="equal">
      <formula>"Other Specified"</formula>
    </cfRule>
  </conditionalFormatting>
  <conditionalFormatting sqref="B60">
    <cfRule type="cellIs" dxfId="63" priority="25" stopIfTrue="1" operator="equal">
      <formula>""</formula>
    </cfRule>
    <cfRule type="cellIs" dxfId="62" priority="26" stopIfTrue="1" operator="equal">
      <formula>"Explanation: "</formula>
    </cfRule>
  </conditionalFormatting>
  <conditionalFormatting sqref="B39 B44">
    <cfRule type="cellIs" dxfId="61" priority="27" stopIfTrue="1" operator="equal">
      <formula>"Explanation (to the right)"</formula>
    </cfRule>
    <cfRule type="cellIs" dxfId="60" priority="28" stopIfTrue="1" operator="equal">
      <formula>""</formula>
    </cfRule>
  </conditionalFormatting>
  <conditionalFormatting sqref="B62">
    <cfRule type="cellIs" dxfId="59" priority="29" stopIfTrue="1" operator="equal">
      <formula>"Controls Explained (to the right)"</formula>
    </cfRule>
    <cfRule type="cellIs" dxfId="58" priority="30" stopIfTrue="1" operator="equal">
      <formula>""</formula>
    </cfRule>
  </conditionalFormatting>
  <conditionalFormatting sqref="B58">
    <cfRule type="cellIs" dxfId="57" priority="31" stopIfTrue="1" operator="equal">
      <formula>"Warning: Calculated Values Required as High or Medium CONSEQUENCE location"</formula>
    </cfRule>
  </conditionalFormatting>
  <conditionalFormatting sqref="B66">
    <cfRule type="cellIs" dxfId="56" priority="32" stopIfTrue="1" operator="equal">
      <formula>"Settlement in Survival storm may be &gt; 6ft"</formula>
    </cfRule>
    <cfRule type="cellIs" dxfId="55" priority="33" stopIfTrue="1" operator="equal">
      <formula>"Settlement in Survival storm is = or &lt; 6ft"</formula>
    </cfRule>
  </conditionalFormatting>
  <conditionalFormatting sqref="B38">
    <cfRule type="cellIs" dxfId="54" priority="34" stopIfTrue="1" operator="equal">
      <formula>"Explanation (to the right)"</formula>
    </cfRule>
    <cfRule type="cellIs" dxfId="53" priority="35" stopIfTrue="1" operator="equal">
      <formula>""</formula>
    </cfRule>
  </conditionalFormatting>
  <conditionalFormatting sqref="C31 C58">
    <cfRule type="cellIs" dxfId="52" priority="36" stopIfTrue="1" operator="equal">
      <formula>0</formula>
    </cfRule>
  </conditionalFormatting>
  <conditionalFormatting sqref="C32 E32:E33 K32:M32 L33:M33">
    <cfRule type="cellIs" dxfId="51" priority="37" stopIfTrue="1" operator="equal">
      <formula>""</formula>
    </cfRule>
    <cfRule type="cellIs" dxfId="50" priority="38" stopIfTrue="1" operator="equal">
      <formula>"please Explain"</formula>
    </cfRule>
  </conditionalFormatting>
  <conditionalFormatting sqref="B31:B33 C33">
    <cfRule type="cellIs" dxfId="49" priority="39" stopIfTrue="1" operator="equal">
      <formula>"YES"</formula>
    </cfRule>
    <cfRule type="cellIs" dxfId="48" priority="40" stopIfTrue="1" operator="equal">
      <formula>"not IN MUDSLIDE ZONE"</formula>
    </cfRule>
  </conditionalFormatting>
  <conditionalFormatting sqref="B35">
    <cfRule type="cellIs" dxfId="47" priority="41" stopIfTrue="1" operator="equal">
      <formula>"Explanation (to the right)"</formula>
    </cfRule>
    <cfRule type="cellIs" dxfId="46" priority="42" stopIfTrue="1" operator="equal">
      <formula>""</formula>
    </cfRule>
  </conditionalFormatting>
  <conditionalFormatting sqref="B54:C54">
    <cfRule type="cellIs" dxfId="45" priority="43" stopIfTrue="1" operator="equal">
      <formula>"Leg Length OK"</formula>
    </cfRule>
    <cfRule type="cellIs" dxfId="44" priority="44" stopIfTrue="1" operator="equal">
      <formula>"Leg Length is &gt; Limits: Explain"</formula>
    </cfRule>
  </conditionalFormatting>
  <conditionalFormatting sqref="C47">
    <cfRule type="cellIs" dxfId="43" priority="45" stopIfTrue="1" operator="equal">
      <formula>"Does Not Comply with API 95J"</formula>
    </cfRule>
    <cfRule type="cellIs" dxfId="42" priority="46" stopIfTrue="1" operator="equal">
      <formula>"Cinokues with API 95J"</formula>
    </cfRule>
  </conditionalFormatting>
  <conditionalFormatting sqref="B27:B28">
    <cfRule type="cellIs" dxfId="41" priority="47" stopIfTrue="1" operator="equal">
      <formula>"none"</formula>
    </cfRule>
  </conditionalFormatting>
  <conditionalFormatting sqref="B47">
    <cfRule type="cellIs" dxfId="40" priority="48" stopIfTrue="1" operator="equal">
      <formula>"YES"</formula>
    </cfRule>
    <cfRule type="cellIs" dxfId="39" priority="49" stopIfTrue="1" operator="equal">
      <formula>"Does Not Comply with API 95j"</formula>
    </cfRule>
  </conditionalFormatting>
  <conditionalFormatting sqref="B50:B51">
    <cfRule type="cellIs" dxfId="38" priority="50" stopIfTrue="1" operator="equal">
      <formula>"YES"</formula>
    </cfRule>
    <cfRule type="cellIs" dxfId="37" priority="51" stopIfTrue="1" operator="equal">
      <formula>"NO"</formula>
    </cfRule>
  </conditionalFormatting>
  <conditionalFormatting sqref="B52">
    <cfRule type="cellIs" dxfId="36" priority="52" stopIfTrue="1" operator="equal">
      <formula>"YES"</formula>
    </cfRule>
    <cfRule type="cellIs" dxfId="35" priority="53" stopIfTrue="1" operator="equal">
      <formula>"NO"</formula>
    </cfRule>
    <cfRule type="cellIs" dxfId="34" priority="54" stopIfTrue="1" operator="equal">
      <formula>"please ignore"</formula>
    </cfRule>
  </conditionalFormatting>
  <conditionalFormatting sqref="B49">
    <cfRule type="cellIs" dxfId="33" priority="55" stopIfTrue="1" operator="equal">
      <formula>"YES"</formula>
    </cfRule>
    <cfRule type="cellIs" dxfId="32" priority="56" stopIfTrue="1" operator="equal">
      <formula>"NO"</formula>
    </cfRule>
    <cfRule type="cellIs" dxfId="31" priority="57" stopIfTrue="1" operator="equal">
      <formula>"Please ignore"</formula>
    </cfRule>
  </conditionalFormatting>
  <conditionalFormatting sqref="B53">
    <cfRule type="cellIs" dxfId="30" priority="58" stopIfTrue="1" operator="equal">
      <formula>"Leg Length OK"</formula>
    </cfRule>
    <cfRule type="cellIs" dxfId="29" priority="59" stopIfTrue="1" operator="equal">
      <formula>"Leg Length is &gt; Limits: Explain"</formula>
    </cfRule>
  </conditionalFormatting>
  <conditionalFormatting sqref="B37">
    <cfRule type="cellIs" dxfId="28" priority="60" stopIfTrue="1" operator="equal">
      <formula>"Explanation (to the right)"</formula>
    </cfRule>
    <cfRule type="cellIs" dxfId="27" priority="61" stopIfTrue="1" operator="equal">
      <formula>""</formula>
    </cfRule>
  </conditionalFormatting>
  <conditionalFormatting sqref="B36 B56">
    <cfRule type="cellIs" dxfId="26" priority="62" stopIfTrue="1" operator="equal">
      <formula>"Explanation (to the right)"</formula>
    </cfRule>
    <cfRule type="cellIs" dxfId="25" priority="63" stopIfTrue="1" operator="equal">
      <formula>""</formula>
    </cfRule>
    <cfRule type="cellIs" dxfId="24" priority="64" stopIfTrue="1" operator="equal">
      <formula>"Please attach Load-Penetration Curve for soils to at least half the spudcan diameter below expected penetration. Show stillwater and preload reactions on the curve"</formula>
    </cfRule>
  </conditionalFormatting>
  <conditionalFormatting sqref="B48">
    <cfRule type="cellIs" dxfId="23" priority="65" stopIfTrue="1" operator="equal">
      <formula>"YES"</formula>
    </cfRule>
    <cfRule type="cellIs" dxfId="22" priority="66" stopIfTrue="1" operator="equal">
      <formula>"NO"</formula>
    </cfRule>
    <cfRule type="cellIs" dxfId="21" priority="67" stopIfTrue="1" operator="equal">
      <formula>"Please ignore"</formula>
    </cfRule>
  </conditionalFormatting>
  <conditionalFormatting sqref="B63">
    <cfRule type="cellIs" dxfId="20" priority="68" stopIfTrue="1" operator="equal">
      <formula>"Settlement in Contingency case may be &gt; 4 ft"</formula>
    </cfRule>
    <cfRule type="cellIs" dxfId="19" priority="69" stopIfTrue="1" operator="equal">
      <formula>"Settlement in Contingency Case is = or &lt; 4ft"</formula>
    </cfRule>
  </conditionalFormatting>
  <conditionalFormatting sqref="B65">
    <cfRule type="cellIs" dxfId="18" priority="70" stopIfTrue="1" operator="equal">
      <formula>"Load-Penetration curve was not provided"</formula>
    </cfRule>
    <cfRule type="cellIs" dxfId="17" priority="71" stopIfTrue="1" operator="equal">
      <formula>"Submit Load-Penetration Curve annotated as described"</formula>
    </cfRule>
  </conditionalFormatting>
  <conditionalFormatting sqref="E22:E23">
    <cfRule type="cellIs" dxfId="16" priority="72" stopIfTrue="1" operator="equal">
      <formula>"LOW RISK FROM INFRASTRUCTURE"</formula>
    </cfRule>
    <cfRule type="cellIs" dxfId="15" priority="73" stopIfTrue="1" operator="equal">
      <formula>"MEDIUM RISK FROM INFRASTRUCTURE"</formula>
    </cfRule>
    <cfRule type="cellIs" dxfId="14" priority="74" stopIfTrue="1" operator="equal">
      <formula>"HIGH RISK FROM INFRASTRUCTURE"</formula>
    </cfRule>
  </conditionalFormatting>
  <conditionalFormatting sqref="C22:C24">
    <cfRule type="cellIs" dxfId="13" priority="75" stopIfTrue="1" operator="equal">
      <formula>0</formula>
    </cfRule>
  </conditionalFormatting>
  <conditionalFormatting sqref="B24">
    <cfRule type="cellIs" dxfId="12" priority="76" stopIfTrue="1" operator="equal">
      <formula>""</formula>
    </cfRule>
    <cfRule type="cellIs" dxfId="11" priority="77" stopIfTrue="1" operator="equal">
      <formula>"explanation (to the right)"</formula>
    </cfRule>
  </conditionalFormatting>
  <conditionalFormatting sqref="B21">
    <cfRule type="cellIs" dxfId="10" priority="78" stopIfTrue="1" operator="equal">
      <formula>"Mudslide Report Information"</formula>
    </cfRule>
    <cfRule type="cellIs" dxfId="9" priority="79" stopIfTrue="1" operator="equal">
      <formula>"Not in the Mudslide Area - No Further Info Required"</formula>
    </cfRule>
  </conditionalFormatting>
  <conditionalFormatting sqref="B22:B23">
    <cfRule type="cellIs" dxfId="8" priority="80" stopIfTrue="1" operator="equal">
      <formula>"LOW CONSEQUENCE FROM INFRASTRUCTURE"</formula>
    </cfRule>
    <cfRule type="cellIs" dxfId="7" priority="81" stopIfTrue="1" operator="equal">
      <formula>"MEDIUM CONSEQUENCE FROM INFRASTRUCTURE"</formula>
    </cfRule>
    <cfRule type="cellIs" dxfId="6" priority="82" stopIfTrue="1" operator="equal">
      <formula>"HIGH CONSEQUENCE FROM INFRASTRUCTURE"</formula>
    </cfRule>
  </conditionalFormatting>
  <conditionalFormatting sqref="B25">
    <cfRule type="cellIs" dxfId="5" priority="83" stopIfTrue="1" operator="equal">
      <formula>"OK"</formula>
    </cfRule>
    <cfRule type="cellIs" dxfId="4" priority="84" stopIfTrue="1" operator="equal">
      <formula>"Explanation (to the right)"</formula>
    </cfRule>
  </conditionalFormatting>
  <conditionalFormatting sqref="B26">
    <cfRule type="cellIs" dxfId="3" priority="85" stopIfTrue="1" operator="equal">
      <formula>"OK"</formula>
    </cfRule>
    <cfRule type="cellIs" dxfId="2" priority="86" stopIfTrue="1" operator="equal">
      <formula>"EXPLanation (to the right)"</formula>
    </cfRule>
  </conditionalFormatting>
  <pageMargins left="0.82" right="0.25" top="0.71" bottom="0.33" header="0.44" footer="0.26"/>
  <pageSetup scale="46" fitToHeight="2" orientation="portrait" horizontalDpi="1200" verticalDpi="1200" r:id="rId1"/>
  <headerFooter alignWithMargins="0">
    <oddHeader>&amp;L&amp;F&amp;C&amp;A</oddHeader>
    <oddFooter>&amp;R&amp;P</oddFooter>
  </headerFooter>
  <rowBreaks count="1" manualBreakCount="1">
    <brk id="58" max="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0"/>
  </sheetPr>
  <dimension ref="A1:BC988"/>
  <sheetViews>
    <sheetView view="pageBreakPreview" topLeftCell="L1" zoomScale="60" zoomScaleNormal="75" workbookViewId="0">
      <selection activeCell="AE11" sqref="AE11"/>
    </sheetView>
  </sheetViews>
  <sheetFormatPr defaultRowHeight="12.75" x14ac:dyDescent="0.2"/>
  <cols>
    <col min="1" max="1" width="9.28515625" bestFit="1" customWidth="1"/>
    <col min="2" max="2" width="20.85546875" customWidth="1"/>
    <col min="3" max="4" width="11.28515625" customWidth="1"/>
    <col min="5" max="5" width="11.5703125" customWidth="1"/>
    <col min="8" max="9" width="13.28515625" customWidth="1"/>
    <col min="10" max="10" width="19.28515625" customWidth="1"/>
    <col min="11" max="11" width="14.42578125" customWidth="1"/>
    <col min="12" max="13" width="9.28515625" bestFit="1" customWidth="1"/>
    <col min="14" max="14" width="2.7109375" bestFit="1" customWidth="1"/>
    <col min="16" max="16" width="9.28515625" bestFit="1" customWidth="1"/>
    <col min="19" max="22" width="9.28515625" bestFit="1" customWidth="1"/>
    <col min="25" max="25" width="13.42578125" bestFit="1" customWidth="1"/>
    <col min="26" max="26" width="11.5703125" bestFit="1" customWidth="1"/>
    <col min="27" max="27" width="13.85546875" bestFit="1" customWidth="1"/>
    <col min="28" max="28" width="11.85546875" customWidth="1"/>
    <col min="29" max="29" width="14.140625" customWidth="1"/>
    <col min="31" max="31" width="23.5703125" customWidth="1"/>
    <col min="37" max="37" width="37.28515625" customWidth="1"/>
    <col min="40" max="40" width="10.7109375" customWidth="1"/>
  </cols>
  <sheetData>
    <row r="1" spans="1:55" ht="14.25" thickTop="1" thickBot="1" x14ac:dyDescent="0.25">
      <c r="B1" s="19" t="s">
        <v>541</v>
      </c>
      <c r="C1" s="19" t="s">
        <v>542</v>
      </c>
      <c r="D1" s="19" t="s">
        <v>543</v>
      </c>
      <c r="E1" s="19" t="s">
        <v>544</v>
      </c>
      <c r="F1" s="19" t="s">
        <v>545</v>
      </c>
      <c r="G1" s="19" t="s">
        <v>546</v>
      </c>
      <c r="H1" s="19" t="s">
        <v>547</v>
      </c>
      <c r="I1" s="19" t="s">
        <v>548</v>
      </c>
      <c r="J1" s="19" t="s">
        <v>549</v>
      </c>
      <c r="K1" s="19" t="s">
        <v>550</v>
      </c>
      <c r="L1" s="19" t="s">
        <v>551</v>
      </c>
      <c r="M1" s="19" t="s">
        <v>552</v>
      </c>
      <c r="N1" s="19" t="s">
        <v>553</v>
      </c>
      <c r="O1" s="19" t="s">
        <v>554</v>
      </c>
      <c r="P1" s="19" t="s">
        <v>555</v>
      </c>
      <c r="Q1" s="19" t="s">
        <v>556</v>
      </c>
      <c r="R1" s="19" t="s">
        <v>557</v>
      </c>
      <c r="S1" s="19" t="s">
        <v>558</v>
      </c>
      <c r="T1" s="19" t="s">
        <v>559</v>
      </c>
      <c r="U1" s="19" t="s">
        <v>560</v>
      </c>
      <c r="V1" s="19" t="s">
        <v>562</v>
      </c>
      <c r="W1" s="19" t="s">
        <v>561</v>
      </c>
      <c r="X1" s="19" t="s">
        <v>563</v>
      </c>
      <c r="Y1" s="19" t="s">
        <v>466</v>
      </c>
      <c r="Z1" s="19" t="s">
        <v>564</v>
      </c>
      <c r="AA1" s="19" t="s">
        <v>565</v>
      </c>
      <c r="AB1" s="19" t="s">
        <v>566</v>
      </c>
      <c r="AC1" s="19" t="s">
        <v>567</v>
      </c>
      <c r="AD1" s="1210" t="s">
        <v>56</v>
      </c>
      <c r="AE1" s="1211"/>
      <c r="AF1" s="19" t="s">
        <v>568</v>
      </c>
      <c r="AG1" s="19" t="s">
        <v>569</v>
      </c>
      <c r="AH1" s="19"/>
      <c r="AI1" s="19"/>
      <c r="AJ1" s="19"/>
      <c r="AK1" s="19" t="s">
        <v>570</v>
      </c>
      <c r="AL1" s="19" t="s">
        <v>571</v>
      </c>
      <c r="AM1" s="213" t="s">
        <v>572</v>
      </c>
      <c r="AN1" s="214" t="s">
        <v>573</v>
      </c>
      <c r="AO1" s="214" t="s">
        <v>574</v>
      </c>
      <c r="AP1" s="214" t="s">
        <v>575</v>
      </c>
      <c r="AQ1" s="214" t="s">
        <v>576</v>
      </c>
      <c r="AR1" s="214" t="s">
        <v>577</v>
      </c>
      <c r="AS1" s="214" t="s">
        <v>578</v>
      </c>
      <c r="AT1" s="214" t="s">
        <v>579</v>
      </c>
      <c r="AU1" s="214" t="s">
        <v>580</v>
      </c>
      <c r="AV1" s="214" t="s">
        <v>581</v>
      </c>
      <c r="AW1" s="214" t="s">
        <v>582</v>
      </c>
      <c r="AX1" s="215" t="s">
        <v>583</v>
      </c>
      <c r="AY1" s="19" t="s">
        <v>624</v>
      </c>
      <c r="AZ1" s="19" t="s">
        <v>625</v>
      </c>
      <c r="BA1" s="19" t="s">
        <v>626</v>
      </c>
      <c r="BB1" s="19" t="s">
        <v>627</v>
      </c>
      <c r="BC1" s="19"/>
    </row>
    <row r="2" spans="1:55" ht="14.25" thickTop="1" thickBot="1" x14ac:dyDescent="0.25">
      <c r="A2" s="186" t="s">
        <v>173</v>
      </c>
      <c r="B2" s="193" t="s">
        <v>63</v>
      </c>
      <c r="C2" s="218"/>
      <c r="D2" s="261"/>
      <c r="E2" s="261" t="s">
        <v>686</v>
      </c>
      <c r="F2" s="261"/>
      <c r="G2" s="261"/>
      <c r="H2" s="262"/>
      <c r="M2" s="625" t="b">
        <v>0</v>
      </c>
      <c r="X2" s="10" t="s">
        <v>173</v>
      </c>
      <c r="Y2" s="11" t="s">
        <v>640</v>
      </c>
      <c r="Z2" s="11" t="s">
        <v>641</v>
      </c>
      <c r="AD2" s="10" t="s">
        <v>222</v>
      </c>
      <c r="AE2" s="11" t="s">
        <v>628</v>
      </c>
      <c r="AI2" s="32"/>
      <c r="AJ2" s="16"/>
      <c r="AK2" s="16"/>
      <c r="AL2" s="16"/>
      <c r="AM2" s="16"/>
      <c r="AN2" s="16"/>
      <c r="AO2" s="16"/>
      <c r="AP2" s="16"/>
      <c r="AQ2" s="16"/>
      <c r="AR2" s="16"/>
      <c r="AS2" s="16"/>
      <c r="AT2" s="3"/>
    </row>
    <row r="3" spans="1:55" ht="13.5" thickTop="1" x14ac:dyDescent="0.2">
      <c r="A3" s="187">
        <v>1</v>
      </c>
      <c r="B3" s="194" t="s">
        <v>89</v>
      </c>
      <c r="C3" s="263"/>
      <c r="D3" s="264" t="s">
        <v>173</v>
      </c>
      <c r="E3" s="264" t="s">
        <v>172</v>
      </c>
      <c r="F3" s="264" t="s">
        <v>163</v>
      </c>
      <c r="G3" s="264" t="s">
        <v>222</v>
      </c>
      <c r="H3" s="265"/>
      <c r="I3" s="192"/>
      <c r="J3" s="198" t="s">
        <v>209</v>
      </c>
      <c r="K3" s="23" t="s">
        <v>212</v>
      </c>
      <c r="L3" s="199" t="s">
        <v>301</v>
      </c>
      <c r="M3" s="199" t="s">
        <v>67</v>
      </c>
      <c r="N3" s="200"/>
      <c r="P3" s="205" t="s">
        <v>70</v>
      </c>
      <c r="X3" s="7">
        <v>1</v>
      </c>
      <c r="Y3" s="8" t="s">
        <v>273</v>
      </c>
      <c r="Z3" s="8" t="s">
        <v>273</v>
      </c>
      <c r="AD3" s="768" t="s">
        <v>173</v>
      </c>
      <c r="AE3" s="164" t="s">
        <v>339</v>
      </c>
      <c r="AI3" s="1205" t="s">
        <v>453</v>
      </c>
      <c r="AJ3" s="1206"/>
      <c r="AK3" s="1206"/>
      <c r="AL3" s="1206"/>
      <c r="AM3" s="1206"/>
      <c r="AN3" s="1206"/>
      <c r="AO3" s="1206"/>
      <c r="AP3" s="1206"/>
      <c r="AQ3" s="1206"/>
      <c r="AR3" s="1206"/>
      <c r="AS3" s="1206"/>
      <c r="AT3" s="1207"/>
      <c r="AU3" s="301"/>
      <c r="AV3" s="301"/>
      <c r="AW3" s="302"/>
    </row>
    <row r="4" spans="1:55" x14ac:dyDescent="0.2">
      <c r="A4" s="187">
        <v>2</v>
      </c>
      <c r="B4" s="194" t="s">
        <v>91</v>
      </c>
      <c r="C4" s="266"/>
      <c r="D4" s="267">
        <v>1</v>
      </c>
      <c r="E4" s="267" t="s">
        <v>153</v>
      </c>
      <c r="F4" s="267" t="s">
        <v>176</v>
      </c>
      <c r="G4" s="268" t="s">
        <v>222</v>
      </c>
      <c r="H4" s="269"/>
      <c r="I4" s="16">
        <v>1</v>
      </c>
      <c r="J4" s="35" t="s">
        <v>210</v>
      </c>
      <c r="K4" s="7" t="s">
        <v>214</v>
      </c>
      <c r="L4" s="184">
        <v>1</v>
      </c>
      <c r="M4" s="184">
        <v>51</v>
      </c>
      <c r="N4" s="8">
        <f t="shared" ref="N4:N35" si="0">IF(AND(M4=$A$66,L4=$A$67),1,0)</f>
        <v>0</v>
      </c>
      <c r="P4" s="202"/>
      <c r="X4" s="7">
        <v>2</v>
      </c>
      <c r="Y4" s="8" t="s">
        <v>272</v>
      </c>
      <c r="Z4" s="8" t="s">
        <v>272</v>
      </c>
      <c r="AD4" s="7">
        <v>1</v>
      </c>
      <c r="AE4" s="164" t="s">
        <v>342</v>
      </c>
      <c r="AI4" s="303"/>
      <c r="AJ4" s="304"/>
      <c r="AK4" s="237" t="s">
        <v>377</v>
      </c>
      <c r="AL4" s="637">
        <v>1</v>
      </c>
      <c r="AM4" s="237"/>
      <c r="AN4" s="237"/>
      <c r="AO4" s="237"/>
      <c r="AP4" s="237"/>
      <c r="AQ4" s="237"/>
      <c r="AR4" s="237"/>
      <c r="AS4" s="304"/>
      <c r="AT4" s="305"/>
      <c r="AU4" s="304"/>
      <c r="AV4" s="304"/>
      <c r="AW4" s="305"/>
    </row>
    <row r="5" spans="1:55" x14ac:dyDescent="0.2">
      <c r="A5" s="187">
        <v>3</v>
      </c>
      <c r="B5" s="194" t="s">
        <v>93</v>
      </c>
      <c r="C5" s="266"/>
      <c r="D5" s="267">
        <v>2</v>
      </c>
      <c r="E5" s="267" t="s">
        <v>154</v>
      </c>
      <c r="F5" s="267" t="s">
        <v>177</v>
      </c>
      <c r="G5" s="268" t="s">
        <v>222</v>
      </c>
      <c r="H5" s="269"/>
      <c r="I5" s="16">
        <v>2</v>
      </c>
      <c r="J5" s="35" t="s">
        <v>211</v>
      </c>
      <c r="K5" s="7" t="s">
        <v>214</v>
      </c>
      <c r="L5" s="184">
        <v>2</v>
      </c>
      <c r="M5" s="184">
        <v>51</v>
      </c>
      <c r="N5" s="8">
        <f t="shared" si="0"/>
        <v>0</v>
      </c>
      <c r="P5" s="203">
        <f>IF(METOCEAN!$C4&lt;40.00001,46.5,0)</f>
        <v>0</v>
      </c>
      <c r="X5" s="7">
        <v>3</v>
      </c>
      <c r="Y5" s="8" t="s">
        <v>274</v>
      </c>
      <c r="Z5" s="8" t="s">
        <v>274</v>
      </c>
      <c r="AD5" s="7">
        <v>2</v>
      </c>
      <c r="AE5" s="164" t="s">
        <v>343</v>
      </c>
      <c r="AI5" s="303"/>
      <c r="AJ5" s="304"/>
      <c r="AK5" s="306" t="s">
        <v>454</v>
      </c>
      <c r="AL5" s="637">
        <v>1</v>
      </c>
      <c r="AM5" s="237"/>
      <c r="AN5" s="237"/>
      <c r="AO5" s="237"/>
      <c r="AP5" s="237"/>
      <c r="AQ5" s="237"/>
      <c r="AR5" s="237"/>
      <c r="AS5" s="304"/>
      <c r="AT5" s="305"/>
      <c r="AU5" s="304"/>
      <c r="AV5" s="304"/>
      <c r="AW5" s="305"/>
    </row>
    <row r="6" spans="1:55" ht="26.25" thickBot="1" x14ac:dyDescent="0.25">
      <c r="A6" s="187">
        <v>4</v>
      </c>
      <c r="B6" s="194" t="s">
        <v>95</v>
      </c>
      <c r="C6" s="266"/>
      <c r="D6" s="267">
        <v>3</v>
      </c>
      <c r="E6" s="267" t="s">
        <v>155</v>
      </c>
      <c r="F6" s="267" t="s">
        <v>178</v>
      </c>
      <c r="G6" s="268" t="s">
        <v>222</v>
      </c>
      <c r="H6" s="269"/>
      <c r="I6" s="1"/>
      <c r="J6" s="593">
        <v>1</v>
      </c>
      <c r="K6" s="7" t="s">
        <v>214</v>
      </c>
      <c r="L6" s="184">
        <v>3</v>
      </c>
      <c r="M6" s="184">
        <v>51</v>
      </c>
      <c r="N6" s="8">
        <f t="shared" si="0"/>
        <v>0</v>
      </c>
      <c r="P6" s="203">
        <v>62</v>
      </c>
      <c r="X6" s="9"/>
      <c r="Y6" s="629">
        <v>1</v>
      </c>
      <c r="Z6" s="629">
        <v>2</v>
      </c>
      <c r="AD6" s="7">
        <v>3</v>
      </c>
      <c r="AE6" s="164" t="s">
        <v>344</v>
      </c>
      <c r="AI6" s="303"/>
      <c r="AJ6" s="304"/>
      <c r="AK6" s="306" t="s">
        <v>638</v>
      </c>
      <c r="AL6" s="637">
        <v>2</v>
      </c>
      <c r="AM6" s="237"/>
      <c r="AN6" s="237"/>
      <c r="AO6" s="237">
        <v>1</v>
      </c>
      <c r="AP6" s="237"/>
      <c r="AQ6" s="237"/>
      <c r="AR6" s="237"/>
      <c r="AS6" s="304"/>
      <c r="AT6" s="305"/>
      <c r="AU6" s="304"/>
      <c r="AV6" s="304"/>
      <c r="AW6" s="305"/>
    </row>
    <row r="7" spans="1:55" ht="13.5" thickTop="1" x14ac:dyDescent="0.2">
      <c r="A7" s="187">
        <v>5</v>
      </c>
      <c r="B7" s="194" t="s">
        <v>97</v>
      </c>
      <c r="C7" s="266"/>
      <c r="D7" s="267">
        <v>4</v>
      </c>
      <c r="E7" s="267" t="s">
        <v>174</v>
      </c>
      <c r="F7" s="267" t="s">
        <v>179</v>
      </c>
      <c r="G7" s="268"/>
      <c r="H7" s="269"/>
      <c r="I7" s="195" t="s">
        <v>222</v>
      </c>
      <c r="J7" s="198" t="s">
        <v>535</v>
      </c>
      <c r="K7" s="7" t="s">
        <v>214</v>
      </c>
      <c r="L7" s="184">
        <v>4</v>
      </c>
      <c r="M7" s="184">
        <v>51</v>
      </c>
      <c r="N7" s="8">
        <f t="shared" si="0"/>
        <v>0</v>
      </c>
      <c r="P7" s="204">
        <f>IF(AND(39.99999&lt;METOCEAN!C4,METOCEAN!C4&lt;79.999999),(46.5+15.5/40*(METOCEAN!C4-40)),0)</f>
        <v>0</v>
      </c>
      <c r="AD7" s="7">
        <v>4</v>
      </c>
      <c r="AE7" s="164" t="s">
        <v>345</v>
      </c>
      <c r="AI7" s="303"/>
      <c r="AJ7" s="304"/>
      <c r="AK7" s="237"/>
      <c r="AL7" s="637"/>
      <c r="AM7" s="237"/>
      <c r="AN7" s="237"/>
      <c r="AO7" s="237"/>
      <c r="AP7" s="237"/>
      <c r="AQ7" s="237"/>
      <c r="AR7" s="237"/>
      <c r="AS7" s="304"/>
      <c r="AT7" s="305"/>
      <c r="AU7" s="304"/>
      <c r="AV7" s="304"/>
      <c r="AW7" s="305"/>
    </row>
    <row r="8" spans="1:55" ht="13.5" thickBot="1" x14ac:dyDescent="0.25">
      <c r="A8" s="187">
        <v>6</v>
      </c>
      <c r="B8" s="194" t="s">
        <v>99</v>
      </c>
      <c r="C8" s="266"/>
      <c r="D8" s="267">
        <v>5</v>
      </c>
      <c r="E8" s="267" t="s">
        <v>175</v>
      </c>
      <c r="F8" s="267" t="s">
        <v>180</v>
      </c>
      <c r="G8" s="268"/>
      <c r="H8" s="269"/>
      <c r="I8" s="16">
        <v>1</v>
      </c>
      <c r="J8" s="35" t="s">
        <v>221</v>
      </c>
      <c r="K8" s="7" t="s">
        <v>214</v>
      </c>
      <c r="L8" s="184">
        <v>5</v>
      </c>
      <c r="M8" s="184">
        <v>51</v>
      </c>
      <c r="N8" s="8">
        <f t="shared" si="0"/>
        <v>0</v>
      </c>
      <c r="O8" t="s">
        <v>222</v>
      </c>
      <c r="P8" s="34">
        <f>MAX(P5:P7)</f>
        <v>62</v>
      </c>
      <c r="AD8" s="7">
        <v>5</v>
      </c>
      <c r="AE8" s="164" t="s">
        <v>595</v>
      </c>
      <c r="AI8" s="303"/>
      <c r="AJ8" s="304"/>
      <c r="AK8" s="237"/>
      <c r="AL8" s="637"/>
      <c r="AM8" s="237"/>
      <c r="AN8" s="237"/>
      <c r="AO8" s="237"/>
      <c r="AP8" s="237"/>
      <c r="AQ8" s="237"/>
      <c r="AR8" s="237"/>
      <c r="AS8" s="304"/>
      <c r="AT8" s="305"/>
      <c r="AU8" s="304"/>
      <c r="AV8" s="304"/>
      <c r="AW8" s="305"/>
    </row>
    <row r="9" spans="1:55" ht="14.25" thickTop="1" thickBot="1" x14ac:dyDescent="0.25">
      <c r="A9" s="187">
        <v>7</v>
      </c>
      <c r="B9" s="194" t="s">
        <v>101</v>
      </c>
      <c r="C9" s="266"/>
      <c r="D9" s="267">
        <v>6</v>
      </c>
      <c r="E9" s="267" t="s">
        <v>156</v>
      </c>
      <c r="F9" s="267" t="s">
        <v>181</v>
      </c>
      <c r="G9" s="268"/>
      <c r="H9" s="269"/>
      <c r="I9" s="16">
        <v>2</v>
      </c>
      <c r="J9" s="35" t="s">
        <v>318</v>
      </c>
      <c r="K9" s="7" t="s">
        <v>214</v>
      </c>
      <c r="L9" s="184">
        <v>6</v>
      </c>
      <c r="M9" s="184">
        <v>51</v>
      </c>
      <c r="N9" s="8">
        <f t="shared" si="0"/>
        <v>0</v>
      </c>
      <c r="AD9" s="12">
        <v>6</v>
      </c>
      <c r="AE9" s="164" t="s">
        <v>596</v>
      </c>
      <c r="AI9" s="303"/>
      <c r="AJ9" s="304"/>
      <c r="AK9" s="237"/>
      <c r="AL9" s="637"/>
      <c r="AM9" s="237"/>
      <c r="AN9" s="237"/>
      <c r="AO9" s="237"/>
      <c r="AP9" s="237"/>
      <c r="AQ9" s="237"/>
      <c r="AR9" s="237"/>
      <c r="AS9" s="304"/>
      <c r="AT9" s="305"/>
      <c r="AU9" s="304"/>
      <c r="AV9" s="304"/>
      <c r="AW9" s="305"/>
    </row>
    <row r="10" spans="1:55" ht="14.25" thickTop="1" thickBot="1" x14ac:dyDescent="0.25">
      <c r="A10" s="187">
        <v>8</v>
      </c>
      <c r="B10" s="194" t="s">
        <v>103</v>
      </c>
      <c r="C10" s="266"/>
      <c r="D10" s="267">
        <v>7</v>
      </c>
      <c r="E10" s="267" t="s">
        <v>157</v>
      </c>
      <c r="F10" s="267" t="s">
        <v>182</v>
      </c>
      <c r="G10" s="268"/>
      <c r="H10" s="269"/>
      <c r="I10" s="1"/>
      <c r="J10" s="593">
        <v>1</v>
      </c>
      <c r="K10" s="7" t="s">
        <v>214</v>
      </c>
      <c r="L10" s="184">
        <v>7</v>
      </c>
      <c r="M10" s="184">
        <v>51</v>
      </c>
      <c r="N10" s="8">
        <f t="shared" si="0"/>
        <v>0</v>
      </c>
      <c r="O10" t="s">
        <v>222</v>
      </c>
      <c r="P10" s="278" t="s">
        <v>71</v>
      </c>
      <c r="Q10" s="279" t="s">
        <v>687</v>
      </c>
      <c r="S10" s="10" t="s">
        <v>225</v>
      </c>
      <c r="T10" s="11"/>
      <c r="U10" s="5" t="s">
        <v>236</v>
      </c>
      <c r="V10" s="6"/>
      <c r="X10" s="293" t="s">
        <v>243</v>
      </c>
      <c r="Y10" s="294"/>
      <c r="Z10" s="294"/>
      <c r="AA10" s="294"/>
      <c r="AB10" s="294"/>
      <c r="AC10" s="295"/>
      <c r="AD10" s="769">
        <v>7</v>
      </c>
      <c r="AE10" s="770" t="s">
        <v>592</v>
      </c>
      <c r="AI10" s="303"/>
      <c r="AJ10" s="304"/>
      <c r="AK10" s="237"/>
      <c r="AL10" s="637"/>
      <c r="AM10" s="237"/>
      <c r="AN10" s="237"/>
      <c r="AO10" s="237"/>
      <c r="AP10" s="237"/>
      <c r="AQ10" s="237"/>
      <c r="AR10" s="237"/>
      <c r="AS10" s="304"/>
      <c r="AT10" s="305"/>
      <c r="AU10" s="304"/>
      <c r="AV10" s="304"/>
      <c r="AW10" s="305"/>
    </row>
    <row r="11" spans="1:55" ht="27" thickTop="1" thickBot="1" x14ac:dyDescent="0.25">
      <c r="A11" s="187">
        <v>9</v>
      </c>
      <c r="B11" s="194" t="s">
        <v>105</v>
      </c>
      <c r="C11" s="266"/>
      <c r="D11" s="267">
        <v>8</v>
      </c>
      <c r="E11" s="267" t="s">
        <v>158</v>
      </c>
      <c r="F11" s="267" t="s">
        <v>183</v>
      </c>
      <c r="G11" s="268"/>
      <c r="H11" s="269"/>
      <c r="I11" s="192"/>
      <c r="J11" s="198" t="s">
        <v>536</v>
      </c>
      <c r="K11" s="7" t="s">
        <v>214</v>
      </c>
      <c r="L11" s="184">
        <v>8</v>
      </c>
      <c r="M11" s="184">
        <v>51</v>
      </c>
      <c r="N11" s="8">
        <f t="shared" si="0"/>
        <v>0</v>
      </c>
      <c r="O11" t="s">
        <v>222</v>
      </c>
      <c r="P11" s="270" t="s">
        <v>232</v>
      </c>
      <c r="Q11" s="269" t="s">
        <v>73</v>
      </c>
      <c r="S11" s="7">
        <v>1</v>
      </c>
      <c r="T11" s="8" t="s">
        <v>218</v>
      </c>
      <c r="U11" s="7">
        <v>1</v>
      </c>
      <c r="V11" s="8" t="s">
        <v>226</v>
      </c>
      <c r="X11" s="296" t="s">
        <v>222</v>
      </c>
      <c r="Y11" s="287" t="s">
        <v>242</v>
      </c>
      <c r="Z11" s="287" t="s">
        <v>246</v>
      </c>
      <c r="AA11" s="287" t="s">
        <v>247</v>
      </c>
      <c r="AB11" s="287" t="s">
        <v>248</v>
      </c>
      <c r="AC11" s="297" t="s">
        <v>249</v>
      </c>
      <c r="AD11" s="769">
        <v>8</v>
      </c>
      <c r="AE11" s="771" t="s">
        <v>593</v>
      </c>
      <c r="AI11" s="303"/>
      <c r="AJ11" s="304"/>
      <c r="AK11" s="307" t="s">
        <v>463</v>
      </c>
      <c r="AL11" s="637">
        <v>1</v>
      </c>
      <c r="AM11" s="237"/>
      <c r="AN11" s="237"/>
      <c r="AO11" s="237"/>
      <c r="AP11" s="237"/>
      <c r="AQ11" s="237"/>
      <c r="AR11" s="237"/>
      <c r="AS11" s="304"/>
      <c r="AT11" s="305"/>
      <c r="AU11" s="304"/>
      <c r="AV11" s="304"/>
      <c r="AW11" s="305"/>
    </row>
    <row r="12" spans="1:55" ht="39" thickBot="1" x14ac:dyDescent="0.25">
      <c r="A12" s="187">
        <v>10</v>
      </c>
      <c r="B12" s="194" t="s">
        <v>107</v>
      </c>
      <c r="C12" s="266"/>
      <c r="D12" s="267">
        <v>9</v>
      </c>
      <c r="E12" s="267" t="s">
        <v>159</v>
      </c>
      <c r="F12" s="267" t="s">
        <v>184</v>
      </c>
      <c r="G12" s="268"/>
      <c r="H12" s="269"/>
      <c r="I12" s="16">
        <v>1</v>
      </c>
      <c r="J12" s="35" t="s">
        <v>221</v>
      </c>
      <c r="K12" s="7" t="s">
        <v>214</v>
      </c>
      <c r="L12" s="184">
        <v>9</v>
      </c>
      <c r="M12" s="184">
        <v>51</v>
      </c>
      <c r="N12" s="8">
        <f t="shared" si="0"/>
        <v>0</v>
      </c>
      <c r="O12" t="s">
        <v>222</v>
      </c>
      <c r="P12" s="270" t="s">
        <v>80</v>
      </c>
      <c r="Q12" s="269" t="s">
        <v>83</v>
      </c>
      <c r="S12" s="7">
        <v>2</v>
      </c>
      <c r="T12" s="8" t="s">
        <v>219</v>
      </c>
      <c r="U12" s="7">
        <v>2</v>
      </c>
      <c r="V12" s="8" t="s">
        <v>227</v>
      </c>
      <c r="X12" s="32">
        <v>1</v>
      </c>
      <c r="Y12" s="22">
        <v>25</v>
      </c>
      <c r="Z12" s="22">
        <v>2.37</v>
      </c>
      <c r="AA12" s="22">
        <v>2.37</v>
      </c>
      <c r="AB12" s="210">
        <v>2.37</v>
      </c>
      <c r="AC12" s="211">
        <v>0</v>
      </c>
      <c r="AD12" s="769">
        <v>9</v>
      </c>
      <c r="AE12" s="771" t="s">
        <v>594</v>
      </c>
      <c r="AI12" s="308"/>
      <c r="AJ12" s="309"/>
      <c r="AK12" s="310" t="s">
        <v>735</v>
      </c>
      <c r="AL12" s="638">
        <v>1</v>
      </c>
      <c r="AM12" s="311"/>
      <c r="AN12" s="311"/>
      <c r="AO12" s="311"/>
      <c r="AP12" s="311"/>
      <c r="AQ12" s="311"/>
      <c r="AR12" s="311"/>
      <c r="AS12" s="309"/>
      <c r="AT12" s="312"/>
      <c r="AU12" s="309"/>
      <c r="AV12" s="309"/>
      <c r="AW12" s="312"/>
    </row>
    <row r="13" spans="1:55" ht="14.25" thickTop="1" thickBot="1" x14ac:dyDescent="0.25">
      <c r="A13" s="187">
        <v>11</v>
      </c>
      <c r="B13" s="194" t="s">
        <v>109</v>
      </c>
      <c r="C13" s="266"/>
      <c r="D13" s="267">
        <v>10</v>
      </c>
      <c r="E13" s="267" t="s">
        <v>160</v>
      </c>
      <c r="F13" s="267" t="s">
        <v>185</v>
      </c>
      <c r="G13" s="268"/>
      <c r="H13" s="269"/>
      <c r="I13" s="16">
        <v>2</v>
      </c>
      <c r="J13" s="35" t="s">
        <v>318</v>
      </c>
      <c r="K13" s="7" t="s">
        <v>214</v>
      </c>
      <c r="L13" s="184">
        <v>10</v>
      </c>
      <c r="M13" s="184">
        <v>51</v>
      </c>
      <c r="N13" s="8">
        <f t="shared" si="0"/>
        <v>0</v>
      </c>
      <c r="O13" t="s">
        <v>222</v>
      </c>
      <c r="P13" s="270" t="s">
        <v>233</v>
      </c>
      <c r="Q13" s="269" t="s">
        <v>74</v>
      </c>
      <c r="S13" s="9" t="s">
        <v>228</v>
      </c>
      <c r="T13" s="629">
        <v>2</v>
      </c>
      <c r="U13" s="7">
        <v>3</v>
      </c>
      <c r="V13" s="8" t="s">
        <v>220</v>
      </c>
      <c r="X13" s="32">
        <v>2</v>
      </c>
      <c r="Y13" s="15">
        <v>50</v>
      </c>
      <c r="Z13" s="15">
        <v>2.37</v>
      </c>
      <c r="AA13" s="15">
        <v>2.19</v>
      </c>
      <c r="AB13" s="15">
        <v>2.02</v>
      </c>
      <c r="AC13" s="118">
        <v>-9.84</v>
      </c>
      <c r="AD13" s="772">
        <v>10</v>
      </c>
      <c r="AE13" s="166" t="s">
        <v>520</v>
      </c>
    </row>
    <row r="14" spans="1:55" ht="14.25" thickTop="1" thickBot="1" x14ac:dyDescent="0.25">
      <c r="A14" s="187">
        <v>12</v>
      </c>
      <c r="B14" s="194" t="s">
        <v>111</v>
      </c>
      <c r="C14" s="266"/>
      <c r="D14" s="267">
        <v>11</v>
      </c>
      <c r="E14" s="267" t="s">
        <v>161</v>
      </c>
      <c r="F14" s="267" t="s">
        <v>186</v>
      </c>
      <c r="G14" s="268"/>
      <c r="H14" s="269"/>
      <c r="I14" s="1"/>
      <c r="J14" s="593">
        <v>1</v>
      </c>
      <c r="K14" s="7" t="s">
        <v>214</v>
      </c>
      <c r="L14" s="184">
        <v>11</v>
      </c>
      <c r="M14" s="184">
        <v>51</v>
      </c>
      <c r="N14" s="8">
        <f t="shared" si="0"/>
        <v>0</v>
      </c>
      <c r="O14" t="s">
        <v>222</v>
      </c>
      <c r="P14" s="270" t="s">
        <v>81</v>
      </c>
      <c r="Q14" s="269" t="s">
        <v>79</v>
      </c>
      <c r="T14" s="625">
        <v>1</v>
      </c>
      <c r="U14" s="284" t="s">
        <v>228</v>
      </c>
      <c r="V14" s="630">
        <v>2</v>
      </c>
      <c r="X14" s="32">
        <v>3</v>
      </c>
      <c r="Y14" s="15">
        <v>100</v>
      </c>
      <c r="Z14" s="15">
        <v>2</v>
      </c>
      <c r="AA14" s="15">
        <v>1.8</v>
      </c>
      <c r="AB14" s="15">
        <v>1.67</v>
      </c>
      <c r="AC14" s="118">
        <v>-13.12</v>
      </c>
      <c r="AE14" s="636">
        <v>4</v>
      </c>
      <c r="AK14" s="153"/>
      <c r="AL14" s="154"/>
      <c r="AM14" s="154"/>
      <c r="AN14" s="154"/>
      <c r="AO14" s="154"/>
      <c r="AP14" s="154"/>
      <c r="AQ14" s="154"/>
      <c r="AR14" s="154"/>
      <c r="AS14" s="154"/>
      <c r="AT14" s="154"/>
      <c r="AU14" s="154"/>
      <c r="AV14" s="154"/>
      <c r="AW14" s="155"/>
    </row>
    <row r="15" spans="1:55" ht="52.5" thickTop="1" thickBot="1" x14ac:dyDescent="0.25">
      <c r="A15" s="187">
        <v>13</v>
      </c>
      <c r="B15" s="194" t="s">
        <v>113</v>
      </c>
      <c r="C15" s="266"/>
      <c r="D15" s="267">
        <v>12</v>
      </c>
      <c r="E15" s="267" t="s">
        <v>162</v>
      </c>
      <c r="F15" s="267" t="s">
        <v>187</v>
      </c>
      <c r="G15" s="268"/>
      <c r="H15" s="269"/>
      <c r="I15" s="4"/>
      <c r="J15" s="468"/>
      <c r="K15" s="7" t="s">
        <v>214</v>
      </c>
      <c r="L15" s="184">
        <v>12</v>
      </c>
      <c r="M15" s="184">
        <v>51</v>
      </c>
      <c r="N15" s="8">
        <f t="shared" si="0"/>
        <v>0</v>
      </c>
      <c r="O15" t="s">
        <v>222</v>
      </c>
      <c r="P15" s="270" t="s">
        <v>234</v>
      </c>
      <c r="Q15" s="269" t="s">
        <v>75</v>
      </c>
      <c r="S15" s="162"/>
      <c r="T15" s="192"/>
      <c r="U15" s="285" t="s">
        <v>239</v>
      </c>
      <c r="V15" s="631">
        <f>T18*V19</f>
        <v>0.59209999999999996</v>
      </c>
      <c r="X15" s="32">
        <v>4</v>
      </c>
      <c r="Y15" s="15">
        <v>200</v>
      </c>
      <c r="Z15" s="15">
        <v>1.51</v>
      </c>
      <c r="AA15" s="15">
        <v>1.42</v>
      </c>
      <c r="AB15" s="15">
        <v>1.32</v>
      </c>
      <c r="AC15" s="118">
        <v>-16.399999999999999</v>
      </c>
      <c r="AD15" s="206"/>
      <c r="AE15" s="167" t="s">
        <v>537</v>
      </c>
      <c r="AI15" s="184"/>
      <c r="AJ15" s="184"/>
      <c r="AK15" s="184"/>
      <c r="AL15" s="639"/>
      <c r="AM15" s="639"/>
      <c r="AN15" s="639"/>
      <c r="AO15" s="639"/>
      <c r="AP15" s="640"/>
      <c r="AQ15" s="640"/>
      <c r="AR15" s="639"/>
      <c r="AS15" s="639"/>
      <c r="AT15" s="639"/>
      <c r="AU15" s="639"/>
      <c r="AV15" s="639"/>
      <c r="AW15" s="184"/>
      <c r="AX15" s="184"/>
      <c r="AY15" s="184"/>
    </row>
    <row r="16" spans="1:55" ht="13.5" thickTop="1" x14ac:dyDescent="0.2">
      <c r="A16" s="187">
        <v>14</v>
      </c>
      <c r="B16" s="194" t="s">
        <v>115</v>
      </c>
      <c r="C16" s="270"/>
      <c r="D16" s="268"/>
      <c r="E16" s="268"/>
      <c r="F16" s="267" t="s">
        <v>188</v>
      </c>
      <c r="G16" s="268"/>
      <c r="H16" s="269"/>
      <c r="I16" s="196"/>
      <c r="J16" s="469"/>
      <c r="K16" s="7" t="s">
        <v>214</v>
      </c>
      <c r="L16" s="184">
        <v>13</v>
      </c>
      <c r="M16" s="184">
        <v>51</v>
      </c>
      <c r="N16" s="8">
        <f t="shared" si="0"/>
        <v>0</v>
      </c>
      <c r="O16" t="s">
        <v>222</v>
      </c>
      <c r="P16" s="270" t="s">
        <v>77</v>
      </c>
      <c r="Q16" s="269" t="s">
        <v>78</v>
      </c>
      <c r="S16" s="32">
        <v>1</v>
      </c>
      <c r="T16" s="16">
        <v>1.25</v>
      </c>
      <c r="U16" s="4">
        <v>1</v>
      </c>
      <c r="V16" s="632">
        <v>1</v>
      </c>
      <c r="X16" s="32">
        <v>5</v>
      </c>
      <c r="Y16" s="15">
        <v>300</v>
      </c>
      <c r="Z16" s="15">
        <v>1.4</v>
      </c>
      <c r="AA16" s="15">
        <v>1.3</v>
      </c>
      <c r="AB16" s="15">
        <v>1.22</v>
      </c>
      <c r="AC16" s="118">
        <v>-82.02</v>
      </c>
      <c r="AD16" s="207">
        <v>1</v>
      </c>
      <c r="AE16" s="164" t="s">
        <v>427</v>
      </c>
      <c r="AI16" s="184"/>
      <c r="AJ16" s="184"/>
      <c r="AK16" s="641"/>
      <c r="AL16" s="642"/>
      <c r="AM16" s="642"/>
      <c r="AN16" s="642"/>
      <c r="AO16" s="642"/>
      <c r="AP16" s="642"/>
      <c r="AQ16" s="642"/>
      <c r="AR16" s="642"/>
      <c r="AS16" s="642"/>
      <c r="AT16" s="642"/>
      <c r="AU16" s="642"/>
      <c r="AV16" s="642"/>
      <c r="AW16" s="184"/>
      <c r="AX16" s="184"/>
      <c r="AY16" s="184"/>
    </row>
    <row r="17" spans="1:51" ht="13.5" thickBot="1" x14ac:dyDescent="0.25">
      <c r="A17" s="187">
        <v>15</v>
      </c>
      <c r="B17" s="194" t="s">
        <v>98</v>
      </c>
      <c r="C17" s="271"/>
      <c r="D17" s="272"/>
      <c r="E17" s="268"/>
      <c r="F17" s="267" t="s">
        <v>189</v>
      </c>
      <c r="G17" s="268"/>
      <c r="H17" s="269"/>
      <c r="I17" s="470"/>
      <c r="J17" s="471"/>
      <c r="K17" s="7" t="s">
        <v>214</v>
      </c>
      <c r="L17" s="184">
        <v>14</v>
      </c>
      <c r="M17" s="184">
        <v>51</v>
      </c>
      <c r="N17" s="8">
        <f t="shared" si="0"/>
        <v>0</v>
      </c>
      <c r="O17" t="s">
        <v>222</v>
      </c>
      <c r="P17" s="270" t="s">
        <v>235</v>
      </c>
      <c r="Q17" s="269" t="s">
        <v>76</v>
      </c>
      <c r="S17" s="32">
        <v>2</v>
      </c>
      <c r="T17" s="16">
        <v>1</v>
      </c>
      <c r="U17" s="4">
        <v>2</v>
      </c>
      <c r="V17" s="632">
        <v>0.59209999999999996</v>
      </c>
      <c r="X17" s="32">
        <v>6</v>
      </c>
      <c r="Y17" s="15">
        <v>400</v>
      </c>
      <c r="Z17" s="15">
        <v>1.24</v>
      </c>
      <c r="AA17" s="15">
        <v>1.1599999999999999</v>
      </c>
      <c r="AB17" s="15">
        <v>1.0900000000000001</v>
      </c>
      <c r="AC17" s="118">
        <v>-180.44</v>
      </c>
      <c r="AD17" s="207">
        <v>2</v>
      </c>
      <c r="AE17" s="164" t="s">
        <v>428</v>
      </c>
      <c r="AI17" s="184"/>
      <c r="AJ17" s="184"/>
      <c r="AK17" s="643"/>
      <c r="AL17" s="642"/>
      <c r="AM17" s="642"/>
      <c r="AN17" s="642"/>
      <c r="AO17" s="642"/>
      <c r="AP17" s="642"/>
      <c r="AQ17" s="642"/>
      <c r="AR17" s="184"/>
      <c r="AS17" s="642"/>
      <c r="AT17" s="642"/>
      <c r="AU17" s="642"/>
      <c r="AV17" s="642"/>
      <c r="AW17" s="644"/>
      <c r="AX17" s="184"/>
      <c r="AY17" s="184"/>
    </row>
    <row r="18" spans="1:51" ht="14.25" thickTop="1" thickBot="1" x14ac:dyDescent="0.25">
      <c r="A18" s="187">
        <v>16</v>
      </c>
      <c r="B18" s="194" t="s">
        <v>116</v>
      </c>
      <c r="C18" s="273"/>
      <c r="D18" s="274"/>
      <c r="E18" s="268"/>
      <c r="F18" s="267" t="s">
        <v>190</v>
      </c>
      <c r="G18" s="268"/>
      <c r="H18" s="269"/>
      <c r="I18" s="197"/>
      <c r="J18" s="472"/>
      <c r="K18" s="7" t="s">
        <v>214</v>
      </c>
      <c r="L18" s="184">
        <v>15</v>
      </c>
      <c r="M18" s="184">
        <v>51</v>
      </c>
      <c r="N18" s="8">
        <f t="shared" si="0"/>
        <v>0</v>
      </c>
      <c r="P18" s="280" t="s">
        <v>82</v>
      </c>
      <c r="Q18" s="281"/>
      <c r="S18" s="32" t="s">
        <v>228</v>
      </c>
      <c r="T18" s="16">
        <f>VLOOKUP(T13,S16:T17,2)</f>
        <v>1</v>
      </c>
      <c r="U18" s="4">
        <v>3</v>
      </c>
      <c r="V18" s="632">
        <v>1.9419999999999999</v>
      </c>
      <c r="X18" s="298"/>
      <c r="Y18" s="288" t="s">
        <v>245</v>
      </c>
      <c r="Z18" s="288"/>
      <c r="AA18" s="288"/>
      <c r="AB18" s="288"/>
      <c r="AC18" s="299"/>
      <c r="AD18" s="207">
        <v>3</v>
      </c>
      <c r="AE18" s="164" t="s">
        <v>347</v>
      </c>
      <c r="AI18" s="184"/>
      <c r="AJ18" s="184"/>
      <c r="AK18" s="641"/>
      <c r="AL18" s="642"/>
      <c r="AM18" s="642"/>
      <c r="AN18" s="642"/>
      <c r="AO18" s="642"/>
      <c r="AP18" s="642"/>
      <c r="AQ18" s="642"/>
      <c r="AR18" s="184"/>
      <c r="AS18" s="642"/>
      <c r="AT18" s="642"/>
      <c r="AU18" s="642"/>
      <c r="AV18" s="642"/>
      <c r="AW18" s="644"/>
      <c r="AX18" s="184"/>
      <c r="AY18" s="184"/>
    </row>
    <row r="19" spans="1:51" ht="14.25" thickTop="1" thickBot="1" x14ac:dyDescent="0.25">
      <c r="A19" s="187">
        <v>17</v>
      </c>
      <c r="B19" s="194" t="s">
        <v>92</v>
      </c>
      <c r="C19" s="273"/>
      <c r="D19" s="274"/>
      <c r="E19" s="268"/>
      <c r="F19" s="267" t="s">
        <v>191</v>
      </c>
      <c r="G19" s="268"/>
      <c r="H19" s="269"/>
      <c r="I19" s="192"/>
      <c r="J19" s="20" t="s">
        <v>648</v>
      </c>
      <c r="K19" s="7" t="s">
        <v>214</v>
      </c>
      <c r="L19" s="184">
        <v>16</v>
      </c>
      <c r="M19" s="184">
        <v>51</v>
      </c>
      <c r="N19" s="8">
        <f t="shared" si="0"/>
        <v>0</v>
      </c>
      <c r="P19" s="270" t="str">
        <f>IF(AND(LOCATION!D19&lt;96.9999,LOCATION!D19&gt;94.999),"West","")</f>
        <v/>
      </c>
      <c r="Q19" s="269"/>
      <c r="S19" s="32"/>
      <c r="T19" s="16" t="s">
        <v>241</v>
      </c>
      <c r="U19" s="16"/>
      <c r="V19" s="587">
        <f>VLOOKUP(V14,U16:V18,2)</f>
        <v>0.59209999999999996</v>
      </c>
      <c r="X19" s="32">
        <v>1</v>
      </c>
      <c r="Y19" s="22">
        <v>25</v>
      </c>
      <c r="Z19" s="22">
        <v>2.77</v>
      </c>
      <c r="AA19" s="22">
        <v>2.77</v>
      </c>
      <c r="AB19" s="22">
        <v>2.77</v>
      </c>
      <c r="AC19" s="212">
        <v>0</v>
      </c>
      <c r="AD19" s="208">
        <v>4</v>
      </c>
      <c r="AE19" s="164" t="s">
        <v>348</v>
      </c>
      <c r="AI19" s="184"/>
      <c r="AJ19" s="184"/>
      <c r="AK19" s="641"/>
      <c r="AL19" s="642"/>
      <c r="AM19" s="642"/>
      <c r="AN19" s="642"/>
      <c r="AO19" s="642"/>
      <c r="AP19" s="642"/>
      <c r="AQ19" s="642"/>
      <c r="AR19" s="642"/>
      <c r="AS19" s="642"/>
      <c r="AT19" s="642"/>
      <c r="AU19" s="642"/>
      <c r="AV19" s="642"/>
      <c r="AW19" s="644"/>
      <c r="AX19" s="184"/>
      <c r="AY19" s="184"/>
    </row>
    <row r="20" spans="1:51" ht="14.25" thickTop="1" thickBot="1" x14ac:dyDescent="0.25">
      <c r="A20" s="187">
        <v>18</v>
      </c>
      <c r="B20" s="194" t="s">
        <v>120</v>
      </c>
      <c r="C20" s="273"/>
      <c r="D20" s="274"/>
      <c r="E20" s="268"/>
      <c r="F20" s="267" t="s">
        <v>192</v>
      </c>
      <c r="G20" s="268"/>
      <c r="H20" s="269"/>
      <c r="I20" s="232">
        <v>1</v>
      </c>
      <c r="J20" s="4" t="s">
        <v>477</v>
      </c>
      <c r="K20" s="7" t="s">
        <v>214</v>
      </c>
      <c r="L20" s="184">
        <v>17</v>
      </c>
      <c r="M20" s="184">
        <v>51</v>
      </c>
      <c r="N20" s="8">
        <f t="shared" si="0"/>
        <v>0</v>
      </c>
      <c r="P20" s="270" t="str">
        <f>IF(AND(LOCATION!D19&gt;93.99999,LOCATION!D19&lt;94.999),"Transition West-WestCentral","")</f>
        <v/>
      </c>
      <c r="Q20" s="269"/>
      <c r="S20" s="32"/>
      <c r="T20" s="16" t="s">
        <v>237</v>
      </c>
      <c r="U20" s="16" t="s">
        <v>228</v>
      </c>
      <c r="V20" s="587">
        <v>2</v>
      </c>
      <c r="X20" s="32">
        <v>2</v>
      </c>
      <c r="Y20" s="15">
        <v>50</v>
      </c>
      <c r="Z20" s="15">
        <v>2.77</v>
      </c>
      <c r="AA20" s="15">
        <v>2.56</v>
      </c>
      <c r="AB20" s="15">
        <v>2.37</v>
      </c>
      <c r="AC20" s="118">
        <v>-9.84</v>
      </c>
      <c r="AD20" s="208">
        <v>5</v>
      </c>
      <c r="AE20" s="164" t="s">
        <v>350</v>
      </c>
      <c r="AI20" s="184"/>
      <c r="AJ20" s="184"/>
      <c r="AK20" s="643"/>
      <c r="AL20" s="642"/>
      <c r="AM20" s="642"/>
      <c r="AN20" s="642"/>
      <c r="AO20" s="642"/>
      <c r="AP20" s="642"/>
      <c r="AQ20" s="184"/>
      <c r="AR20" s="642"/>
      <c r="AS20" s="642"/>
      <c r="AT20" s="642"/>
      <c r="AU20" s="642"/>
      <c r="AV20" s="642"/>
      <c r="AW20" s="644"/>
      <c r="AX20" s="184"/>
      <c r="AY20" s="184"/>
    </row>
    <row r="21" spans="1:51" ht="14.25" thickTop="1" thickBot="1" x14ac:dyDescent="0.25">
      <c r="A21" s="187">
        <v>19</v>
      </c>
      <c r="B21" s="194" t="s">
        <v>121</v>
      </c>
      <c r="C21" s="273"/>
      <c r="D21" s="274">
        <v>2</v>
      </c>
      <c r="E21" s="268"/>
      <c r="F21" s="267" t="s">
        <v>193</v>
      </c>
      <c r="G21" s="268"/>
      <c r="H21" s="269"/>
      <c r="I21" s="232">
        <v>2</v>
      </c>
      <c r="J21" s="4" t="s">
        <v>318</v>
      </c>
      <c r="K21" s="7" t="s">
        <v>214</v>
      </c>
      <c r="L21" s="184">
        <v>18</v>
      </c>
      <c r="M21" s="184">
        <v>51</v>
      </c>
      <c r="N21" s="8">
        <f t="shared" si="0"/>
        <v>0</v>
      </c>
      <c r="P21" s="270" t="str">
        <f>IF(AND(LOCATION!D19&lt;90.4999,LOCATION!D19&gt;93.999),"WestCentral","")</f>
        <v/>
      </c>
      <c r="Q21" s="269"/>
      <c r="S21" s="33"/>
      <c r="T21" s="1"/>
      <c r="U21" s="1" t="s">
        <v>238</v>
      </c>
      <c r="V21" s="588">
        <f>VLOOKUP(V20,U16:V18,2)</f>
        <v>0.59209999999999996</v>
      </c>
      <c r="X21" s="32">
        <v>3</v>
      </c>
      <c r="Y21" s="15">
        <v>100</v>
      </c>
      <c r="Z21" s="15">
        <v>2.39</v>
      </c>
      <c r="AA21" s="15">
        <v>2.13</v>
      </c>
      <c r="AB21" s="15">
        <v>1.9</v>
      </c>
      <c r="AC21" s="118">
        <v>-13.12</v>
      </c>
      <c r="AD21" s="207">
        <v>6</v>
      </c>
      <c r="AE21" s="164" t="s">
        <v>351</v>
      </c>
      <c r="AI21" s="184"/>
      <c r="AJ21" s="184"/>
      <c r="AK21" s="643"/>
      <c r="AL21" s="642"/>
      <c r="AM21" s="642"/>
      <c r="AN21" s="642"/>
      <c r="AO21" s="642"/>
      <c r="AP21" s="642"/>
      <c r="AQ21" s="642"/>
      <c r="AR21" s="642"/>
      <c r="AS21" s="642"/>
      <c r="AT21" s="642"/>
      <c r="AU21" s="642"/>
      <c r="AV21" s="642"/>
      <c r="AW21" s="644"/>
      <c r="AX21" s="184"/>
      <c r="AY21" s="184"/>
    </row>
    <row r="22" spans="1:51" ht="14.25" thickTop="1" thickBot="1" x14ac:dyDescent="0.25">
      <c r="A22" s="187">
        <v>20</v>
      </c>
      <c r="B22" s="194" t="s">
        <v>122</v>
      </c>
      <c r="C22" s="273"/>
      <c r="D22" s="274"/>
      <c r="E22" s="268"/>
      <c r="F22" s="267" t="s">
        <v>194</v>
      </c>
      <c r="G22" s="268"/>
      <c r="H22" s="269"/>
      <c r="I22" s="232"/>
      <c r="J22" s="4"/>
      <c r="K22" s="7" t="s">
        <v>214</v>
      </c>
      <c r="L22" s="184">
        <v>19</v>
      </c>
      <c r="M22" s="184">
        <v>51</v>
      </c>
      <c r="N22" s="8">
        <f t="shared" si="0"/>
        <v>0</v>
      </c>
      <c r="P22" s="270" t="str">
        <f>IF(AND(LOCATION!D19&lt;90.4999,LOCATION!D19&gt;89.499),"Transition Central-WestCentral","")</f>
        <v/>
      </c>
      <c r="Q22" s="269"/>
      <c r="X22" s="32">
        <v>4</v>
      </c>
      <c r="Y22" s="15">
        <v>200</v>
      </c>
      <c r="Z22" s="15">
        <v>1.67</v>
      </c>
      <c r="AA22" s="15">
        <v>1.55</v>
      </c>
      <c r="AB22" s="15">
        <v>1.46</v>
      </c>
      <c r="AC22" s="118">
        <v>-16.399999999999999</v>
      </c>
      <c r="AD22" s="99">
        <v>7</v>
      </c>
      <c r="AE22" s="165" t="s">
        <v>349</v>
      </c>
      <c r="AI22" s="184"/>
      <c r="AJ22" s="184"/>
      <c r="AK22" s="641"/>
      <c r="AL22" s="642"/>
      <c r="AM22" s="642"/>
      <c r="AN22" s="642"/>
      <c r="AO22" s="642"/>
      <c r="AP22" s="642"/>
      <c r="AQ22" s="642"/>
      <c r="AR22" s="642"/>
      <c r="AS22" s="642"/>
      <c r="AT22" s="642"/>
      <c r="AU22" s="642"/>
      <c r="AV22" s="642"/>
      <c r="AW22" s="644"/>
      <c r="AX22" s="184"/>
      <c r="AY22" s="184"/>
    </row>
    <row r="23" spans="1:51" ht="14.25" thickTop="1" thickBot="1" x14ac:dyDescent="0.25">
      <c r="A23" s="187">
        <v>21</v>
      </c>
      <c r="B23" s="194" t="s">
        <v>124</v>
      </c>
      <c r="C23" s="273"/>
      <c r="D23" s="274"/>
      <c r="E23" s="268"/>
      <c r="F23" s="267" t="s">
        <v>195</v>
      </c>
      <c r="G23" s="268"/>
      <c r="H23" s="269"/>
      <c r="I23" s="232"/>
      <c r="J23" s="590">
        <v>1</v>
      </c>
      <c r="K23" s="7" t="s">
        <v>214</v>
      </c>
      <c r="L23" s="184">
        <v>20</v>
      </c>
      <c r="M23" s="184">
        <v>51</v>
      </c>
      <c r="N23" s="8">
        <f t="shared" si="0"/>
        <v>0</v>
      </c>
      <c r="P23" s="270" t="str">
        <f>IF(AND(LOCATION!D19&lt;89.4999,LOCATION!D19&gt;86.499),"Central","")</f>
        <v/>
      </c>
      <c r="Q23" s="269"/>
      <c r="X23" s="32">
        <v>5</v>
      </c>
      <c r="Y23" s="15">
        <v>300</v>
      </c>
      <c r="Z23" s="15">
        <v>1.49</v>
      </c>
      <c r="AA23" s="15">
        <v>1.4</v>
      </c>
      <c r="AB23" s="15">
        <v>1.32</v>
      </c>
      <c r="AC23" s="118">
        <v>-82.02</v>
      </c>
      <c r="AD23" s="209"/>
      <c r="AE23" s="635">
        <v>6</v>
      </c>
      <c r="AI23" s="184"/>
      <c r="AJ23" s="184"/>
      <c r="AK23" s="641"/>
      <c r="AL23" s="642"/>
      <c r="AM23" s="642"/>
      <c r="AN23" s="642"/>
      <c r="AO23" s="642"/>
      <c r="AP23" s="642"/>
      <c r="AQ23" s="642"/>
      <c r="AR23" s="642"/>
      <c r="AS23" s="642"/>
      <c r="AT23" s="642"/>
      <c r="AU23" s="642"/>
      <c r="AV23" s="642"/>
      <c r="AW23" s="644"/>
      <c r="AX23" s="184"/>
      <c r="AY23" s="184"/>
    </row>
    <row r="24" spans="1:51" ht="14.25" thickTop="1" thickBot="1" x14ac:dyDescent="0.25">
      <c r="A24" s="187">
        <v>22</v>
      </c>
      <c r="B24" s="194" t="s">
        <v>123</v>
      </c>
      <c r="C24" s="273"/>
      <c r="D24" s="274"/>
      <c r="E24" s="268"/>
      <c r="F24" s="267" t="s">
        <v>196</v>
      </c>
      <c r="G24" s="268"/>
      <c r="H24" s="269"/>
      <c r="I24" s="192"/>
      <c r="J24" s="192" t="s">
        <v>629</v>
      </c>
      <c r="K24" s="7" t="s">
        <v>214</v>
      </c>
      <c r="L24" s="184">
        <v>21</v>
      </c>
      <c r="M24" s="184">
        <v>51</v>
      </c>
      <c r="N24" s="8">
        <f t="shared" si="0"/>
        <v>0</v>
      </c>
      <c r="P24" s="270" t="str">
        <f>IF(AND(LOCATION!D19&lt;86.4999,LOCATION!D19&gt;85.499),"Transition East-Central","")</f>
        <v/>
      </c>
      <c r="Q24" s="269"/>
      <c r="X24" s="32">
        <v>6</v>
      </c>
      <c r="Y24" s="15">
        <v>400</v>
      </c>
      <c r="Z24" s="15">
        <v>1.32</v>
      </c>
      <c r="AA24" s="15">
        <v>1.24</v>
      </c>
      <c r="AB24" s="15">
        <v>1.1599999999999999</v>
      </c>
      <c r="AC24" s="118">
        <v>-180.44</v>
      </c>
      <c r="AD24" s="195"/>
      <c r="AE24" s="217" t="s">
        <v>460</v>
      </c>
      <c r="AI24" s="184"/>
      <c r="AJ24" s="184"/>
      <c r="AK24" s="641"/>
      <c r="AL24" s="642"/>
      <c r="AM24" s="642"/>
      <c r="AN24" s="642"/>
      <c r="AO24" s="642"/>
      <c r="AP24" s="642"/>
      <c r="AQ24" s="642"/>
      <c r="AR24" s="642"/>
      <c r="AS24" s="642"/>
      <c r="AT24" s="642"/>
      <c r="AU24" s="642"/>
      <c r="AV24" s="642"/>
      <c r="AW24" s="644"/>
      <c r="AX24" s="184"/>
      <c r="AY24" s="184"/>
    </row>
    <row r="25" spans="1:51" ht="13.5" thickBot="1" x14ac:dyDescent="0.25">
      <c r="A25" s="187">
        <v>23</v>
      </c>
      <c r="B25" s="194" t="s">
        <v>96</v>
      </c>
      <c r="C25" s="273"/>
      <c r="D25" s="274"/>
      <c r="E25" s="268"/>
      <c r="F25" s="267" t="s">
        <v>197</v>
      </c>
      <c r="G25" s="268"/>
      <c r="H25" s="269"/>
      <c r="I25" s="16"/>
      <c r="J25" s="16" t="s">
        <v>221</v>
      </c>
      <c r="K25" s="7" t="s">
        <v>214</v>
      </c>
      <c r="L25" s="184">
        <v>22</v>
      </c>
      <c r="M25" s="184">
        <v>51</v>
      </c>
      <c r="N25" s="8">
        <f t="shared" si="0"/>
        <v>0</v>
      </c>
      <c r="P25" s="270" t="str">
        <f>IF(AND(LOCATION!D19&lt;85.4999,LOCATION!D19&gt;82.399),"East","")</f>
        <v/>
      </c>
      <c r="Q25" s="269"/>
      <c r="X25" s="298"/>
      <c r="Y25" s="288" t="s">
        <v>244</v>
      </c>
      <c r="Z25" s="288"/>
      <c r="AA25" s="288"/>
      <c r="AB25" s="288"/>
      <c r="AC25" s="299"/>
      <c r="AD25" s="289" t="s">
        <v>222</v>
      </c>
      <c r="AE25" s="3" t="s">
        <v>222</v>
      </c>
      <c r="AF25" s="16"/>
      <c r="AI25" s="184"/>
      <c r="AJ25" s="184"/>
      <c r="AK25" s="643"/>
      <c r="AL25" s="642"/>
      <c r="AM25" s="642"/>
      <c r="AN25" s="642"/>
      <c r="AO25" s="642"/>
      <c r="AP25" s="642"/>
      <c r="AQ25" s="642"/>
      <c r="AR25" s="184"/>
      <c r="AS25" s="642"/>
      <c r="AT25" s="642"/>
      <c r="AU25" s="642"/>
      <c r="AV25" s="642"/>
      <c r="AW25" s="644"/>
      <c r="AX25" s="184"/>
      <c r="AY25" s="184"/>
    </row>
    <row r="26" spans="1:51" x14ac:dyDescent="0.2">
      <c r="A26" s="187">
        <v>24</v>
      </c>
      <c r="B26" s="194" t="s">
        <v>119</v>
      </c>
      <c r="C26" s="273"/>
      <c r="D26" s="274"/>
      <c r="E26" s="268"/>
      <c r="F26" s="267" t="s">
        <v>198</v>
      </c>
      <c r="G26" s="268"/>
      <c r="H26" s="269"/>
      <c r="I26" s="16"/>
      <c r="J26" s="16" t="s">
        <v>318</v>
      </c>
      <c r="K26" s="7" t="s">
        <v>214</v>
      </c>
      <c r="L26" s="184">
        <v>23</v>
      </c>
      <c r="M26" s="184">
        <v>51</v>
      </c>
      <c r="N26" s="8">
        <f t="shared" si="0"/>
        <v>0</v>
      </c>
      <c r="P26" s="282"/>
      <c r="Q26" s="269"/>
      <c r="X26" s="32">
        <v>1</v>
      </c>
      <c r="Y26" s="22">
        <v>25</v>
      </c>
      <c r="Z26" s="22">
        <v>1.57</v>
      </c>
      <c r="AA26" s="22">
        <v>1.57</v>
      </c>
      <c r="AB26" s="22">
        <v>1.57</v>
      </c>
      <c r="AC26" s="212">
        <v>0</v>
      </c>
      <c r="AD26" s="289" t="s">
        <v>222</v>
      </c>
      <c r="AE26" s="3" t="s">
        <v>462</v>
      </c>
      <c r="AF26" s="16"/>
      <c r="AI26" s="184"/>
      <c r="AJ26" s="184"/>
      <c r="AK26" s="641"/>
      <c r="AL26" s="642"/>
      <c r="AM26" s="642"/>
      <c r="AN26" s="642"/>
      <c r="AO26" s="642"/>
      <c r="AP26" s="642"/>
      <c r="AQ26" s="642"/>
      <c r="AR26" s="184"/>
      <c r="AS26" s="642"/>
      <c r="AT26" s="642"/>
      <c r="AU26" s="642"/>
      <c r="AV26" s="642"/>
      <c r="AW26" s="644"/>
      <c r="AX26" s="184"/>
      <c r="AY26" s="184"/>
    </row>
    <row r="27" spans="1:51" ht="13.5" thickBot="1" x14ac:dyDescent="0.25">
      <c r="A27" s="187">
        <v>25</v>
      </c>
      <c r="B27" s="194" t="s">
        <v>94</v>
      </c>
      <c r="C27" s="273"/>
      <c r="D27" s="274"/>
      <c r="E27" s="268"/>
      <c r="F27" s="267" t="s">
        <v>199</v>
      </c>
      <c r="G27" s="268"/>
      <c r="H27" s="269"/>
      <c r="I27" s="1"/>
      <c r="J27" s="622">
        <v>1</v>
      </c>
      <c r="K27" s="7" t="s">
        <v>214</v>
      </c>
      <c r="L27" s="184">
        <v>24</v>
      </c>
      <c r="M27" s="184">
        <v>51</v>
      </c>
      <c r="N27" s="8">
        <f t="shared" si="0"/>
        <v>0</v>
      </c>
      <c r="P27" s="270"/>
      <c r="Q27" s="269"/>
      <c r="X27" s="32">
        <v>2</v>
      </c>
      <c r="Y27" s="15">
        <v>50</v>
      </c>
      <c r="Z27" s="15">
        <v>1.57</v>
      </c>
      <c r="AA27" s="15">
        <v>1.2470000000000001</v>
      </c>
      <c r="AB27" s="15">
        <v>1.36</v>
      </c>
      <c r="AC27" s="118">
        <v>-9.84</v>
      </c>
      <c r="AD27" s="4"/>
      <c r="AE27" s="3" t="s">
        <v>461</v>
      </c>
      <c r="AF27" s="16"/>
      <c r="AI27" s="184"/>
      <c r="AJ27" s="184"/>
      <c r="AK27" s="641"/>
      <c r="AL27" s="642"/>
      <c r="AM27" s="642"/>
      <c r="AN27" s="642"/>
      <c r="AO27" s="642"/>
      <c r="AP27" s="642"/>
      <c r="AQ27" s="642"/>
      <c r="AR27" s="184"/>
      <c r="AS27" s="642"/>
      <c r="AT27" s="642"/>
      <c r="AU27" s="642"/>
      <c r="AV27" s="642"/>
      <c r="AW27" s="644"/>
      <c r="AX27" s="184"/>
      <c r="AY27" s="184"/>
    </row>
    <row r="28" spans="1:51" ht="14.25" thickTop="1" thickBot="1" x14ac:dyDescent="0.25">
      <c r="A28" s="187">
        <v>26</v>
      </c>
      <c r="B28" s="194" t="s">
        <v>129</v>
      </c>
      <c r="C28" s="273"/>
      <c r="D28" s="274"/>
      <c r="E28" s="268"/>
      <c r="F28" s="267" t="s">
        <v>200</v>
      </c>
      <c r="G28" s="268"/>
      <c r="H28" s="269"/>
      <c r="I28" s="192"/>
      <c r="J28" s="192"/>
      <c r="K28" s="7" t="s">
        <v>214</v>
      </c>
      <c r="L28" s="184">
        <v>25</v>
      </c>
      <c r="M28" s="184">
        <v>51</v>
      </c>
      <c r="N28" s="8">
        <f t="shared" si="0"/>
        <v>0</v>
      </c>
      <c r="P28" s="283"/>
      <c r="Q28" s="276"/>
      <c r="X28" s="32">
        <v>3</v>
      </c>
      <c r="Y28" s="15">
        <v>100</v>
      </c>
      <c r="Z28" s="15">
        <v>1.51</v>
      </c>
      <c r="AA28" s="15">
        <v>1.4</v>
      </c>
      <c r="AB28" s="15">
        <v>1.22</v>
      </c>
      <c r="AC28" s="118">
        <v>-13.12</v>
      </c>
      <c r="AD28" s="290"/>
      <c r="AE28" s="634">
        <v>2</v>
      </c>
      <c r="AF28" s="16"/>
      <c r="AI28" s="184"/>
      <c r="AJ28" s="184"/>
      <c r="AK28" s="643"/>
      <c r="AL28" s="642"/>
      <c r="AM28" s="642"/>
      <c r="AN28" s="642"/>
      <c r="AO28" s="642"/>
      <c r="AP28" s="642"/>
      <c r="AQ28" s="642"/>
      <c r="AR28" s="184"/>
      <c r="AS28" s="642"/>
      <c r="AT28" s="642"/>
      <c r="AU28" s="642"/>
      <c r="AV28" s="642"/>
      <c r="AW28" s="645"/>
      <c r="AX28" s="184"/>
      <c r="AY28" s="184"/>
    </row>
    <row r="29" spans="1:51" ht="13.5" thickTop="1" x14ac:dyDescent="0.2">
      <c r="A29" s="187">
        <v>27</v>
      </c>
      <c r="B29" s="194" t="s">
        <v>104</v>
      </c>
      <c r="C29" s="273"/>
      <c r="D29" s="274"/>
      <c r="E29" s="268"/>
      <c r="F29" s="267" t="s">
        <v>201</v>
      </c>
      <c r="G29" s="268"/>
      <c r="H29" s="269"/>
      <c r="I29" s="16"/>
      <c r="J29" s="16"/>
      <c r="K29" s="7" t="s">
        <v>214</v>
      </c>
      <c r="L29" s="184">
        <v>26</v>
      </c>
      <c r="M29" s="184">
        <v>51</v>
      </c>
      <c r="N29" s="8">
        <f t="shared" si="0"/>
        <v>0</v>
      </c>
      <c r="X29" s="32">
        <v>4</v>
      </c>
      <c r="Y29" s="15">
        <v>200</v>
      </c>
      <c r="Z29" s="15">
        <v>1.1299999999999999</v>
      </c>
      <c r="AA29" s="15">
        <v>1.0900000000000001</v>
      </c>
      <c r="AB29" s="15">
        <v>0.99</v>
      </c>
      <c r="AC29" s="118">
        <v>-16.399999999999999</v>
      </c>
      <c r="AD29" s="16"/>
      <c r="AE29" s="16"/>
      <c r="AF29" s="16"/>
      <c r="AI29" s="184"/>
      <c r="AJ29" s="184"/>
      <c r="AK29" s="643"/>
      <c r="AL29" s="642"/>
      <c r="AM29" s="642"/>
      <c r="AN29" s="642"/>
      <c r="AO29" s="642"/>
      <c r="AP29" s="642"/>
      <c r="AQ29" s="642"/>
      <c r="AR29" s="184"/>
      <c r="AS29" s="642"/>
      <c r="AT29" s="642"/>
      <c r="AU29" s="642"/>
      <c r="AV29" s="642"/>
      <c r="AW29" s="646"/>
      <c r="AX29" s="184"/>
      <c r="AY29" s="184"/>
    </row>
    <row r="30" spans="1:51" ht="13.5" thickBot="1" x14ac:dyDescent="0.25">
      <c r="A30" s="187">
        <v>28</v>
      </c>
      <c r="B30" s="194" t="s">
        <v>131</v>
      </c>
      <c r="C30" s="273"/>
      <c r="D30" s="274"/>
      <c r="E30" s="268">
        <v>2</v>
      </c>
      <c r="F30" s="267" t="s">
        <v>202</v>
      </c>
      <c r="G30" s="268"/>
      <c r="H30" s="269"/>
      <c r="I30" s="16"/>
      <c r="J30" s="16"/>
      <c r="K30" s="7" t="s">
        <v>214</v>
      </c>
      <c r="L30" s="184">
        <v>27</v>
      </c>
      <c r="M30" s="184">
        <v>51</v>
      </c>
      <c r="N30" s="8">
        <f t="shared" si="0"/>
        <v>0</v>
      </c>
      <c r="X30" s="32">
        <v>5</v>
      </c>
      <c r="Y30" s="15">
        <v>300</v>
      </c>
      <c r="Z30" s="15">
        <v>1.1399999999999999</v>
      </c>
      <c r="AA30" s="15">
        <v>1.0900000000000001</v>
      </c>
      <c r="AB30" s="15">
        <v>1.01</v>
      </c>
      <c r="AC30" s="118">
        <v>-82.02</v>
      </c>
      <c r="AI30" s="184"/>
      <c r="AJ30" s="184"/>
      <c r="AK30" s="641"/>
      <c r="AL30" s="642"/>
      <c r="AM30" s="642"/>
      <c r="AN30" s="642"/>
      <c r="AO30" s="642"/>
      <c r="AP30" s="642"/>
      <c r="AQ30" s="642"/>
      <c r="AR30" s="184"/>
      <c r="AS30" s="642"/>
      <c r="AT30" s="642"/>
      <c r="AU30" s="642"/>
      <c r="AV30" s="642"/>
      <c r="AW30" s="646"/>
      <c r="AX30" s="184"/>
      <c r="AY30" s="184"/>
    </row>
    <row r="31" spans="1:51" ht="27.75" customHeight="1" thickTop="1" thickBot="1" x14ac:dyDescent="0.25">
      <c r="A31" s="187">
        <v>29</v>
      </c>
      <c r="B31" s="183" t="s">
        <v>133</v>
      </c>
      <c r="C31" s="273"/>
      <c r="D31" s="274"/>
      <c r="E31" s="268"/>
      <c r="F31" s="267" t="s">
        <v>203</v>
      </c>
      <c r="G31" s="268"/>
      <c r="H31" s="269"/>
      <c r="I31" s="1"/>
      <c r="J31" s="622"/>
      <c r="K31" s="7" t="s">
        <v>214</v>
      </c>
      <c r="L31" s="184">
        <v>28</v>
      </c>
      <c r="M31" s="184">
        <v>51</v>
      </c>
      <c r="N31" s="8">
        <f t="shared" si="0"/>
        <v>0</v>
      </c>
      <c r="X31" s="32">
        <v>6</v>
      </c>
      <c r="Y31" s="15">
        <v>400</v>
      </c>
      <c r="Z31" s="15">
        <v>1.07</v>
      </c>
      <c r="AA31" s="15">
        <v>1.03</v>
      </c>
      <c r="AB31" s="15">
        <v>0.95</v>
      </c>
      <c r="AC31" s="118">
        <v>-114.83</v>
      </c>
      <c r="AD31" s="291"/>
      <c r="AE31" s="300"/>
      <c r="AI31" s="1208"/>
      <c r="AJ31" s="1209"/>
      <c r="AK31" s="1209"/>
      <c r="AL31" s="184"/>
      <c r="AM31" s="642"/>
      <c r="AN31" s="642"/>
      <c r="AO31" s="642"/>
      <c r="AP31" s="642"/>
      <c r="AQ31" s="642"/>
      <c r="AR31" s="184"/>
      <c r="AS31" s="642"/>
      <c r="AT31" s="642"/>
      <c r="AU31" s="642"/>
      <c r="AV31" s="642"/>
      <c r="AW31" s="645"/>
      <c r="AX31" s="184"/>
      <c r="AY31" s="184"/>
    </row>
    <row r="32" spans="1:51" ht="14.25" thickTop="1" thickBot="1" x14ac:dyDescent="0.25">
      <c r="A32" s="187">
        <v>30</v>
      </c>
      <c r="B32" s="183" t="s">
        <v>134</v>
      </c>
      <c r="C32" s="273"/>
      <c r="D32" s="274"/>
      <c r="E32" s="268"/>
      <c r="F32" s="267" t="s">
        <v>204</v>
      </c>
      <c r="G32" s="268"/>
      <c r="H32" s="269"/>
      <c r="I32" s="192" t="s">
        <v>415</v>
      </c>
      <c r="J32" s="281"/>
      <c r="K32" s="7" t="s">
        <v>214</v>
      </c>
      <c r="L32" s="184">
        <v>29</v>
      </c>
      <c r="M32" s="184">
        <v>51</v>
      </c>
      <c r="N32" s="8">
        <f t="shared" si="0"/>
        <v>0</v>
      </c>
      <c r="X32" s="32"/>
      <c r="Y32" s="16"/>
      <c r="Z32" s="16"/>
      <c r="AA32" s="16"/>
      <c r="AB32" s="16"/>
      <c r="AC32" s="3"/>
      <c r="AD32" s="292"/>
      <c r="AE32" s="168"/>
      <c r="AI32" s="184"/>
      <c r="AJ32" s="184"/>
      <c r="AK32" s="643"/>
      <c r="AL32" s="642"/>
      <c r="AM32" s="642"/>
      <c r="AN32" s="642"/>
      <c r="AO32" s="642"/>
      <c r="AP32" s="642"/>
      <c r="AQ32" s="642"/>
      <c r="AR32" s="184"/>
      <c r="AS32" s="642"/>
      <c r="AT32" s="642"/>
      <c r="AU32" s="642"/>
      <c r="AV32" s="642"/>
      <c r="AW32" s="645"/>
      <c r="AX32" s="184"/>
      <c r="AY32" s="184"/>
    </row>
    <row r="33" spans="1:51" ht="14.25" thickTop="1" thickBot="1" x14ac:dyDescent="0.25">
      <c r="A33" s="187">
        <v>31</v>
      </c>
      <c r="B33" s="183" t="s">
        <v>136</v>
      </c>
      <c r="C33" s="273"/>
      <c r="D33" s="274"/>
      <c r="E33" s="268"/>
      <c r="F33" s="267" t="s">
        <v>205</v>
      </c>
      <c r="G33" s="268"/>
      <c r="H33" s="269"/>
      <c r="I33" s="16"/>
      <c r="J33" s="16" t="s">
        <v>221</v>
      </c>
      <c r="K33" s="7" t="s">
        <v>214</v>
      </c>
      <c r="L33" s="184">
        <v>30</v>
      </c>
      <c r="M33" s="184">
        <v>51</v>
      </c>
      <c r="N33" s="8">
        <f t="shared" si="0"/>
        <v>0</v>
      </c>
      <c r="X33" s="33"/>
      <c r="Y33" s="1" t="s">
        <v>250</v>
      </c>
      <c r="Z33" s="1"/>
      <c r="AA33" s="1"/>
      <c r="AB33" s="1"/>
      <c r="AC33" s="2"/>
      <c r="AD33" s="1"/>
      <c r="AE33" s="356" t="s">
        <v>705</v>
      </c>
      <c r="AI33" s="184"/>
      <c r="AJ33" s="184"/>
      <c r="AK33" s="641"/>
      <c r="AL33" s="642"/>
      <c r="AM33" s="642"/>
      <c r="AN33" s="642"/>
      <c r="AO33" s="642"/>
      <c r="AP33" s="642"/>
      <c r="AQ33" s="642"/>
      <c r="AR33" s="184"/>
      <c r="AS33" s="642"/>
      <c r="AT33" s="642"/>
      <c r="AU33" s="642"/>
      <c r="AV33" s="642"/>
      <c r="AW33" s="645"/>
      <c r="AX33" s="184"/>
      <c r="AY33" s="184"/>
    </row>
    <row r="34" spans="1:51" ht="14.25" thickTop="1" thickBot="1" x14ac:dyDescent="0.25">
      <c r="A34" s="187">
        <v>32</v>
      </c>
      <c r="B34" s="183" t="s">
        <v>137</v>
      </c>
      <c r="C34" s="273"/>
      <c r="D34" s="274"/>
      <c r="E34" s="268"/>
      <c r="F34" s="267" t="s">
        <v>206</v>
      </c>
      <c r="G34" s="268"/>
      <c r="H34" s="269"/>
      <c r="I34" s="16"/>
      <c r="J34" s="16" t="s">
        <v>318</v>
      </c>
      <c r="K34" s="7" t="s">
        <v>214</v>
      </c>
      <c r="L34" s="184">
        <v>31</v>
      </c>
      <c r="M34" s="184">
        <v>51</v>
      </c>
      <c r="N34" s="8">
        <f t="shared" si="0"/>
        <v>0</v>
      </c>
      <c r="AE34" s="633">
        <v>1</v>
      </c>
      <c r="AI34" s="184"/>
      <c r="AJ34" s="184"/>
      <c r="AK34" s="643"/>
      <c r="AL34" s="642"/>
      <c r="AM34" s="642"/>
      <c r="AN34" s="642"/>
      <c r="AO34" s="642"/>
      <c r="AP34" s="642"/>
      <c r="AQ34" s="642"/>
      <c r="AR34" s="184"/>
      <c r="AS34" s="642"/>
      <c r="AT34" s="642"/>
      <c r="AU34" s="642"/>
      <c r="AV34" s="642"/>
      <c r="AW34" s="645"/>
      <c r="AX34" s="184"/>
      <c r="AY34" s="184"/>
    </row>
    <row r="35" spans="1:51" ht="14.25" thickTop="1" thickBot="1" x14ac:dyDescent="0.25">
      <c r="A35" s="187">
        <v>33</v>
      </c>
      <c r="B35" s="183" t="s">
        <v>138</v>
      </c>
      <c r="C35" s="594"/>
      <c r="D35" s="595"/>
      <c r="E35" s="596" t="s">
        <v>172</v>
      </c>
      <c r="F35" s="597" t="s">
        <v>430</v>
      </c>
      <c r="G35" s="595" t="s">
        <v>431</v>
      </c>
      <c r="H35" s="277" t="s">
        <v>432</v>
      </c>
      <c r="I35" s="1"/>
      <c r="J35" s="622">
        <v>1</v>
      </c>
      <c r="K35" s="7" t="s">
        <v>214</v>
      </c>
      <c r="L35" s="184">
        <v>32</v>
      </c>
      <c r="M35" s="184">
        <v>51</v>
      </c>
      <c r="N35" s="8">
        <f t="shared" si="0"/>
        <v>0</v>
      </c>
      <c r="AI35" s="184"/>
      <c r="AJ35" s="184"/>
      <c r="AK35" s="641"/>
      <c r="AL35" s="184"/>
      <c r="AM35" s="184"/>
      <c r="AN35" s="184"/>
      <c r="AO35" s="184"/>
      <c r="AP35" s="184"/>
      <c r="AQ35" s="184"/>
      <c r="AR35" s="184"/>
      <c r="AS35" s="184"/>
      <c r="AT35" s="184"/>
      <c r="AU35" s="184"/>
      <c r="AV35" s="184"/>
      <c r="AW35" s="645"/>
      <c r="AX35" s="184"/>
      <c r="AY35" s="184"/>
    </row>
    <row r="36" spans="1:51" ht="13.5" thickTop="1" x14ac:dyDescent="0.2">
      <c r="A36" s="187">
        <v>34</v>
      </c>
      <c r="B36" s="183" t="s">
        <v>114</v>
      </c>
      <c r="C36" s="594"/>
      <c r="D36" s="598" t="s">
        <v>433</v>
      </c>
      <c r="E36" s="599">
        <v>5</v>
      </c>
      <c r="F36" s="599">
        <v>5</v>
      </c>
      <c r="G36" s="600" t="str">
        <f>CONCATENATE(E36,$E$38,F36,$E$38,$F$38)</f>
        <v>5/5/1900</v>
      </c>
      <c r="H36" s="621">
        <f>G36+$G$38</f>
        <v>126</v>
      </c>
      <c r="I36" s="192"/>
      <c r="J36" s="192"/>
      <c r="K36" s="7" t="s">
        <v>214</v>
      </c>
      <c r="L36" s="184">
        <v>33</v>
      </c>
      <c r="M36" s="184">
        <v>51</v>
      </c>
      <c r="N36" s="8">
        <f t="shared" ref="N36:N67" si="1">IF(AND(M36=$A$66,L36=$A$67),1,0)</f>
        <v>0</v>
      </c>
      <c r="X36" s="385" t="s">
        <v>173</v>
      </c>
      <c r="Y36" s="386" t="s">
        <v>720</v>
      </c>
      <c r="Z36" s="385" t="s">
        <v>173</v>
      </c>
      <c r="AA36" s="386" t="s">
        <v>720</v>
      </c>
      <c r="AI36" s="184"/>
      <c r="AJ36" s="184"/>
      <c r="AK36" s="641"/>
      <c r="AL36" s="645"/>
      <c r="AM36" s="645"/>
      <c r="AN36" s="645"/>
      <c r="AO36" s="645"/>
      <c r="AP36" s="645"/>
      <c r="AQ36" s="645"/>
      <c r="AR36" s="645"/>
      <c r="AS36" s="645"/>
      <c r="AT36" s="645"/>
      <c r="AU36" s="645"/>
      <c r="AV36" s="645"/>
      <c r="AW36" s="642"/>
      <c r="AX36" s="184"/>
      <c r="AY36" s="184"/>
    </row>
    <row r="37" spans="1:51" x14ac:dyDescent="0.2">
      <c r="A37" s="187">
        <v>35</v>
      </c>
      <c r="B37" s="183" t="s">
        <v>125</v>
      </c>
      <c r="C37" s="594"/>
      <c r="D37" s="598" t="s">
        <v>434</v>
      </c>
      <c r="E37" s="599">
        <v>11</v>
      </c>
      <c r="F37" s="599">
        <v>29</v>
      </c>
      <c r="G37" s="600" t="str">
        <f>CONCATENATE(E37,$E$38,F37,$E$38,$F$38)</f>
        <v>11/29/1900</v>
      </c>
      <c r="H37" s="621">
        <f>G37+$G$38</f>
        <v>334</v>
      </c>
      <c r="I37" s="16"/>
      <c r="J37" s="16"/>
      <c r="K37" s="7" t="s">
        <v>214</v>
      </c>
      <c r="L37" s="184">
        <v>34</v>
      </c>
      <c r="M37" s="184">
        <v>51</v>
      </c>
      <c r="N37" s="8">
        <f t="shared" si="1"/>
        <v>0</v>
      </c>
      <c r="X37" s="184">
        <v>1</v>
      </c>
      <c r="Y37" s="8" t="s">
        <v>724</v>
      </c>
      <c r="Z37" s="184">
        <v>1</v>
      </c>
      <c r="AA37" s="8" t="s">
        <v>724</v>
      </c>
      <c r="AI37" s="184"/>
      <c r="AJ37" s="184"/>
      <c r="AK37" s="184"/>
      <c r="AL37" s="184"/>
      <c r="AM37" s="184"/>
      <c r="AN37" s="184"/>
      <c r="AO37" s="184"/>
      <c r="AP37" s="184"/>
      <c r="AQ37" s="184"/>
      <c r="AR37" s="184"/>
      <c r="AS37" s="184"/>
      <c r="AT37" s="184"/>
      <c r="AU37" s="184"/>
      <c r="AV37" s="184"/>
      <c r="AW37" s="184"/>
      <c r="AX37" s="184"/>
      <c r="AY37" s="184"/>
    </row>
    <row r="38" spans="1:51" x14ac:dyDescent="0.2">
      <c r="A38" s="187">
        <v>36</v>
      </c>
      <c r="B38" s="183" t="s">
        <v>139</v>
      </c>
      <c r="C38" s="594"/>
      <c r="D38" s="598"/>
      <c r="E38" s="601" t="s">
        <v>435</v>
      </c>
      <c r="F38" s="602">
        <v>1900</v>
      </c>
      <c r="G38" s="602">
        <v>0</v>
      </c>
      <c r="H38" s="269"/>
      <c r="I38" s="16"/>
      <c r="J38" s="16"/>
      <c r="K38" s="7" t="s">
        <v>214</v>
      </c>
      <c r="L38" s="184">
        <v>35</v>
      </c>
      <c r="M38" s="184">
        <v>51</v>
      </c>
      <c r="N38" s="8">
        <f t="shared" si="1"/>
        <v>0</v>
      </c>
      <c r="X38" s="184">
        <v>2</v>
      </c>
      <c r="Y38" s="8" t="s">
        <v>725</v>
      </c>
      <c r="Z38" s="184">
        <v>2</v>
      </c>
      <c r="AA38" s="8" t="s">
        <v>725</v>
      </c>
      <c r="AI38" s="184"/>
      <c r="AJ38" s="184"/>
      <c r="AK38" s="641"/>
      <c r="AL38" s="647"/>
      <c r="AM38" s="639"/>
      <c r="AN38" s="639"/>
      <c r="AO38" s="639"/>
      <c r="AP38" s="639"/>
      <c r="AQ38" s="184"/>
      <c r="AR38" s="184"/>
      <c r="AS38" s="184"/>
      <c r="AT38" s="184"/>
      <c r="AU38" s="184"/>
      <c r="AV38" s="184"/>
      <c r="AW38" s="184"/>
      <c r="AX38" s="184"/>
      <c r="AY38" s="184"/>
    </row>
    <row r="39" spans="1:51" ht="13.5" thickBot="1" x14ac:dyDescent="0.25">
      <c r="A39" s="187">
        <v>37</v>
      </c>
      <c r="B39" s="183" t="s">
        <v>90</v>
      </c>
      <c r="C39" s="594"/>
      <c r="D39" s="598"/>
      <c r="E39" s="599"/>
      <c r="F39" s="599"/>
      <c r="G39" s="599"/>
      <c r="H39" s="275"/>
      <c r="I39" s="1"/>
      <c r="J39" s="622"/>
      <c r="K39" s="7" t="s">
        <v>214</v>
      </c>
      <c r="L39" s="184">
        <v>36</v>
      </c>
      <c r="M39" s="184">
        <v>51</v>
      </c>
      <c r="N39" s="8">
        <f t="shared" si="1"/>
        <v>0</v>
      </c>
      <c r="S39" t="s">
        <v>718</v>
      </c>
      <c r="X39" s="184">
        <v>3</v>
      </c>
      <c r="Y39" s="8" t="s">
        <v>726</v>
      </c>
      <c r="Z39" s="184">
        <v>3</v>
      </c>
      <c r="AA39" s="8" t="s">
        <v>726</v>
      </c>
      <c r="AI39" s="184"/>
      <c r="AJ39" s="184"/>
      <c r="AK39" s="641"/>
      <c r="AL39" s="184"/>
      <c r="AM39" s="184"/>
      <c r="AN39" s="184"/>
      <c r="AO39" s="184"/>
      <c r="AP39" s="184"/>
      <c r="AQ39" s="184"/>
      <c r="AR39" s="184"/>
      <c r="AS39" s="184"/>
      <c r="AT39" s="184"/>
      <c r="AU39" s="184"/>
      <c r="AV39" s="184"/>
      <c r="AW39" s="184"/>
      <c r="AX39" s="184"/>
      <c r="AY39" s="184"/>
    </row>
    <row r="40" spans="1:51" ht="14.25" thickTop="1" thickBot="1" x14ac:dyDescent="0.25">
      <c r="A40" s="187">
        <v>38</v>
      </c>
      <c r="B40" s="183" t="s">
        <v>132</v>
      </c>
      <c r="C40" s="594"/>
      <c r="D40" s="603" t="s">
        <v>451</v>
      </c>
      <c r="E40" s="604">
        <v>153</v>
      </c>
      <c r="F40" s="605">
        <f t="shared" ref="F40:F45" si="2">E40</f>
        <v>153</v>
      </c>
      <c r="G40" s="599"/>
      <c r="H40" s="269"/>
      <c r="I40" s="192"/>
      <c r="J40" s="192"/>
      <c r="K40" s="7" t="s">
        <v>214</v>
      </c>
      <c r="L40" s="184">
        <v>37</v>
      </c>
      <c r="M40" s="184">
        <v>51</v>
      </c>
      <c r="N40" s="8">
        <f t="shared" si="1"/>
        <v>0</v>
      </c>
      <c r="X40" s="185"/>
      <c r="Y40" s="629">
        <v>1</v>
      </c>
      <c r="Z40" s="584"/>
      <c r="AA40" s="629">
        <v>1</v>
      </c>
      <c r="AI40" s="184"/>
      <c r="AJ40" s="184"/>
      <c r="AK40" s="641"/>
      <c r="AL40" s="184"/>
      <c r="AM40" s="184"/>
      <c r="AN40" s="184"/>
      <c r="AO40" s="184"/>
      <c r="AP40" s="184"/>
      <c r="AQ40" s="184"/>
      <c r="AR40" s="184"/>
      <c r="AS40" s="184"/>
      <c r="AT40" s="184"/>
      <c r="AU40" s="184"/>
      <c r="AV40" s="184"/>
      <c r="AW40" s="184"/>
      <c r="AX40" s="184"/>
      <c r="AY40" s="184"/>
    </row>
    <row r="41" spans="1:51" ht="13.5" thickTop="1" x14ac:dyDescent="0.2">
      <c r="A41" s="187">
        <v>39</v>
      </c>
      <c r="B41" s="183" t="s">
        <v>127</v>
      </c>
      <c r="C41" s="594"/>
      <c r="D41" s="606" t="s">
        <v>436</v>
      </c>
      <c r="E41" s="604">
        <v>214</v>
      </c>
      <c r="F41" s="605">
        <f t="shared" si="2"/>
        <v>214</v>
      </c>
      <c r="G41" s="599"/>
      <c r="H41" s="269"/>
      <c r="I41" s="16"/>
      <c r="J41" s="16"/>
      <c r="K41" s="7" t="s">
        <v>214</v>
      </c>
      <c r="L41" s="184">
        <v>38</v>
      </c>
      <c r="M41" s="184">
        <v>51</v>
      </c>
      <c r="N41" s="8">
        <f t="shared" si="1"/>
        <v>0</v>
      </c>
      <c r="AI41" s="184"/>
      <c r="AJ41" s="184"/>
      <c r="AK41" s="641"/>
      <c r="AL41" s="184"/>
      <c r="AM41" s="184"/>
      <c r="AN41" s="184"/>
      <c r="AO41" s="184"/>
      <c r="AP41" s="184"/>
      <c r="AQ41" s="184"/>
      <c r="AR41" s="184"/>
      <c r="AS41" s="184"/>
      <c r="AT41" s="184"/>
      <c r="AU41" s="184"/>
      <c r="AV41" s="184"/>
      <c r="AW41" s="184"/>
      <c r="AX41" s="184"/>
      <c r="AY41" s="184"/>
    </row>
    <row r="42" spans="1:51" x14ac:dyDescent="0.2">
      <c r="A42" s="187">
        <v>40</v>
      </c>
      <c r="B42" s="183" t="s">
        <v>128</v>
      </c>
      <c r="C42" s="594"/>
      <c r="D42" s="603" t="s">
        <v>447</v>
      </c>
      <c r="E42" s="604">
        <v>226</v>
      </c>
      <c r="F42" s="605">
        <f t="shared" si="2"/>
        <v>226</v>
      </c>
      <c r="G42" s="599"/>
      <c r="H42" s="269"/>
      <c r="I42" s="16"/>
      <c r="J42" s="16"/>
      <c r="K42" s="7" t="s">
        <v>214</v>
      </c>
      <c r="L42" s="184">
        <v>39</v>
      </c>
      <c r="M42" s="184">
        <v>51</v>
      </c>
      <c r="N42" s="8">
        <f t="shared" si="1"/>
        <v>0</v>
      </c>
      <c r="AK42" s="31"/>
    </row>
    <row r="43" spans="1:51" ht="13.5" thickBot="1" x14ac:dyDescent="0.25">
      <c r="A43" s="187">
        <v>41</v>
      </c>
      <c r="B43" s="183" t="s">
        <v>140</v>
      </c>
      <c r="C43" s="594"/>
      <c r="D43" s="603" t="s">
        <v>448</v>
      </c>
      <c r="E43" s="604">
        <v>281</v>
      </c>
      <c r="F43" s="605">
        <f t="shared" si="2"/>
        <v>281</v>
      </c>
      <c r="G43" s="599"/>
      <c r="H43" s="269"/>
      <c r="I43" s="191"/>
      <c r="J43" s="622"/>
      <c r="K43" s="7" t="s">
        <v>214</v>
      </c>
      <c r="L43" s="184">
        <v>40</v>
      </c>
      <c r="M43" s="184">
        <v>51</v>
      </c>
      <c r="N43" s="8">
        <f t="shared" si="1"/>
        <v>0</v>
      </c>
    </row>
    <row r="44" spans="1:51" ht="13.5" thickTop="1" x14ac:dyDescent="0.2">
      <c r="A44" s="187">
        <v>42</v>
      </c>
      <c r="B44" s="183" t="s">
        <v>141</v>
      </c>
      <c r="C44" s="594"/>
      <c r="D44" s="603" t="s">
        <v>449</v>
      </c>
      <c r="E44" s="604">
        <v>294</v>
      </c>
      <c r="F44" s="605">
        <f t="shared" si="2"/>
        <v>294</v>
      </c>
      <c r="G44" s="599"/>
      <c r="H44" s="269"/>
      <c r="I44" s="192" t="s">
        <v>222</v>
      </c>
      <c r="J44" s="192" t="s">
        <v>630</v>
      </c>
      <c r="K44" s="7" t="s">
        <v>214</v>
      </c>
      <c r="L44" s="184">
        <v>41</v>
      </c>
      <c r="M44" s="184">
        <v>51</v>
      </c>
      <c r="N44" s="8">
        <f t="shared" si="1"/>
        <v>0</v>
      </c>
    </row>
    <row r="45" spans="1:51" x14ac:dyDescent="0.2">
      <c r="A45" s="187">
        <v>43</v>
      </c>
      <c r="B45" s="183" t="s">
        <v>142</v>
      </c>
      <c r="C45" s="594"/>
      <c r="D45" s="603" t="s">
        <v>450</v>
      </c>
      <c r="E45" s="604">
        <v>335</v>
      </c>
      <c r="F45" s="605">
        <f t="shared" si="2"/>
        <v>335</v>
      </c>
      <c r="G45" s="599"/>
      <c r="H45" s="269"/>
      <c r="I45" s="16">
        <v>1</v>
      </c>
      <c r="J45" s="16" t="s">
        <v>221</v>
      </c>
      <c r="K45" s="7" t="s">
        <v>214</v>
      </c>
      <c r="L45" s="184">
        <v>42</v>
      </c>
      <c r="M45" s="184">
        <v>51</v>
      </c>
      <c r="N45" s="8">
        <f t="shared" si="1"/>
        <v>0</v>
      </c>
    </row>
    <row r="46" spans="1:51" ht="13.5" thickBot="1" x14ac:dyDescent="0.25">
      <c r="A46" s="187">
        <v>44</v>
      </c>
      <c r="B46" s="183" t="s">
        <v>143</v>
      </c>
      <c r="C46" s="607"/>
      <c r="D46" s="608"/>
      <c r="E46" s="609"/>
      <c r="F46" s="609"/>
      <c r="G46" s="609"/>
      <c r="H46" s="276"/>
      <c r="I46" s="16">
        <v>2</v>
      </c>
      <c r="J46" s="16" t="s">
        <v>318</v>
      </c>
      <c r="K46" s="7" t="s">
        <v>214</v>
      </c>
      <c r="L46" s="184">
        <v>43</v>
      </c>
      <c r="M46" s="184">
        <v>51</v>
      </c>
      <c r="N46" s="8">
        <f t="shared" si="1"/>
        <v>0</v>
      </c>
    </row>
    <row r="47" spans="1:51" ht="14.25" thickTop="1" thickBot="1" x14ac:dyDescent="0.25">
      <c r="A47" s="187">
        <v>45</v>
      </c>
      <c r="B47" s="183" t="s">
        <v>130</v>
      </c>
      <c r="C47" s="610"/>
      <c r="D47" s="611"/>
      <c r="E47" s="612"/>
      <c r="F47" s="612" t="str">
        <f>IF(OR(H36&lt;$F$40,H36&gt;$F$45),"Start outside Hurricane Season","Start in Hurricane Season")</f>
        <v>Start outside Hurricane Season</v>
      </c>
      <c r="G47" s="613"/>
      <c r="I47" s="33"/>
      <c r="J47" s="622">
        <v>1</v>
      </c>
      <c r="K47" s="7" t="s">
        <v>214</v>
      </c>
      <c r="L47" s="184">
        <v>44</v>
      </c>
      <c r="M47" s="184">
        <v>51</v>
      </c>
      <c r="N47" s="8">
        <f t="shared" si="1"/>
        <v>0</v>
      </c>
    </row>
    <row r="48" spans="1:51" ht="13.5" thickTop="1" x14ac:dyDescent="0.2">
      <c r="A48" s="187">
        <v>46</v>
      </c>
      <c r="B48" s="183" t="s">
        <v>135</v>
      </c>
      <c r="C48" s="610"/>
      <c r="D48" s="611"/>
      <c r="E48" s="612"/>
      <c r="F48" s="612" t="str">
        <f>IF(OR(H37&lt;$F$40,H37&gt;$F$45),"End outside Hurricane Season","End in Hurricane Season")</f>
        <v>End in Hurricane Season</v>
      </c>
      <c r="G48" s="613"/>
      <c r="I48" s="162"/>
      <c r="J48" s="192" t="s">
        <v>631</v>
      </c>
      <c r="K48" s="7" t="s">
        <v>214</v>
      </c>
      <c r="L48" s="184">
        <v>45</v>
      </c>
      <c r="M48" s="184">
        <v>51</v>
      </c>
      <c r="N48" s="8">
        <f t="shared" si="1"/>
        <v>0</v>
      </c>
    </row>
    <row r="49" spans="1:14" x14ac:dyDescent="0.2">
      <c r="A49" s="187">
        <v>47</v>
      </c>
      <c r="B49" s="183" t="s">
        <v>106</v>
      </c>
      <c r="C49" s="614"/>
      <c r="D49" s="615"/>
      <c r="E49" s="616" t="s">
        <v>438</v>
      </c>
      <c r="F49" s="589" t="str">
        <f>IF(H36&lt;$F$40,"Yes","No")</f>
        <v>Yes</v>
      </c>
      <c r="G49" s="586">
        <f>IF(F49="Yes",1,0)</f>
        <v>1</v>
      </c>
      <c r="I49" s="16">
        <v>1</v>
      </c>
      <c r="J49" s="16" t="s">
        <v>221</v>
      </c>
      <c r="K49" s="7" t="s">
        <v>214</v>
      </c>
      <c r="L49" s="184">
        <v>46</v>
      </c>
      <c r="M49" s="184">
        <v>51</v>
      </c>
      <c r="N49" s="8">
        <f t="shared" si="1"/>
        <v>0</v>
      </c>
    </row>
    <row r="50" spans="1:14" x14ac:dyDescent="0.2">
      <c r="A50" s="187">
        <v>48</v>
      </c>
      <c r="B50" s="183" t="s">
        <v>144</v>
      </c>
      <c r="C50" s="614"/>
      <c r="D50" s="615"/>
      <c r="E50" s="617" t="s">
        <v>441</v>
      </c>
      <c r="F50" s="589" t="str">
        <f>IF(H36&gt;$F$45,"Yes","No")</f>
        <v>No</v>
      </c>
      <c r="G50" s="586">
        <f t="shared" ref="G50:G56" si="3">IF(F50="Yes",1,0)</f>
        <v>0</v>
      </c>
      <c r="I50" s="16">
        <v>2</v>
      </c>
      <c r="J50" s="16" t="s">
        <v>318</v>
      </c>
      <c r="K50" s="7" t="s">
        <v>214</v>
      </c>
      <c r="L50" s="184">
        <v>47</v>
      </c>
      <c r="M50" s="184">
        <v>51</v>
      </c>
      <c r="N50" s="8">
        <f t="shared" si="1"/>
        <v>0</v>
      </c>
    </row>
    <row r="51" spans="1:14" ht="13.5" thickBot="1" x14ac:dyDescent="0.25">
      <c r="A51" s="187">
        <v>49</v>
      </c>
      <c r="B51" s="183" t="s">
        <v>110</v>
      </c>
      <c r="C51" s="614"/>
      <c r="D51" s="615"/>
      <c r="E51" s="616" t="s">
        <v>437</v>
      </c>
      <c r="F51" s="589" t="str">
        <f>IF(H36&lt;$F$41,"Yes","No")</f>
        <v>Yes</v>
      </c>
      <c r="G51" s="586">
        <f t="shared" si="3"/>
        <v>1</v>
      </c>
      <c r="I51" s="33"/>
      <c r="J51" s="622">
        <v>1</v>
      </c>
      <c r="K51" s="7" t="s">
        <v>214</v>
      </c>
      <c r="L51" s="184">
        <v>48</v>
      </c>
      <c r="M51" s="184">
        <v>51</v>
      </c>
      <c r="N51" s="8">
        <f t="shared" si="1"/>
        <v>0</v>
      </c>
    </row>
    <row r="52" spans="1:14" ht="13.5" thickTop="1" x14ac:dyDescent="0.2">
      <c r="A52" s="187">
        <v>50</v>
      </c>
      <c r="B52" s="183" t="s">
        <v>145</v>
      </c>
      <c r="C52" s="614"/>
      <c r="D52" s="615"/>
      <c r="E52" s="617" t="s">
        <v>442</v>
      </c>
      <c r="F52" s="589" t="str">
        <f>IF(H36&gt;$F$44,"Yes","No")</f>
        <v>No</v>
      </c>
      <c r="G52" s="586">
        <f t="shared" si="3"/>
        <v>0</v>
      </c>
      <c r="I52" s="162"/>
      <c r="J52" s="192" t="s">
        <v>632</v>
      </c>
      <c r="K52" s="7" t="s">
        <v>214</v>
      </c>
      <c r="L52" s="184">
        <v>49</v>
      </c>
      <c r="M52" s="184">
        <v>51</v>
      </c>
      <c r="N52" s="8">
        <f t="shared" si="1"/>
        <v>0</v>
      </c>
    </row>
    <row r="53" spans="1:14" x14ac:dyDescent="0.2">
      <c r="A53" s="187">
        <v>51</v>
      </c>
      <c r="B53" s="183" t="s">
        <v>118</v>
      </c>
      <c r="C53" s="614"/>
      <c r="D53" s="615"/>
      <c r="E53" s="617" t="s">
        <v>439</v>
      </c>
      <c r="F53" s="589" t="str">
        <f>IF(H37&lt;$F$40,"Yes","No")</f>
        <v>No</v>
      </c>
      <c r="G53" s="586">
        <f t="shared" si="3"/>
        <v>0</v>
      </c>
      <c r="I53" s="32">
        <v>1</v>
      </c>
      <c r="J53" s="16" t="s">
        <v>481</v>
      </c>
      <c r="K53" s="7" t="s">
        <v>214</v>
      </c>
      <c r="L53" s="184">
        <v>50</v>
      </c>
      <c r="M53" s="184">
        <v>51</v>
      </c>
      <c r="N53" s="8">
        <f t="shared" si="1"/>
        <v>0</v>
      </c>
    </row>
    <row r="54" spans="1:14" x14ac:dyDescent="0.2">
      <c r="A54" s="187">
        <v>52</v>
      </c>
      <c r="B54" s="183" t="s">
        <v>126</v>
      </c>
      <c r="C54" s="614"/>
      <c r="D54" s="615"/>
      <c r="E54" s="617" t="s">
        <v>443</v>
      </c>
      <c r="F54" s="589" t="str">
        <f>IF(H37&gt;$F$45,"Yes","No")</f>
        <v>No</v>
      </c>
      <c r="G54" s="586">
        <f t="shared" si="3"/>
        <v>0</v>
      </c>
      <c r="I54" s="32">
        <v>2</v>
      </c>
      <c r="J54" s="16" t="s">
        <v>759</v>
      </c>
      <c r="K54" s="7" t="s">
        <v>214</v>
      </c>
      <c r="L54" s="184">
        <v>51</v>
      </c>
      <c r="M54" s="184">
        <v>51</v>
      </c>
      <c r="N54" s="8">
        <f t="shared" si="1"/>
        <v>0</v>
      </c>
    </row>
    <row r="55" spans="1:14" x14ac:dyDescent="0.2">
      <c r="A55" s="187">
        <v>53</v>
      </c>
      <c r="B55" s="183" t="s">
        <v>102</v>
      </c>
      <c r="C55" s="614"/>
      <c r="D55" s="615"/>
      <c r="E55" s="617" t="s">
        <v>440</v>
      </c>
      <c r="F55" s="589" t="str">
        <f>IF(H37&lt;$F$41,"Yes","No")</f>
        <v>No</v>
      </c>
      <c r="G55" s="586">
        <f t="shared" si="3"/>
        <v>0</v>
      </c>
      <c r="I55" s="32">
        <v>3</v>
      </c>
      <c r="J55" s="4" t="s">
        <v>760</v>
      </c>
      <c r="K55" s="7" t="s">
        <v>214</v>
      </c>
      <c r="L55" s="184">
        <v>52</v>
      </c>
      <c r="M55" s="184">
        <v>51</v>
      </c>
      <c r="N55" s="8">
        <f t="shared" si="1"/>
        <v>0</v>
      </c>
    </row>
    <row r="56" spans="1:14" x14ac:dyDescent="0.2">
      <c r="A56" s="187">
        <v>54</v>
      </c>
      <c r="B56" s="183" t="s">
        <v>146</v>
      </c>
      <c r="C56" s="614"/>
      <c r="D56" s="615"/>
      <c r="E56" s="617" t="s">
        <v>446</v>
      </c>
      <c r="F56" s="589" t="str">
        <f>IF(H37&gt;$F$44,"Yes","No")</f>
        <v>Yes</v>
      </c>
      <c r="G56" s="586">
        <f t="shared" si="3"/>
        <v>1</v>
      </c>
      <c r="I56" s="32">
        <v>4</v>
      </c>
      <c r="J56" s="16" t="s">
        <v>482</v>
      </c>
      <c r="K56" s="7" t="s">
        <v>214</v>
      </c>
      <c r="L56" s="184">
        <v>53</v>
      </c>
      <c r="M56" s="184">
        <v>51</v>
      </c>
      <c r="N56" s="8">
        <f t="shared" si="1"/>
        <v>0</v>
      </c>
    </row>
    <row r="57" spans="1:14" ht="13.5" thickBot="1" x14ac:dyDescent="0.25">
      <c r="A57" s="187">
        <v>55</v>
      </c>
      <c r="B57" s="183" t="s">
        <v>147</v>
      </c>
      <c r="C57" s="614"/>
      <c r="D57" s="615"/>
      <c r="E57" s="590"/>
      <c r="F57" s="590"/>
      <c r="G57" s="587"/>
      <c r="I57" s="33"/>
      <c r="J57" s="622">
        <v>1</v>
      </c>
      <c r="K57" s="7" t="s">
        <v>214</v>
      </c>
      <c r="L57" s="184">
        <v>54</v>
      </c>
      <c r="M57" s="184">
        <v>51</v>
      </c>
      <c r="N57" s="8">
        <f t="shared" si="1"/>
        <v>0</v>
      </c>
    </row>
    <row r="58" spans="1:14" ht="14.25" thickTop="1" thickBot="1" x14ac:dyDescent="0.25">
      <c r="A58" s="187">
        <v>56</v>
      </c>
      <c r="B58" s="183" t="s">
        <v>148</v>
      </c>
      <c r="C58" s="614"/>
      <c r="D58" s="615"/>
      <c r="E58" s="616" t="s">
        <v>444</v>
      </c>
      <c r="F58" s="591" t="str">
        <f>IF(AND(G49=1,G53=1,H37&gt;H36),"No",IF(AND(G50=1,G54=1,H37&gt;H36),"No",IF(AND(G50=1,G53=1),"No","Yes")))</f>
        <v>Yes</v>
      </c>
      <c r="G58" s="587"/>
      <c r="I58" s="216" t="s">
        <v>636</v>
      </c>
      <c r="J58" s="622">
        <v>2</v>
      </c>
      <c r="K58" s="7" t="s">
        <v>214</v>
      </c>
      <c r="L58" s="184">
        <v>55</v>
      </c>
      <c r="M58" s="184">
        <v>51</v>
      </c>
      <c r="N58" s="8">
        <f t="shared" si="1"/>
        <v>0</v>
      </c>
    </row>
    <row r="59" spans="1:14" ht="14.25" thickTop="1" thickBot="1" x14ac:dyDescent="0.25">
      <c r="A59" s="187">
        <v>57</v>
      </c>
      <c r="B59" s="183" t="s">
        <v>149</v>
      </c>
      <c r="C59" s="618"/>
      <c r="D59" s="619"/>
      <c r="E59" s="620" t="s">
        <v>445</v>
      </c>
      <c r="F59" s="592" t="str">
        <f>IF(AND(G51=1,G55=1,H37&gt;H36),"No",IF(AND(G52=1,G56=1,H37&gt;H36),"No",IF(AND(G52=1,G55=1),"No","Yes")))</f>
        <v>Yes</v>
      </c>
      <c r="G59" s="588"/>
      <c r="I59" s="162"/>
      <c r="J59" s="192" t="s">
        <v>639</v>
      </c>
      <c r="K59" s="7" t="s">
        <v>214</v>
      </c>
      <c r="L59" s="184">
        <v>56</v>
      </c>
      <c r="M59" s="184">
        <v>51</v>
      </c>
      <c r="N59" s="8">
        <f t="shared" si="1"/>
        <v>0</v>
      </c>
    </row>
    <row r="60" spans="1:14" ht="13.5" thickTop="1" x14ac:dyDescent="0.2">
      <c r="A60" s="187">
        <v>58</v>
      </c>
      <c r="B60" s="183" t="s">
        <v>112</v>
      </c>
      <c r="C60" s="13"/>
      <c r="D60" s="13"/>
      <c r="I60" s="32"/>
      <c r="J60" s="16" t="s">
        <v>221</v>
      </c>
      <c r="K60" s="7" t="s">
        <v>214</v>
      </c>
      <c r="L60" s="184">
        <v>57</v>
      </c>
      <c r="M60" s="184">
        <v>51</v>
      </c>
      <c r="N60" s="8">
        <f t="shared" si="1"/>
        <v>0</v>
      </c>
    </row>
    <row r="61" spans="1:14" x14ac:dyDescent="0.2">
      <c r="A61" s="187">
        <v>59</v>
      </c>
      <c r="B61" s="183" t="s">
        <v>150</v>
      </c>
      <c r="C61" s="13"/>
      <c r="D61" s="13"/>
      <c r="I61" s="32"/>
      <c r="J61" s="16" t="s">
        <v>318</v>
      </c>
      <c r="K61" s="7" t="s">
        <v>214</v>
      </c>
      <c r="L61" s="184">
        <v>58</v>
      </c>
      <c r="M61" s="184">
        <v>51</v>
      </c>
      <c r="N61" s="8">
        <f t="shared" si="1"/>
        <v>0</v>
      </c>
    </row>
    <row r="62" spans="1:14" ht="13.5" thickBot="1" x14ac:dyDescent="0.25">
      <c r="A62" s="187">
        <v>60</v>
      </c>
      <c r="B62" s="183" t="s">
        <v>108</v>
      </c>
      <c r="C62" s="13"/>
      <c r="D62" s="13"/>
      <c r="I62" s="33"/>
      <c r="J62" s="622">
        <v>1</v>
      </c>
      <c r="K62" s="7" t="s">
        <v>214</v>
      </c>
      <c r="L62" s="184">
        <v>59</v>
      </c>
      <c r="M62" s="184">
        <v>51</v>
      </c>
      <c r="N62" s="8">
        <f t="shared" si="1"/>
        <v>0</v>
      </c>
    </row>
    <row r="63" spans="1:14" ht="13.5" thickTop="1" x14ac:dyDescent="0.2">
      <c r="A63" s="187">
        <v>61</v>
      </c>
      <c r="B63" s="183" t="s">
        <v>151</v>
      </c>
      <c r="C63" s="13"/>
      <c r="D63" s="188" t="s">
        <v>468</v>
      </c>
      <c r="E63" s="189"/>
      <c r="F63" s="189"/>
      <c r="G63" s="190"/>
      <c r="I63" s="162" t="s">
        <v>762</v>
      </c>
      <c r="J63" s="192"/>
      <c r="K63" s="7" t="s">
        <v>214</v>
      </c>
      <c r="L63" s="184">
        <v>60</v>
      </c>
      <c r="M63" s="184">
        <v>51</v>
      </c>
      <c r="N63" s="8">
        <f t="shared" si="1"/>
        <v>0</v>
      </c>
    </row>
    <row r="64" spans="1:14" x14ac:dyDescent="0.2">
      <c r="A64" s="187">
        <v>62</v>
      </c>
      <c r="B64" s="183" t="s">
        <v>100</v>
      </c>
      <c r="C64" s="13"/>
      <c r="D64" s="7" t="s">
        <v>215</v>
      </c>
      <c r="E64" s="184">
        <v>1</v>
      </c>
      <c r="F64" s="184">
        <v>63</v>
      </c>
      <c r="G64" s="8">
        <f t="shared" ref="G64:G127" si="4">IF(AND(F64=$A$66,E64=$A$67),1,0)</f>
        <v>0</v>
      </c>
      <c r="I64" s="473">
        <v>1</v>
      </c>
      <c r="J64" s="654">
        <v>0.03</v>
      </c>
      <c r="K64" s="7" t="s">
        <v>214</v>
      </c>
      <c r="L64" s="184">
        <v>61</v>
      </c>
      <c r="M64" s="184">
        <v>51</v>
      </c>
      <c r="N64" s="8">
        <f t="shared" si="1"/>
        <v>0</v>
      </c>
    </row>
    <row r="65" spans="1:14" x14ac:dyDescent="0.2">
      <c r="A65" s="187">
        <v>63</v>
      </c>
      <c r="B65" s="183" t="s">
        <v>117</v>
      </c>
      <c r="C65" s="13"/>
      <c r="D65" s="7" t="s">
        <v>215</v>
      </c>
      <c r="E65" s="184">
        <v>2</v>
      </c>
      <c r="F65" s="184">
        <v>63</v>
      </c>
      <c r="G65" s="8">
        <f t="shared" si="4"/>
        <v>0</v>
      </c>
      <c r="I65" s="473">
        <v>2</v>
      </c>
      <c r="J65" s="654">
        <v>0.04</v>
      </c>
      <c r="K65" s="7" t="s">
        <v>214</v>
      </c>
      <c r="L65" s="184">
        <v>62</v>
      </c>
      <c r="M65" s="184">
        <v>51</v>
      </c>
      <c r="N65" s="8">
        <f t="shared" si="1"/>
        <v>0</v>
      </c>
    </row>
    <row r="66" spans="1:14" x14ac:dyDescent="0.2">
      <c r="A66" s="580">
        <v>22</v>
      </c>
      <c r="B66" s="581" t="s">
        <v>66</v>
      </c>
      <c r="C66" s="13"/>
      <c r="D66" s="7" t="s">
        <v>215</v>
      </c>
      <c r="E66" s="184">
        <v>3</v>
      </c>
      <c r="F66" s="184">
        <v>63</v>
      </c>
      <c r="G66" s="8">
        <f t="shared" si="4"/>
        <v>0</v>
      </c>
      <c r="I66" s="473">
        <v>3</v>
      </c>
      <c r="J66" s="654">
        <v>0.05</v>
      </c>
      <c r="K66" s="7" t="s">
        <v>214</v>
      </c>
      <c r="L66" s="184">
        <v>63</v>
      </c>
      <c r="M66" s="184">
        <v>51</v>
      </c>
      <c r="N66" s="8">
        <f t="shared" si="1"/>
        <v>0</v>
      </c>
    </row>
    <row r="67" spans="1:14" ht="13.5" thickBot="1" x14ac:dyDescent="0.25">
      <c r="A67" s="582">
        <v>53</v>
      </c>
      <c r="B67" s="583" t="s">
        <v>64</v>
      </c>
      <c r="C67" s="13"/>
      <c r="D67" s="7" t="s">
        <v>215</v>
      </c>
      <c r="E67" s="184">
        <v>4</v>
      </c>
      <c r="F67" s="184">
        <v>63</v>
      </c>
      <c r="G67" s="8">
        <f t="shared" si="4"/>
        <v>0</v>
      </c>
      <c r="I67" s="473"/>
      <c r="J67" s="671">
        <v>1</v>
      </c>
      <c r="K67" s="7" t="s">
        <v>214</v>
      </c>
      <c r="L67" s="184">
        <v>64</v>
      </c>
      <c r="M67" s="184">
        <v>51</v>
      </c>
      <c r="N67" s="8">
        <f t="shared" si="1"/>
        <v>0</v>
      </c>
    </row>
    <row r="68" spans="1:14" ht="14.25" thickTop="1" thickBot="1" x14ac:dyDescent="0.25">
      <c r="A68" s="162"/>
      <c r="B68" s="260" t="s">
        <v>64</v>
      </c>
      <c r="C68" s="13"/>
      <c r="D68" s="7" t="s">
        <v>215</v>
      </c>
      <c r="E68" s="184">
        <v>5</v>
      </c>
      <c r="F68" s="184">
        <v>63</v>
      </c>
      <c r="G68" s="8">
        <f t="shared" si="4"/>
        <v>0</v>
      </c>
      <c r="I68" s="474"/>
      <c r="J68" s="290"/>
      <c r="K68" s="7" t="s">
        <v>214</v>
      </c>
      <c r="L68" s="184">
        <v>65</v>
      </c>
      <c r="M68" s="184">
        <v>51</v>
      </c>
      <c r="N68" s="8">
        <f t="shared" ref="N68:N73" si="5">IF(AND(M68=$A$66,L68=$A$67),1,0)</f>
        <v>0</v>
      </c>
    </row>
    <row r="69" spans="1:14" ht="13.5" thickTop="1" x14ac:dyDescent="0.2">
      <c r="A69" s="32" t="s">
        <v>222</v>
      </c>
      <c r="B69" s="3">
        <v>1</v>
      </c>
      <c r="C69" s="13"/>
      <c r="D69" s="7" t="s">
        <v>215</v>
      </c>
      <c r="E69" s="184">
        <v>6</v>
      </c>
      <c r="F69" s="184">
        <v>63</v>
      </c>
      <c r="G69" s="8">
        <f t="shared" si="4"/>
        <v>0</v>
      </c>
      <c r="I69" s="162"/>
      <c r="J69" s="192" t="s">
        <v>710</v>
      </c>
      <c r="K69" s="7" t="s">
        <v>214</v>
      </c>
      <c r="L69" s="184">
        <v>66</v>
      </c>
      <c r="M69" s="184">
        <v>51</v>
      </c>
      <c r="N69" s="8">
        <f t="shared" si="5"/>
        <v>0</v>
      </c>
    </row>
    <row r="70" spans="1:14" x14ac:dyDescent="0.2">
      <c r="A70" s="32"/>
      <c r="B70" s="3">
        <v>2</v>
      </c>
      <c r="C70" s="13"/>
      <c r="D70" s="7" t="s">
        <v>215</v>
      </c>
      <c r="E70" s="184">
        <v>7</v>
      </c>
      <c r="F70" s="184">
        <v>63</v>
      </c>
      <c r="G70" s="8">
        <f t="shared" si="4"/>
        <v>0</v>
      </c>
      <c r="I70" s="32"/>
      <c r="J70" s="16" t="s">
        <v>221</v>
      </c>
      <c r="K70" s="7" t="s">
        <v>214</v>
      </c>
      <c r="L70" s="184">
        <v>67</v>
      </c>
      <c r="M70" s="184">
        <v>51</v>
      </c>
      <c r="N70" s="8">
        <f t="shared" si="5"/>
        <v>0</v>
      </c>
    </row>
    <row r="71" spans="1:14" x14ac:dyDescent="0.2">
      <c r="A71" s="32"/>
      <c r="B71" s="3">
        <v>3</v>
      </c>
      <c r="C71" s="13"/>
      <c r="D71" s="7" t="s">
        <v>215</v>
      </c>
      <c r="E71" s="184">
        <v>8</v>
      </c>
      <c r="F71" s="184">
        <v>63</v>
      </c>
      <c r="G71" s="8">
        <f t="shared" si="4"/>
        <v>0</v>
      </c>
      <c r="I71" s="32"/>
      <c r="J71" s="16" t="s">
        <v>318</v>
      </c>
      <c r="K71" s="7" t="s">
        <v>214</v>
      </c>
      <c r="L71" s="184">
        <v>68</v>
      </c>
      <c r="M71" s="184">
        <v>51</v>
      </c>
      <c r="N71" s="8">
        <f t="shared" si="5"/>
        <v>0</v>
      </c>
    </row>
    <row r="72" spans="1:14" ht="13.5" thickBot="1" x14ac:dyDescent="0.25">
      <c r="A72" s="32"/>
      <c r="B72" s="3">
        <v>4</v>
      </c>
      <c r="C72" s="13"/>
      <c r="D72" s="7" t="s">
        <v>215</v>
      </c>
      <c r="E72" s="184">
        <v>9</v>
      </c>
      <c r="F72" s="184">
        <v>63</v>
      </c>
      <c r="G72" s="8">
        <f t="shared" si="4"/>
        <v>0</v>
      </c>
      <c r="I72" s="33"/>
      <c r="J72" s="622">
        <v>2</v>
      </c>
      <c r="K72" s="7" t="s">
        <v>214</v>
      </c>
      <c r="L72" s="184">
        <v>69</v>
      </c>
      <c r="M72" s="184">
        <v>51</v>
      </c>
      <c r="N72" s="8">
        <f t="shared" si="5"/>
        <v>0</v>
      </c>
    </row>
    <row r="73" spans="1:14" ht="13.5" thickTop="1" x14ac:dyDescent="0.2">
      <c r="A73" s="32"/>
      <c r="B73" s="3">
        <v>5</v>
      </c>
      <c r="C73" s="13"/>
      <c r="D73" s="7" t="s">
        <v>215</v>
      </c>
      <c r="E73" s="184">
        <v>10</v>
      </c>
      <c r="F73" s="184">
        <v>63</v>
      </c>
      <c r="G73" s="8">
        <f t="shared" si="4"/>
        <v>0</v>
      </c>
      <c r="I73" s="162" t="s">
        <v>753</v>
      </c>
      <c r="J73" s="192"/>
      <c r="K73" s="7" t="s">
        <v>214</v>
      </c>
      <c r="L73" s="184">
        <v>70</v>
      </c>
      <c r="M73" s="184">
        <v>51</v>
      </c>
      <c r="N73" s="8">
        <f t="shared" si="5"/>
        <v>0</v>
      </c>
    </row>
    <row r="74" spans="1:14" x14ac:dyDescent="0.2">
      <c r="A74" s="32"/>
      <c r="B74" s="3">
        <v>6</v>
      </c>
      <c r="C74" s="13"/>
      <c r="D74" s="7" t="s">
        <v>215</v>
      </c>
      <c r="E74" s="184">
        <v>11</v>
      </c>
      <c r="F74" s="184">
        <v>63</v>
      </c>
      <c r="G74" s="8">
        <f t="shared" si="4"/>
        <v>0</v>
      </c>
      <c r="I74" s="473">
        <v>1</v>
      </c>
      <c r="J74" s="4" t="s">
        <v>221</v>
      </c>
      <c r="K74" s="7" t="s">
        <v>214</v>
      </c>
      <c r="L74" s="184">
        <v>71</v>
      </c>
      <c r="M74" s="184">
        <v>51</v>
      </c>
      <c r="N74" s="8">
        <f t="shared" ref="N74:N80" si="6">IF(AND(M74=$A$66,L74=$A$67),1,0)</f>
        <v>0</v>
      </c>
    </row>
    <row r="75" spans="1:14" x14ac:dyDescent="0.2">
      <c r="A75" s="32"/>
      <c r="B75" s="3">
        <v>7</v>
      </c>
      <c r="C75" s="13"/>
      <c r="D75" s="7" t="s">
        <v>215</v>
      </c>
      <c r="E75" s="184">
        <v>12</v>
      </c>
      <c r="F75" s="184">
        <v>63</v>
      </c>
      <c r="G75" s="8">
        <f t="shared" si="4"/>
        <v>0</v>
      </c>
      <c r="I75" s="473">
        <v>2</v>
      </c>
      <c r="J75" s="4" t="s">
        <v>318</v>
      </c>
      <c r="K75" s="7" t="s">
        <v>214</v>
      </c>
      <c r="L75" s="184">
        <v>72</v>
      </c>
      <c r="M75" s="184">
        <v>51</v>
      </c>
      <c r="N75" s="8">
        <f t="shared" si="6"/>
        <v>0</v>
      </c>
    </row>
    <row r="76" spans="1:14" ht="13.5" thickBot="1" x14ac:dyDescent="0.25">
      <c r="A76" s="32"/>
      <c r="B76" s="3">
        <v>8</v>
      </c>
      <c r="C76" s="13"/>
      <c r="D76" s="7" t="s">
        <v>215</v>
      </c>
      <c r="E76" s="184">
        <v>13</v>
      </c>
      <c r="F76" s="184">
        <v>63</v>
      </c>
      <c r="G76" s="8">
        <f t="shared" si="4"/>
        <v>0</v>
      </c>
      <c r="I76" s="474"/>
      <c r="J76" s="623">
        <v>1</v>
      </c>
      <c r="K76" s="7" t="s">
        <v>214</v>
      </c>
      <c r="L76" s="184">
        <v>73</v>
      </c>
      <c r="M76" s="184">
        <v>51</v>
      </c>
      <c r="N76" s="8">
        <f t="shared" si="6"/>
        <v>0</v>
      </c>
    </row>
    <row r="77" spans="1:14" ht="13.5" thickTop="1" x14ac:dyDescent="0.2">
      <c r="A77" s="32"/>
      <c r="B77" s="3">
        <v>9</v>
      </c>
      <c r="C77" s="13"/>
      <c r="D77" s="7" t="s">
        <v>215</v>
      </c>
      <c r="E77" s="184">
        <v>14</v>
      </c>
      <c r="F77" s="184">
        <v>63</v>
      </c>
      <c r="G77" s="8">
        <f t="shared" si="4"/>
        <v>0</v>
      </c>
      <c r="I77" s="162"/>
      <c r="J77" s="192" t="s">
        <v>637</v>
      </c>
      <c r="K77" s="7" t="s">
        <v>214</v>
      </c>
      <c r="L77" s="184">
        <v>74</v>
      </c>
      <c r="M77" s="184">
        <v>51</v>
      </c>
      <c r="N77" s="8">
        <f t="shared" si="6"/>
        <v>0</v>
      </c>
    </row>
    <row r="78" spans="1:14" x14ac:dyDescent="0.2">
      <c r="A78" s="32"/>
      <c r="B78" s="3">
        <v>10</v>
      </c>
      <c r="C78" s="13"/>
      <c r="D78" s="7" t="s">
        <v>215</v>
      </c>
      <c r="E78" s="184">
        <v>15</v>
      </c>
      <c r="F78" s="184">
        <v>63</v>
      </c>
      <c r="G78" s="8">
        <f t="shared" si="4"/>
        <v>0</v>
      </c>
      <c r="I78" s="32"/>
      <c r="J78" s="16" t="s">
        <v>221</v>
      </c>
      <c r="K78" s="7" t="s">
        <v>214</v>
      </c>
      <c r="L78" s="184">
        <v>75</v>
      </c>
      <c r="M78" s="184">
        <v>51</v>
      </c>
      <c r="N78" s="8">
        <f t="shared" si="6"/>
        <v>0</v>
      </c>
    </row>
    <row r="79" spans="1:14" x14ac:dyDescent="0.2">
      <c r="A79" s="32"/>
      <c r="B79" s="3">
        <v>11</v>
      </c>
      <c r="C79" s="13"/>
      <c r="D79" s="7" t="s">
        <v>215</v>
      </c>
      <c r="E79" s="184">
        <v>16</v>
      </c>
      <c r="F79" s="184">
        <v>63</v>
      </c>
      <c r="G79" s="8">
        <f t="shared" si="4"/>
        <v>0</v>
      </c>
      <c r="I79" s="32"/>
      <c r="J79" s="16" t="s">
        <v>318</v>
      </c>
      <c r="K79" s="7" t="s">
        <v>214</v>
      </c>
      <c r="L79" s="184">
        <v>76</v>
      </c>
      <c r="M79" s="184">
        <v>51</v>
      </c>
      <c r="N79" s="8">
        <f t="shared" si="6"/>
        <v>0</v>
      </c>
    </row>
    <row r="80" spans="1:14" ht="13.5" thickBot="1" x14ac:dyDescent="0.25">
      <c r="A80" s="32"/>
      <c r="B80" s="3">
        <v>12</v>
      </c>
      <c r="C80" s="13"/>
      <c r="D80" s="7" t="s">
        <v>215</v>
      </c>
      <c r="E80" s="184">
        <v>17</v>
      </c>
      <c r="F80" s="184">
        <v>63</v>
      </c>
      <c r="G80" s="8">
        <f t="shared" si="4"/>
        <v>0</v>
      </c>
      <c r="I80" s="33"/>
      <c r="J80" s="622">
        <v>1</v>
      </c>
      <c r="K80" s="7" t="s">
        <v>214</v>
      </c>
      <c r="L80" s="184">
        <v>77</v>
      </c>
      <c r="M80" s="184">
        <v>51</v>
      </c>
      <c r="N80" s="8">
        <f t="shared" si="6"/>
        <v>0</v>
      </c>
    </row>
    <row r="81" spans="1:14" ht="14.25" thickTop="1" thickBot="1" x14ac:dyDescent="0.25">
      <c r="A81" s="32"/>
      <c r="B81" s="3">
        <v>13</v>
      </c>
      <c r="C81" s="13"/>
      <c r="D81" s="7" t="s">
        <v>215</v>
      </c>
      <c r="E81" s="184">
        <v>18</v>
      </c>
      <c r="F81" s="184">
        <v>63</v>
      </c>
      <c r="G81" s="8">
        <f t="shared" si="4"/>
        <v>0</v>
      </c>
      <c r="J81" t="s">
        <v>222</v>
      </c>
      <c r="K81" s="7" t="s">
        <v>214</v>
      </c>
      <c r="L81" s="184">
        <v>78</v>
      </c>
      <c r="M81" s="184">
        <v>51</v>
      </c>
      <c r="N81" s="8">
        <f>IF(AND(M81=$A$66,L81=$A$67),1,0)</f>
        <v>0</v>
      </c>
    </row>
    <row r="82" spans="1:14" ht="13.5" thickTop="1" x14ac:dyDescent="0.2">
      <c r="A82" s="32"/>
      <c r="B82" s="3">
        <v>14</v>
      </c>
      <c r="C82" s="13"/>
      <c r="D82" s="7" t="s">
        <v>215</v>
      </c>
      <c r="E82" s="184">
        <v>19</v>
      </c>
      <c r="F82" s="184">
        <v>63</v>
      </c>
      <c r="G82" s="8">
        <f t="shared" si="4"/>
        <v>0</v>
      </c>
      <c r="I82" s="162" t="s">
        <v>634</v>
      </c>
      <c r="J82" s="192" t="s">
        <v>635</v>
      </c>
      <c r="K82" s="7" t="s">
        <v>214</v>
      </c>
      <c r="L82" s="184">
        <v>79</v>
      </c>
      <c r="M82" s="184">
        <v>51</v>
      </c>
      <c r="N82" s="8">
        <f t="shared" ref="N82:N145" si="7">IF(AND(M82=$A$66,L82=$A$67),1,0)</f>
        <v>0</v>
      </c>
    </row>
    <row r="83" spans="1:14" x14ac:dyDescent="0.2">
      <c r="A83" s="32"/>
      <c r="B83" s="3">
        <v>15</v>
      </c>
      <c r="D83" s="7" t="s">
        <v>215</v>
      </c>
      <c r="E83" s="184">
        <v>20</v>
      </c>
      <c r="F83" s="184">
        <v>63</v>
      </c>
      <c r="G83" s="8">
        <f t="shared" si="4"/>
        <v>0</v>
      </c>
      <c r="I83" s="32"/>
      <c r="J83" s="16" t="s">
        <v>221</v>
      </c>
      <c r="K83" s="7" t="s">
        <v>214</v>
      </c>
      <c r="L83" s="184">
        <v>80</v>
      </c>
      <c r="M83" s="184">
        <v>51</v>
      </c>
      <c r="N83" s="8">
        <f t="shared" si="7"/>
        <v>0</v>
      </c>
    </row>
    <row r="84" spans="1:14" x14ac:dyDescent="0.2">
      <c r="A84" s="32"/>
      <c r="B84" s="3">
        <v>16</v>
      </c>
      <c r="D84" s="7" t="s">
        <v>215</v>
      </c>
      <c r="E84" s="184">
        <v>21</v>
      </c>
      <c r="F84" s="184">
        <v>63</v>
      </c>
      <c r="G84" s="8">
        <f t="shared" si="4"/>
        <v>0</v>
      </c>
      <c r="I84" s="32"/>
      <c r="J84" s="16" t="s">
        <v>318</v>
      </c>
      <c r="K84" s="7" t="s">
        <v>214</v>
      </c>
      <c r="L84" s="184">
        <v>81</v>
      </c>
      <c r="M84" s="184">
        <v>51</v>
      </c>
      <c r="N84" s="8">
        <f t="shared" si="7"/>
        <v>0</v>
      </c>
    </row>
    <row r="85" spans="1:14" ht="13.5" thickBot="1" x14ac:dyDescent="0.25">
      <c r="A85" s="32"/>
      <c r="B85" s="3">
        <v>17</v>
      </c>
      <c r="D85" s="7" t="s">
        <v>215</v>
      </c>
      <c r="E85" s="184">
        <v>22</v>
      </c>
      <c r="F85" s="184">
        <v>63</v>
      </c>
      <c r="G85" s="8">
        <f t="shared" si="4"/>
        <v>0</v>
      </c>
      <c r="I85" s="33"/>
      <c r="J85" s="4" t="s">
        <v>658</v>
      </c>
      <c r="K85" s="7" t="s">
        <v>214</v>
      </c>
      <c r="L85" s="184">
        <v>82</v>
      </c>
      <c r="M85" s="184">
        <v>51</v>
      </c>
      <c r="N85" s="8">
        <f t="shared" si="7"/>
        <v>0</v>
      </c>
    </row>
    <row r="86" spans="1:14" ht="14.25" thickTop="1" thickBot="1" x14ac:dyDescent="0.25">
      <c r="A86" s="32"/>
      <c r="B86" s="3">
        <v>18</v>
      </c>
      <c r="D86" s="7" t="s">
        <v>215</v>
      </c>
      <c r="E86" s="184">
        <v>23</v>
      </c>
      <c r="F86" s="184">
        <v>63</v>
      </c>
      <c r="G86" s="8">
        <f t="shared" si="4"/>
        <v>0</v>
      </c>
      <c r="I86" s="162"/>
      <c r="J86" s="622">
        <v>1</v>
      </c>
      <c r="K86" s="7" t="s">
        <v>214</v>
      </c>
      <c r="L86" s="184">
        <v>83</v>
      </c>
      <c r="M86" s="184">
        <v>51</v>
      </c>
      <c r="N86" s="8">
        <f t="shared" si="7"/>
        <v>0</v>
      </c>
    </row>
    <row r="87" spans="1:14" ht="13.5" thickTop="1" x14ac:dyDescent="0.2">
      <c r="A87" s="32"/>
      <c r="B87" s="3">
        <v>19</v>
      </c>
      <c r="D87" s="7" t="s">
        <v>215</v>
      </c>
      <c r="E87" s="184">
        <v>24</v>
      </c>
      <c r="F87" s="184">
        <v>63</v>
      </c>
      <c r="G87" s="8">
        <f t="shared" si="4"/>
        <v>0</v>
      </c>
      <c r="I87" s="32"/>
      <c r="J87" s="192" t="s">
        <v>633</v>
      </c>
      <c r="K87" s="7" t="s">
        <v>214</v>
      </c>
      <c r="L87" s="184">
        <v>84</v>
      </c>
      <c r="M87" s="184">
        <v>51</v>
      </c>
      <c r="N87" s="8">
        <f t="shared" si="7"/>
        <v>0</v>
      </c>
    </row>
    <row r="88" spans="1:14" x14ac:dyDescent="0.2">
      <c r="A88" s="32"/>
      <c r="B88" s="3">
        <v>20</v>
      </c>
      <c r="D88" s="7" t="s">
        <v>215</v>
      </c>
      <c r="E88" s="184">
        <v>25</v>
      </c>
      <c r="F88" s="184">
        <v>63</v>
      </c>
      <c r="G88" s="8">
        <f t="shared" si="4"/>
        <v>0</v>
      </c>
      <c r="I88" s="32"/>
      <c r="J88" s="16" t="s">
        <v>221</v>
      </c>
      <c r="K88" s="7" t="s">
        <v>214</v>
      </c>
      <c r="L88" s="184">
        <v>85</v>
      </c>
      <c r="M88" s="184">
        <v>51</v>
      </c>
      <c r="N88" s="8">
        <f t="shared" si="7"/>
        <v>0</v>
      </c>
    </row>
    <row r="89" spans="1:14" ht="13.5" thickBot="1" x14ac:dyDescent="0.25">
      <c r="A89" s="32"/>
      <c r="B89" s="3">
        <v>21</v>
      </c>
      <c r="D89" s="7" t="s">
        <v>215</v>
      </c>
      <c r="E89" s="184">
        <v>26</v>
      </c>
      <c r="F89" s="184">
        <v>63</v>
      </c>
      <c r="G89" s="8">
        <f t="shared" si="4"/>
        <v>0</v>
      </c>
      <c r="I89" s="33"/>
      <c r="J89" s="16" t="s">
        <v>523</v>
      </c>
      <c r="K89" s="7" t="s">
        <v>214</v>
      </c>
      <c r="L89" s="184">
        <v>86</v>
      </c>
      <c r="M89" s="184">
        <v>51</v>
      </c>
      <c r="N89" s="8">
        <f t="shared" si="7"/>
        <v>0</v>
      </c>
    </row>
    <row r="90" spans="1:14" ht="14.25" thickTop="1" thickBot="1" x14ac:dyDescent="0.25">
      <c r="A90" s="32"/>
      <c r="B90" s="3">
        <v>22</v>
      </c>
      <c r="D90" s="7" t="s">
        <v>215</v>
      </c>
      <c r="E90" s="184">
        <v>27</v>
      </c>
      <c r="F90" s="184">
        <v>63</v>
      </c>
      <c r="G90" s="8">
        <f t="shared" si="4"/>
        <v>0</v>
      </c>
      <c r="J90" s="622">
        <v>2</v>
      </c>
      <c r="K90" s="7" t="s">
        <v>214</v>
      </c>
      <c r="L90" s="184">
        <v>87</v>
      </c>
      <c r="M90" s="184">
        <v>51</v>
      </c>
      <c r="N90" s="8">
        <f t="shared" si="7"/>
        <v>0</v>
      </c>
    </row>
    <row r="91" spans="1:14" ht="14.25" thickTop="1" thickBot="1" x14ac:dyDescent="0.25">
      <c r="A91" s="32"/>
      <c r="B91" s="3">
        <v>23</v>
      </c>
      <c r="D91" s="7" t="s">
        <v>215</v>
      </c>
      <c r="E91" s="184">
        <v>28</v>
      </c>
      <c r="F91" s="184">
        <v>63</v>
      </c>
      <c r="G91" s="8">
        <f t="shared" si="4"/>
        <v>0</v>
      </c>
      <c r="I91" s="218" t="s">
        <v>642</v>
      </c>
      <c r="J91" s="14" t="s">
        <v>708</v>
      </c>
      <c r="K91" s="7" t="s">
        <v>214</v>
      </c>
      <c r="L91" s="184">
        <v>88</v>
      </c>
      <c r="M91" s="184">
        <v>51</v>
      </c>
      <c r="N91" s="8">
        <f t="shared" si="7"/>
        <v>0</v>
      </c>
    </row>
    <row r="92" spans="1:14" ht="14.25" thickTop="1" thickBot="1" x14ac:dyDescent="0.25">
      <c r="A92" s="32"/>
      <c r="B92" s="3">
        <v>24</v>
      </c>
      <c r="D92" s="7" t="s">
        <v>215</v>
      </c>
      <c r="E92" s="184">
        <v>29</v>
      </c>
      <c r="F92" s="184">
        <v>63</v>
      </c>
      <c r="G92" s="8">
        <f t="shared" si="4"/>
        <v>0</v>
      </c>
      <c r="J92" s="624">
        <v>1</v>
      </c>
      <c r="K92" s="7" t="s">
        <v>214</v>
      </c>
      <c r="L92" s="184">
        <v>89</v>
      </c>
      <c r="M92" s="184">
        <v>51</v>
      </c>
      <c r="N92" s="8">
        <f t="shared" si="7"/>
        <v>0</v>
      </c>
    </row>
    <row r="93" spans="1:14" ht="14.25" thickTop="1" thickBot="1" x14ac:dyDescent="0.25">
      <c r="A93" s="32"/>
      <c r="B93" s="3">
        <v>25</v>
      </c>
      <c r="D93" s="7" t="s">
        <v>215</v>
      </c>
      <c r="E93" s="184">
        <v>30</v>
      </c>
      <c r="F93" s="184">
        <v>63</v>
      </c>
      <c r="G93" s="8">
        <f t="shared" si="4"/>
        <v>0</v>
      </c>
      <c r="I93" s="238" t="s">
        <v>688</v>
      </c>
      <c r="J93" s="624">
        <v>1</v>
      </c>
      <c r="K93" s="7" t="s">
        <v>214</v>
      </c>
      <c r="L93" s="184">
        <v>90</v>
      </c>
      <c r="M93" s="184">
        <v>51</v>
      </c>
      <c r="N93" s="8">
        <f t="shared" si="7"/>
        <v>0</v>
      </c>
    </row>
    <row r="94" spans="1:14" ht="13.5" thickTop="1" x14ac:dyDescent="0.2">
      <c r="A94" s="32"/>
      <c r="B94" s="3">
        <v>26</v>
      </c>
      <c r="D94" s="7" t="s">
        <v>215</v>
      </c>
      <c r="E94" s="184">
        <v>31</v>
      </c>
      <c r="F94" s="184">
        <v>63</v>
      </c>
      <c r="G94" s="8">
        <f t="shared" si="4"/>
        <v>0</v>
      </c>
      <c r="I94" s="162" t="s">
        <v>709</v>
      </c>
      <c r="J94" s="163"/>
      <c r="K94" s="7" t="s">
        <v>214</v>
      </c>
      <c r="L94" s="184">
        <v>91</v>
      </c>
      <c r="M94" s="184">
        <v>51</v>
      </c>
      <c r="N94" s="8">
        <f t="shared" si="7"/>
        <v>0</v>
      </c>
    </row>
    <row r="95" spans="1:14" x14ac:dyDescent="0.2">
      <c r="A95" s="32"/>
      <c r="B95" s="3">
        <v>27</v>
      </c>
      <c r="D95" s="7" t="s">
        <v>215</v>
      </c>
      <c r="E95" s="184">
        <v>32</v>
      </c>
      <c r="F95" s="184">
        <v>63</v>
      </c>
      <c r="G95" s="8">
        <f t="shared" si="4"/>
        <v>0</v>
      </c>
      <c r="I95" s="32">
        <v>1</v>
      </c>
      <c r="J95" s="286" t="s">
        <v>318</v>
      </c>
      <c r="K95" s="7" t="s">
        <v>214</v>
      </c>
      <c r="L95" s="184">
        <v>92</v>
      </c>
      <c r="M95" s="184">
        <v>51</v>
      </c>
      <c r="N95" s="8">
        <f t="shared" si="7"/>
        <v>0</v>
      </c>
    </row>
    <row r="96" spans="1:14" x14ac:dyDescent="0.2">
      <c r="A96" s="32"/>
      <c r="B96" s="3">
        <v>28</v>
      </c>
      <c r="D96" s="7" t="s">
        <v>215</v>
      </c>
      <c r="E96" s="184">
        <v>33</v>
      </c>
      <c r="F96" s="184">
        <v>63</v>
      </c>
      <c r="G96" s="8">
        <f t="shared" si="4"/>
        <v>0</v>
      </c>
      <c r="I96" s="32">
        <v>2</v>
      </c>
      <c r="J96" s="286" t="s">
        <v>221</v>
      </c>
      <c r="K96" s="7" t="s">
        <v>214</v>
      </c>
      <c r="L96" s="184">
        <v>93</v>
      </c>
      <c r="M96" s="184">
        <v>51</v>
      </c>
      <c r="N96" s="8">
        <f t="shared" si="7"/>
        <v>0</v>
      </c>
    </row>
    <row r="97" spans="1:14" ht="13.5" thickBot="1" x14ac:dyDescent="0.25">
      <c r="A97" s="32"/>
      <c r="B97" s="3">
        <v>29</v>
      </c>
      <c r="D97" s="7" t="s">
        <v>215</v>
      </c>
      <c r="E97" s="184">
        <v>34</v>
      </c>
      <c r="F97" s="184">
        <v>63</v>
      </c>
      <c r="G97" s="8">
        <f t="shared" si="4"/>
        <v>0</v>
      </c>
      <c r="I97" s="33"/>
      <c r="J97" s="588">
        <v>1</v>
      </c>
      <c r="K97" s="7" t="s">
        <v>214</v>
      </c>
      <c r="L97" s="184">
        <v>94</v>
      </c>
      <c r="M97" s="184">
        <v>51</v>
      </c>
      <c r="N97" s="8">
        <f t="shared" si="7"/>
        <v>0</v>
      </c>
    </row>
    <row r="98" spans="1:14" ht="13.5" thickTop="1" x14ac:dyDescent="0.2">
      <c r="A98" s="32"/>
      <c r="B98" s="3">
        <v>30</v>
      </c>
      <c r="D98" s="7" t="s">
        <v>215</v>
      </c>
      <c r="E98" s="184">
        <v>35</v>
      </c>
      <c r="F98" s="184">
        <v>63</v>
      </c>
      <c r="G98" s="8">
        <f t="shared" si="4"/>
        <v>0</v>
      </c>
      <c r="I98" s="14" t="s">
        <v>728</v>
      </c>
      <c r="J98" s="14"/>
      <c r="K98" s="7" t="s">
        <v>214</v>
      </c>
      <c r="L98" s="184">
        <v>95</v>
      </c>
      <c r="M98" s="184">
        <v>51</v>
      </c>
      <c r="N98" s="8">
        <f t="shared" si="7"/>
        <v>0</v>
      </c>
    </row>
    <row r="99" spans="1:14" x14ac:dyDescent="0.2">
      <c r="A99" s="32"/>
      <c r="B99" s="3">
        <v>31</v>
      </c>
      <c r="D99" s="7" t="s">
        <v>215</v>
      </c>
      <c r="E99" s="184">
        <v>36</v>
      </c>
      <c r="F99" s="184">
        <v>63</v>
      </c>
      <c r="G99" s="8">
        <f t="shared" si="4"/>
        <v>0</v>
      </c>
      <c r="I99" s="32">
        <v>1</v>
      </c>
      <c r="J99" s="286" t="s">
        <v>221</v>
      </c>
      <c r="K99" s="7" t="s">
        <v>213</v>
      </c>
      <c r="L99" s="184">
        <v>74</v>
      </c>
      <c r="M99" s="184">
        <v>34</v>
      </c>
      <c r="N99" s="8">
        <f t="shared" si="7"/>
        <v>0</v>
      </c>
    </row>
    <row r="100" spans="1:14" x14ac:dyDescent="0.2">
      <c r="A100" s="32"/>
      <c r="B100" s="3">
        <v>32</v>
      </c>
      <c r="D100" s="7" t="s">
        <v>215</v>
      </c>
      <c r="E100" s="184">
        <v>37</v>
      </c>
      <c r="F100" s="184">
        <v>63</v>
      </c>
      <c r="G100" s="8">
        <f t="shared" si="4"/>
        <v>0</v>
      </c>
      <c r="I100" s="32">
        <v>2</v>
      </c>
      <c r="J100" s="286" t="s">
        <v>318</v>
      </c>
      <c r="K100" s="7" t="s">
        <v>213</v>
      </c>
      <c r="L100" s="201">
        <v>75</v>
      </c>
      <c r="M100" s="184">
        <v>34</v>
      </c>
      <c r="N100" s="8">
        <f t="shared" si="7"/>
        <v>0</v>
      </c>
    </row>
    <row r="101" spans="1:14" ht="13.5" thickBot="1" x14ac:dyDescent="0.25">
      <c r="A101" s="32"/>
      <c r="B101" s="3">
        <v>33</v>
      </c>
      <c r="D101" s="7" t="s">
        <v>215</v>
      </c>
      <c r="E101" s="184">
        <v>38</v>
      </c>
      <c r="F101" s="184">
        <v>63</v>
      </c>
      <c r="G101" s="8">
        <f t="shared" si="4"/>
        <v>0</v>
      </c>
      <c r="I101" s="33"/>
      <c r="J101" s="588">
        <v>1</v>
      </c>
      <c r="K101" s="7" t="s">
        <v>213</v>
      </c>
      <c r="L101" s="201">
        <v>76</v>
      </c>
      <c r="M101" s="184">
        <v>34</v>
      </c>
      <c r="N101" s="8">
        <f t="shared" si="7"/>
        <v>0</v>
      </c>
    </row>
    <row r="102" spans="1:14" ht="13.5" thickTop="1" x14ac:dyDescent="0.2">
      <c r="A102" s="32"/>
      <c r="B102" s="3">
        <v>34</v>
      </c>
      <c r="D102" s="7" t="s">
        <v>215</v>
      </c>
      <c r="E102" s="184">
        <v>39</v>
      </c>
      <c r="F102" s="184">
        <v>63</v>
      </c>
      <c r="G102" s="8">
        <f t="shared" si="4"/>
        <v>0</v>
      </c>
      <c r="I102" s="14" t="s">
        <v>373</v>
      </c>
      <c r="J102" s="14"/>
      <c r="K102" s="7" t="s">
        <v>213</v>
      </c>
      <c r="L102" s="201">
        <v>77</v>
      </c>
      <c r="M102" s="184">
        <v>34</v>
      </c>
      <c r="N102" s="8">
        <f t="shared" si="7"/>
        <v>0</v>
      </c>
    </row>
    <row r="103" spans="1:14" x14ac:dyDescent="0.2">
      <c r="A103" s="32"/>
      <c r="B103" s="3">
        <v>35</v>
      </c>
      <c r="D103" s="7" t="s">
        <v>215</v>
      </c>
      <c r="E103" s="184">
        <v>40</v>
      </c>
      <c r="F103" s="184">
        <v>63</v>
      </c>
      <c r="G103" s="8">
        <f t="shared" si="4"/>
        <v>0</v>
      </c>
      <c r="I103" s="32">
        <v>1</v>
      </c>
      <c r="J103" s="286" t="s">
        <v>221</v>
      </c>
      <c r="K103" s="7" t="s">
        <v>213</v>
      </c>
      <c r="L103" s="201">
        <v>78</v>
      </c>
      <c r="M103" s="184">
        <v>34</v>
      </c>
      <c r="N103" s="8">
        <f t="shared" si="7"/>
        <v>0</v>
      </c>
    </row>
    <row r="104" spans="1:14" x14ac:dyDescent="0.2">
      <c r="A104" s="32"/>
      <c r="B104" s="3">
        <v>36</v>
      </c>
      <c r="D104" s="7" t="s">
        <v>215</v>
      </c>
      <c r="E104" s="184">
        <v>41</v>
      </c>
      <c r="F104" s="184">
        <v>63</v>
      </c>
      <c r="G104" s="8">
        <f t="shared" si="4"/>
        <v>0</v>
      </c>
      <c r="I104" s="32">
        <v>2</v>
      </c>
      <c r="J104" s="286" t="s">
        <v>318</v>
      </c>
      <c r="K104" s="7" t="s">
        <v>213</v>
      </c>
      <c r="L104" s="201">
        <v>79</v>
      </c>
      <c r="M104" s="184">
        <v>34</v>
      </c>
      <c r="N104" s="8">
        <f t="shared" si="7"/>
        <v>0</v>
      </c>
    </row>
    <row r="105" spans="1:14" ht="13.5" thickBot="1" x14ac:dyDescent="0.25">
      <c r="A105" s="32"/>
      <c r="B105" s="3">
        <v>37</v>
      </c>
      <c r="D105" s="7" t="s">
        <v>215</v>
      </c>
      <c r="E105" s="184">
        <v>42</v>
      </c>
      <c r="F105" s="184">
        <v>63</v>
      </c>
      <c r="G105" s="8">
        <f t="shared" si="4"/>
        <v>0</v>
      </c>
      <c r="I105" s="33"/>
      <c r="J105" s="588">
        <v>2</v>
      </c>
      <c r="K105" s="7" t="s">
        <v>213</v>
      </c>
      <c r="L105" s="184">
        <v>151</v>
      </c>
      <c r="M105" s="184">
        <v>34</v>
      </c>
      <c r="N105" s="8">
        <f t="shared" si="7"/>
        <v>0</v>
      </c>
    </row>
    <row r="106" spans="1:14" ht="13.5" thickTop="1" x14ac:dyDescent="0.2">
      <c r="A106" s="32"/>
      <c r="B106" s="3">
        <v>38</v>
      </c>
      <c r="D106" s="7" t="s">
        <v>215</v>
      </c>
      <c r="E106" s="184">
        <v>43</v>
      </c>
      <c r="F106" s="184">
        <v>63</v>
      </c>
      <c r="G106" s="8">
        <f t="shared" si="4"/>
        <v>0</v>
      </c>
      <c r="I106" s="14" t="s">
        <v>416</v>
      </c>
      <c r="J106" s="14"/>
      <c r="K106" s="7" t="s">
        <v>213</v>
      </c>
      <c r="L106" s="184">
        <v>152</v>
      </c>
      <c r="M106" s="184">
        <v>34</v>
      </c>
      <c r="N106" s="8">
        <f t="shared" si="7"/>
        <v>0</v>
      </c>
    </row>
    <row r="107" spans="1:14" x14ac:dyDescent="0.2">
      <c r="A107" s="32"/>
      <c r="B107" s="3">
        <v>39</v>
      </c>
      <c r="D107" s="7" t="s">
        <v>215</v>
      </c>
      <c r="E107" s="184">
        <v>44</v>
      </c>
      <c r="F107" s="184">
        <v>63</v>
      </c>
      <c r="G107" s="8">
        <f t="shared" si="4"/>
        <v>0</v>
      </c>
      <c r="I107" s="32">
        <v>1</v>
      </c>
      <c r="J107" s="286" t="s">
        <v>221</v>
      </c>
      <c r="K107" s="7" t="s">
        <v>215</v>
      </c>
      <c r="L107" s="184">
        <v>54</v>
      </c>
      <c r="M107" s="184">
        <v>63</v>
      </c>
      <c r="N107" s="8">
        <f t="shared" si="7"/>
        <v>0</v>
      </c>
    </row>
    <row r="108" spans="1:14" x14ac:dyDescent="0.2">
      <c r="A108" s="32"/>
      <c r="B108" s="3">
        <v>40</v>
      </c>
      <c r="D108" s="7" t="s">
        <v>215</v>
      </c>
      <c r="E108" s="184">
        <v>45</v>
      </c>
      <c r="F108" s="184">
        <v>63</v>
      </c>
      <c r="G108" s="8">
        <f t="shared" si="4"/>
        <v>0</v>
      </c>
      <c r="I108" s="32">
        <v>2</v>
      </c>
      <c r="J108" s="286" t="s">
        <v>318</v>
      </c>
      <c r="K108" s="7" t="s">
        <v>215</v>
      </c>
      <c r="L108" s="184">
        <v>55</v>
      </c>
      <c r="M108" s="184">
        <v>63</v>
      </c>
      <c r="N108" s="8">
        <f t="shared" si="7"/>
        <v>0</v>
      </c>
    </row>
    <row r="109" spans="1:14" ht="13.5" thickBot="1" x14ac:dyDescent="0.25">
      <c r="A109" s="32"/>
      <c r="B109" s="3">
        <v>41</v>
      </c>
      <c r="D109" s="7" t="s">
        <v>215</v>
      </c>
      <c r="E109" s="184">
        <v>46</v>
      </c>
      <c r="F109" s="184">
        <v>63</v>
      </c>
      <c r="G109" s="8">
        <f t="shared" si="4"/>
        <v>0</v>
      </c>
      <c r="I109" s="33"/>
      <c r="J109" s="588">
        <v>1</v>
      </c>
      <c r="K109" s="7" t="s">
        <v>215</v>
      </c>
      <c r="L109" s="184">
        <v>56</v>
      </c>
      <c r="M109" s="184">
        <v>63</v>
      </c>
      <c r="N109" s="8">
        <f t="shared" si="7"/>
        <v>0</v>
      </c>
    </row>
    <row r="110" spans="1:14" ht="13.5" thickTop="1" x14ac:dyDescent="0.2">
      <c r="A110" s="32"/>
      <c r="B110" s="3">
        <v>42</v>
      </c>
      <c r="D110" s="7" t="s">
        <v>215</v>
      </c>
      <c r="E110" s="184">
        <v>47</v>
      </c>
      <c r="F110" s="184">
        <v>63</v>
      </c>
      <c r="G110" s="8">
        <f t="shared" si="4"/>
        <v>0</v>
      </c>
      <c r="I110" s="162" t="s">
        <v>50</v>
      </c>
      <c r="J110" s="163"/>
      <c r="K110" s="7" t="s">
        <v>215</v>
      </c>
      <c r="L110" s="184">
        <v>57</v>
      </c>
      <c r="M110" s="184">
        <v>63</v>
      </c>
      <c r="N110" s="8">
        <f t="shared" si="7"/>
        <v>0</v>
      </c>
    </row>
    <row r="111" spans="1:14" x14ac:dyDescent="0.2">
      <c r="A111" s="32"/>
      <c r="B111" s="3">
        <v>43</v>
      </c>
      <c r="D111" s="7" t="s">
        <v>215</v>
      </c>
      <c r="E111" s="184">
        <v>48</v>
      </c>
      <c r="F111" s="184">
        <v>63</v>
      </c>
      <c r="G111" s="8">
        <f t="shared" si="4"/>
        <v>0</v>
      </c>
      <c r="I111" s="32">
        <v>1</v>
      </c>
      <c r="J111" s="3" t="s">
        <v>477</v>
      </c>
      <c r="K111" s="7" t="s">
        <v>215</v>
      </c>
      <c r="L111" s="184">
        <v>79</v>
      </c>
      <c r="M111" s="184">
        <v>63</v>
      </c>
      <c r="N111" s="8">
        <f t="shared" si="7"/>
        <v>0</v>
      </c>
    </row>
    <row r="112" spans="1:14" x14ac:dyDescent="0.2">
      <c r="A112" s="32"/>
      <c r="B112" s="3">
        <v>44</v>
      </c>
      <c r="D112" s="7" t="s">
        <v>215</v>
      </c>
      <c r="E112" s="184">
        <v>49</v>
      </c>
      <c r="F112" s="184">
        <v>63</v>
      </c>
      <c r="G112" s="8">
        <f t="shared" si="4"/>
        <v>0</v>
      </c>
      <c r="I112" s="32">
        <v>2</v>
      </c>
      <c r="J112" s="3" t="s">
        <v>318</v>
      </c>
      <c r="K112" s="7" t="s">
        <v>215</v>
      </c>
      <c r="L112" s="184">
        <v>80</v>
      </c>
      <c r="M112" s="184">
        <v>63</v>
      </c>
      <c r="N112" s="8">
        <f t="shared" si="7"/>
        <v>0</v>
      </c>
    </row>
    <row r="113" spans="1:38" x14ac:dyDescent="0.2">
      <c r="A113" s="32"/>
      <c r="B113" s="3">
        <v>45</v>
      </c>
      <c r="D113" s="7" t="s">
        <v>215</v>
      </c>
      <c r="E113" s="184">
        <v>50</v>
      </c>
      <c r="F113" s="184">
        <v>63</v>
      </c>
      <c r="G113" s="8">
        <f t="shared" si="4"/>
        <v>0</v>
      </c>
      <c r="I113" s="32">
        <v>3</v>
      </c>
      <c r="J113" s="3" t="s">
        <v>715</v>
      </c>
      <c r="K113" s="7" t="s">
        <v>215</v>
      </c>
      <c r="L113" s="184">
        <v>81</v>
      </c>
      <c r="M113" s="184">
        <v>63</v>
      </c>
      <c r="N113" s="8">
        <f t="shared" si="7"/>
        <v>0</v>
      </c>
    </row>
    <row r="114" spans="1:38" x14ac:dyDescent="0.2">
      <c r="A114" s="32"/>
      <c r="B114" s="3">
        <v>46</v>
      </c>
      <c r="D114" s="7" t="s">
        <v>215</v>
      </c>
      <c r="E114" s="184">
        <v>51</v>
      </c>
      <c r="F114" s="184">
        <v>63</v>
      </c>
      <c r="G114" s="8">
        <f t="shared" si="4"/>
        <v>0</v>
      </c>
      <c r="I114" s="32"/>
      <c r="J114" s="587">
        <v>1</v>
      </c>
      <c r="K114" s="7" t="s">
        <v>215</v>
      </c>
      <c r="L114" s="184">
        <v>82</v>
      </c>
      <c r="M114" s="184">
        <v>63</v>
      </c>
      <c r="N114" s="8">
        <f t="shared" si="7"/>
        <v>0</v>
      </c>
    </row>
    <row r="115" spans="1:38" x14ac:dyDescent="0.2">
      <c r="A115" s="32"/>
      <c r="B115" s="3">
        <v>47</v>
      </c>
      <c r="D115" s="7" t="s">
        <v>215</v>
      </c>
      <c r="E115" s="184">
        <v>52</v>
      </c>
      <c r="F115" s="184">
        <v>63</v>
      </c>
      <c r="G115" s="8">
        <f t="shared" si="4"/>
        <v>0</v>
      </c>
      <c r="I115" s="32"/>
      <c r="J115" s="587">
        <v>1</v>
      </c>
      <c r="K115" s="7" t="s">
        <v>215</v>
      </c>
      <c r="L115" s="184">
        <v>83</v>
      </c>
      <c r="M115" s="184">
        <v>63</v>
      </c>
      <c r="N115" s="8">
        <f t="shared" si="7"/>
        <v>0</v>
      </c>
      <c r="AL115">
        <v>2</v>
      </c>
    </row>
    <row r="116" spans="1:38" ht="13.5" thickBot="1" x14ac:dyDescent="0.25">
      <c r="A116" s="32"/>
      <c r="B116" s="3">
        <v>48</v>
      </c>
      <c r="D116" s="7" t="s">
        <v>215</v>
      </c>
      <c r="E116" s="184">
        <v>53</v>
      </c>
      <c r="F116" s="184">
        <v>63</v>
      </c>
      <c r="G116" s="8">
        <f t="shared" si="4"/>
        <v>0</v>
      </c>
      <c r="I116" s="33"/>
      <c r="J116" s="588">
        <v>1</v>
      </c>
      <c r="K116" s="7" t="s">
        <v>215</v>
      </c>
      <c r="L116" s="184">
        <v>84</v>
      </c>
      <c r="M116" s="184">
        <v>63</v>
      </c>
      <c r="N116" s="8">
        <f t="shared" si="7"/>
        <v>0</v>
      </c>
    </row>
    <row r="117" spans="1:38" ht="13.5" thickTop="1" x14ac:dyDescent="0.2">
      <c r="A117" s="32"/>
      <c r="B117" s="3">
        <v>49</v>
      </c>
      <c r="D117" s="7" t="s">
        <v>215</v>
      </c>
      <c r="E117" s="184">
        <v>54</v>
      </c>
      <c r="F117" s="184">
        <v>63</v>
      </c>
      <c r="G117" s="8">
        <f t="shared" si="4"/>
        <v>0</v>
      </c>
      <c r="K117" s="7" t="s">
        <v>215</v>
      </c>
      <c r="L117" s="184">
        <v>85</v>
      </c>
      <c r="M117" s="184">
        <v>63</v>
      </c>
      <c r="N117" s="8">
        <f t="shared" si="7"/>
        <v>0</v>
      </c>
    </row>
    <row r="118" spans="1:38" x14ac:dyDescent="0.2">
      <c r="A118" s="32"/>
      <c r="B118" s="3">
        <v>50</v>
      </c>
      <c r="D118" s="7" t="s">
        <v>215</v>
      </c>
      <c r="E118" s="184">
        <v>55</v>
      </c>
      <c r="F118" s="184">
        <v>63</v>
      </c>
      <c r="G118" s="8">
        <f t="shared" si="4"/>
        <v>0</v>
      </c>
      <c r="K118" s="7" t="s">
        <v>215</v>
      </c>
      <c r="L118" s="184">
        <v>86</v>
      </c>
      <c r="M118" s="184">
        <v>63</v>
      </c>
      <c r="N118" s="8">
        <f t="shared" si="7"/>
        <v>0</v>
      </c>
    </row>
    <row r="119" spans="1:38" x14ac:dyDescent="0.2">
      <c r="A119" s="32"/>
      <c r="B119" s="3">
        <v>51</v>
      </c>
      <c r="D119" s="7" t="s">
        <v>215</v>
      </c>
      <c r="E119" s="184">
        <v>56</v>
      </c>
      <c r="F119" s="184">
        <v>63</v>
      </c>
      <c r="G119" s="8">
        <f t="shared" si="4"/>
        <v>0</v>
      </c>
      <c r="K119" s="7" t="s">
        <v>215</v>
      </c>
      <c r="L119" s="184">
        <v>107</v>
      </c>
      <c r="M119" s="184">
        <v>63</v>
      </c>
      <c r="N119" s="8">
        <f t="shared" si="7"/>
        <v>0</v>
      </c>
    </row>
    <row r="120" spans="1:38" x14ac:dyDescent="0.2">
      <c r="A120" s="32"/>
      <c r="B120" s="3">
        <v>52</v>
      </c>
      <c r="D120" s="7" t="s">
        <v>215</v>
      </c>
      <c r="E120" s="184">
        <v>57</v>
      </c>
      <c r="F120" s="184">
        <v>63</v>
      </c>
      <c r="G120" s="8">
        <f t="shared" si="4"/>
        <v>0</v>
      </c>
      <c r="K120" s="7" t="s">
        <v>215</v>
      </c>
      <c r="L120" s="184">
        <v>108</v>
      </c>
      <c r="M120" s="184">
        <v>63</v>
      </c>
      <c r="N120" s="8">
        <f t="shared" si="7"/>
        <v>0</v>
      </c>
    </row>
    <row r="121" spans="1:38" x14ac:dyDescent="0.2">
      <c r="A121" s="32"/>
      <c r="B121" s="3">
        <v>53</v>
      </c>
      <c r="D121" s="7" t="s">
        <v>215</v>
      </c>
      <c r="E121" s="184">
        <v>58</v>
      </c>
      <c r="F121" s="184">
        <v>63</v>
      </c>
      <c r="G121" s="8">
        <f t="shared" si="4"/>
        <v>0</v>
      </c>
      <c r="K121" s="7" t="s">
        <v>215</v>
      </c>
      <c r="L121" s="184">
        <v>109</v>
      </c>
      <c r="M121" s="184">
        <v>63</v>
      </c>
      <c r="N121" s="8">
        <f t="shared" si="7"/>
        <v>0</v>
      </c>
    </row>
    <row r="122" spans="1:38" x14ac:dyDescent="0.2">
      <c r="A122" s="32"/>
      <c r="B122" s="3">
        <v>54</v>
      </c>
      <c r="D122" s="7" t="s">
        <v>215</v>
      </c>
      <c r="E122" s="184">
        <v>59</v>
      </c>
      <c r="F122" s="184">
        <v>63</v>
      </c>
      <c r="G122" s="8">
        <f t="shared" si="4"/>
        <v>0</v>
      </c>
      <c r="K122" s="7" t="s">
        <v>215</v>
      </c>
      <c r="L122" s="184">
        <v>110</v>
      </c>
      <c r="M122" s="184">
        <v>63</v>
      </c>
      <c r="N122" s="8">
        <f t="shared" si="7"/>
        <v>0</v>
      </c>
    </row>
    <row r="123" spans="1:38" x14ac:dyDescent="0.2">
      <c r="A123" s="32"/>
      <c r="B123" s="3">
        <v>55</v>
      </c>
      <c r="D123" s="7" t="s">
        <v>215</v>
      </c>
      <c r="E123" s="184">
        <v>60</v>
      </c>
      <c r="F123" s="184">
        <v>63</v>
      </c>
      <c r="G123" s="8">
        <f t="shared" si="4"/>
        <v>0</v>
      </c>
      <c r="K123" s="7" t="s">
        <v>215</v>
      </c>
      <c r="L123" s="184">
        <v>111</v>
      </c>
      <c r="M123" s="184">
        <v>63</v>
      </c>
      <c r="N123" s="8">
        <f t="shared" si="7"/>
        <v>0</v>
      </c>
    </row>
    <row r="124" spans="1:38" x14ac:dyDescent="0.2">
      <c r="A124" s="32"/>
      <c r="B124" s="3">
        <v>56</v>
      </c>
      <c r="D124" s="7" t="s">
        <v>215</v>
      </c>
      <c r="E124" s="184">
        <v>61</v>
      </c>
      <c r="F124" s="184">
        <v>63</v>
      </c>
      <c r="G124" s="8">
        <f t="shared" si="4"/>
        <v>0</v>
      </c>
      <c r="K124" s="7" t="s">
        <v>215</v>
      </c>
      <c r="L124" s="184">
        <v>126</v>
      </c>
      <c r="M124" s="184">
        <v>63</v>
      </c>
      <c r="N124" s="8">
        <f t="shared" si="7"/>
        <v>0</v>
      </c>
    </row>
    <row r="125" spans="1:38" x14ac:dyDescent="0.2">
      <c r="A125" s="32"/>
      <c r="B125" s="3">
        <v>57</v>
      </c>
      <c r="D125" s="7" t="s">
        <v>215</v>
      </c>
      <c r="E125" s="184">
        <v>62</v>
      </c>
      <c r="F125" s="184">
        <v>63</v>
      </c>
      <c r="G125" s="8">
        <f t="shared" si="4"/>
        <v>0</v>
      </c>
      <c r="K125" s="7" t="s">
        <v>215</v>
      </c>
      <c r="L125" s="184">
        <v>127</v>
      </c>
      <c r="M125" s="184">
        <v>63</v>
      </c>
      <c r="N125" s="8">
        <f t="shared" si="7"/>
        <v>0</v>
      </c>
    </row>
    <row r="126" spans="1:38" x14ac:dyDescent="0.2">
      <c r="A126" s="32"/>
      <c r="B126" s="3">
        <v>58</v>
      </c>
      <c r="D126" s="7" t="s">
        <v>215</v>
      </c>
      <c r="E126" s="184">
        <v>63</v>
      </c>
      <c r="F126" s="184">
        <v>63</v>
      </c>
      <c r="G126" s="8">
        <f t="shared" si="4"/>
        <v>0</v>
      </c>
      <c r="K126" s="7" t="s">
        <v>215</v>
      </c>
      <c r="L126" s="184">
        <v>128</v>
      </c>
      <c r="M126" s="184">
        <v>63</v>
      </c>
      <c r="N126" s="8">
        <f t="shared" si="7"/>
        <v>0</v>
      </c>
    </row>
    <row r="127" spans="1:38" x14ac:dyDescent="0.2">
      <c r="A127" s="32"/>
      <c r="B127" s="3">
        <v>59</v>
      </c>
      <c r="D127" s="7" t="s">
        <v>215</v>
      </c>
      <c r="E127" s="184">
        <v>64</v>
      </c>
      <c r="F127" s="184">
        <v>63</v>
      </c>
      <c r="G127" s="8">
        <f t="shared" si="4"/>
        <v>0</v>
      </c>
      <c r="K127" s="7" t="s">
        <v>215</v>
      </c>
      <c r="L127" s="184">
        <v>129</v>
      </c>
      <c r="M127" s="184">
        <v>63</v>
      </c>
      <c r="N127" s="8">
        <f t="shared" si="7"/>
        <v>0</v>
      </c>
    </row>
    <row r="128" spans="1:38" x14ac:dyDescent="0.2">
      <c r="A128" s="32"/>
      <c r="B128" s="3">
        <v>60</v>
      </c>
      <c r="D128" s="7" t="s">
        <v>215</v>
      </c>
      <c r="E128" s="184">
        <v>65</v>
      </c>
      <c r="F128" s="184">
        <v>63</v>
      </c>
      <c r="G128" s="8">
        <f t="shared" ref="G128:G191" si="8">IF(AND(F128=$A$66,E128=$A$67),1,0)</f>
        <v>0</v>
      </c>
      <c r="K128" s="7" t="s">
        <v>215</v>
      </c>
      <c r="L128" s="184">
        <v>144</v>
      </c>
      <c r="M128" s="184">
        <v>63</v>
      </c>
      <c r="N128" s="8">
        <f t="shared" si="7"/>
        <v>0</v>
      </c>
    </row>
    <row r="129" spans="1:14" x14ac:dyDescent="0.2">
      <c r="A129" s="32"/>
      <c r="B129" s="3">
        <v>61</v>
      </c>
      <c r="D129" s="7" t="s">
        <v>215</v>
      </c>
      <c r="E129" s="184">
        <v>66</v>
      </c>
      <c r="F129" s="184">
        <v>63</v>
      </c>
      <c r="G129" s="8">
        <f t="shared" si="8"/>
        <v>0</v>
      </c>
      <c r="K129" s="7" t="s">
        <v>215</v>
      </c>
      <c r="L129" s="184">
        <v>145</v>
      </c>
      <c r="M129" s="184">
        <v>63</v>
      </c>
      <c r="N129" s="8">
        <f t="shared" si="7"/>
        <v>0</v>
      </c>
    </row>
    <row r="130" spans="1:14" x14ac:dyDescent="0.2">
      <c r="A130" s="32"/>
      <c r="B130" s="3">
        <v>62</v>
      </c>
      <c r="D130" s="7" t="s">
        <v>215</v>
      </c>
      <c r="E130" s="184">
        <v>67</v>
      </c>
      <c r="F130" s="184">
        <v>63</v>
      </c>
      <c r="G130" s="8">
        <f t="shared" si="8"/>
        <v>0</v>
      </c>
      <c r="K130" s="7" t="s">
        <v>215</v>
      </c>
      <c r="L130" s="184">
        <v>146</v>
      </c>
      <c r="M130" s="184">
        <v>63</v>
      </c>
      <c r="N130" s="8">
        <f t="shared" si="7"/>
        <v>0</v>
      </c>
    </row>
    <row r="131" spans="1:14" x14ac:dyDescent="0.2">
      <c r="A131" s="32"/>
      <c r="B131" s="3">
        <v>63</v>
      </c>
      <c r="D131" s="7" t="s">
        <v>215</v>
      </c>
      <c r="E131" s="184">
        <v>68</v>
      </c>
      <c r="F131" s="184">
        <v>63</v>
      </c>
      <c r="G131" s="8">
        <f t="shared" si="8"/>
        <v>0</v>
      </c>
      <c r="K131" s="7" t="s">
        <v>216</v>
      </c>
      <c r="L131" s="184">
        <v>20</v>
      </c>
      <c r="M131" s="184">
        <v>37</v>
      </c>
      <c r="N131" s="8">
        <f t="shared" si="7"/>
        <v>0</v>
      </c>
    </row>
    <row r="132" spans="1:14" x14ac:dyDescent="0.2">
      <c r="A132" s="32"/>
      <c r="B132" s="3">
        <v>64</v>
      </c>
      <c r="D132" s="7" t="s">
        <v>215</v>
      </c>
      <c r="E132" s="184">
        <v>69</v>
      </c>
      <c r="F132" s="184">
        <v>63</v>
      </c>
      <c r="G132" s="8">
        <f t="shared" si="8"/>
        <v>0</v>
      </c>
      <c r="K132" s="7" t="s">
        <v>216</v>
      </c>
      <c r="L132" s="184">
        <v>21</v>
      </c>
      <c r="M132" s="184">
        <v>37</v>
      </c>
      <c r="N132" s="8">
        <f t="shared" si="7"/>
        <v>0</v>
      </c>
    </row>
    <row r="133" spans="1:14" x14ac:dyDescent="0.2">
      <c r="A133" s="32"/>
      <c r="B133" s="3">
        <v>65</v>
      </c>
      <c r="D133" s="7" t="s">
        <v>215</v>
      </c>
      <c r="E133" s="184">
        <v>70</v>
      </c>
      <c r="F133" s="184">
        <v>63</v>
      </c>
      <c r="G133" s="8">
        <f t="shared" si="8"/>
        <v>0</v>
      </c>
      <c r="K133" s="7" t="s">
        <v>216</v>
      </c>
      <c r="L133" s="184">
        <v>22</v>
      </c>
      <c r="M133" s="184">
        <v>37</v>
      </c>
      <c r="N133" s="8">
        <f t="shared" si="7"/>
        <v>0</v>
      </c>
    </row>
    <row r="134" spans="1:14" x14ac:dyDescent="0.2">
      <c r="A134" s="32"/>
      <c r="B134" s="3">
        <v>66</v>
      </c>
      <c r="D134" s="7" t="s">
        <v>215</v>
      </c>
      <c r="E134" s="184">
        <v>71</v>
      </c>
      <c r="F134" s="184">
        <v>63</v>
      </c>
      <c r="G134" s="8">
        <f t="shared" si="8"/>
        <v>0</v>
      </c>
      <c r="K134" s="7" t="s">
        <v>216</v>
      </c>
      <c r="L134" s="184">
        <v>63</v>
      </c>
      <c r="M134" s="184">
        <v>37</v>
      </c>
      <c r="N134" s="8">
        <f t="shared" si="7"/>
        <v>0</v>
      </c>
    </row>
    <row r="135" spans="1:14" x14ac:dyDescent="0.2">
      <c r="A135" s="32"/>
      <c r="B135" s="3">
        <v>67</v>
      </c>
      <c r="D135" s="7" t="s">
        <v>215</v>
      </c>
      <c r="E135" s="184">
        <v>72</v>
      </c>
      <c r="F135" s="184">
        <v>63</v>
      </c>
      <c r="G135" s="8">
        <f t="shared" si="8"/>
        <v>0</v>
      </c>
      <c r="K135" s="7" t="s">
        <v>216</v>
      </c>
      <c r="L135" s="184">
        <v>64</v>
      </c>
      <c r="M135" s="184">
        <v>37</v>
      </c>
      <c r="N135" s="8">
        <f t="shared" si="7"/>
        <v>0</v>
      </c>
    </row>
    <row r="136" spans="1:14" x14ac:dyDescent="0.2">
      <c r="A136" s="32"/>
      <c r="B136" s="3">
        <v>68</v>
      </c>
      <c r="D136" s="7" t="s">
        <v>215</v>
      </c>
      <c r="E136" s="184">
        <v>73</v>
      </c>
      <c r="F136" s="184">
        <v>63</v>
      </c>
      <c r="G136" s="8">
        <f t="shared" si="8"/>
        <v>0</v>
      </c>
      <c r="K136" s="7" t="s">
        <v>216</v>
      </c>
      <c r="L136" s="184">
        <v>65</v>
      </c>
      <c r="M136" s="184">
        <v>37</v>
      </c>
      <c r="N136" s="8">
        <f t="shared" si="7"/>
        <v>0</v>
      </c>
    </row>
    <row r="137" spans="1:14" x14ac:dyDescent="0.2">
      <c r="A137" s="32"/>
      <c r="B137" s="3">
        <v>69</v>
      </c>
      <c r="D137" s="7" t="s">
        <v>215</v>
      </c>
      <c r="E137" s="184">
        <v>74</v>
      </c>
      <c r="F137" s="184">
        <v>63</v>
      </c>
      <c r="G137" s="8">
        <f t="shared" si="8"/>
        <v>0</v>
      </c>
      <c r="K137" s="7" t="s">
        <v>216</v>
      </c>
      <c r="L137" s="184">
        <v>107</v>
      </c>
      <c r="M137" s="184">
        <v>37</v>
      </c>
      <c r="N137" s="8">
        <f t="shared" si="7"/>
        <v>0</v>
      </c>
    </row>
    <row r="138" spans="1:14" x14ac:dyDescent="0.2">
      <c r="A138" s="32"/>
      <c r="B138" s="3">
        <v>70</v>
      </c>
      <c r="D138" s="7" t="s">
        <v>215</v>
      </c>
      <c r="E138" s="184">
        <v>75</v>
      </c>
      <c r="F138" s="184">
        <v>63</v>
      </c>
      <c r="G138" s="8">
        <f t="shared" si="8"/>
        <v>0</v>
      </c>
      <c r="K138" s="7" t="s">
        <v>216</v>
      </c>
      <c r="L138" s="184">
        <v>147</v>
      </c>
      <c r="M138" s="184">
        <v>37</v>
      </c>
      <c r="N138" s="8">
        <f t="shared" si="7"/>
        <v>0</v>
      </c>
    </row>
    <row r="139" spans="1:14" x14ac:dyDescent="0.2">
      <c r="A139" s="32"/>
      <c r="B139" s="3">
        <v>71</v>
      </c>
      <c r="D139" s="7" t="s">
        <v>215</v>
      </c>
      <c r="E139" s="184">
        <v>76</v>
      </c>
      <c r="F139" s="184">
        <v>63</v>
      </c>
      <c r="G139" s="8">
        <f t="shared" si="8"/>
        <v>0</v>
      </c>
      <c r="K139" s="7" t="s">
        <v>216</v>
      </c>
      <c r="L139" s="184">
        <v>148</v>
      </c>
      <c r="M139" s="184">
        <v>37</v>
      </c>
      <c r="N139" s="8">
        <f t="shared" si="7"/>
        <v>0</v>
      </c>
    </row>
    <row r="140" spans="1:14" x14ac:dyDescent="0.2">
      <c r="A140" s="32"/>
      <c r="B140" s="3">
        <v>72</v>
      </c>
      <c r="D140" s="7" t="s">
        <v>215</v>
      </c>
      <c r="E140" s="184">
        <v>77</v>
      </c>
      <c r="F140" s="184">
        <v>63</v>
      </c>
      <c r="G140" s="8">
        <f t="shared" si="8"/>
        <v>0</v>
      </c>
      <c r="K140" s="7" t="s">
        <v>216</v>
      </c>
      <c r="L140" s="184">
        <v>149</v>
      </c>
      <c r="M140" s="184">
        <v>37</v>
      </c>
      <c r="N140" s="8">
        <f t="shared" si="7"/>
        <v>0</v>
      </c>
    </row>
    <row r="141" spans="1:14" x14ac:dyDescent="0.2">
      <c r="A141" s="32"/>
      <c r="B141" s="3">
        <v>73</v>
      </c>
      <c r="D141" s="7" t="s">
        <v>215</v>
      </c>
      <c r="E141" s="184">
        <v>78</v>
      </c>
      <c r="F141" s="184">
        <v>63</v>
      </c>
      <c r="G141" s="8">
        <f t="shared" si="8"/>
        <v>0</v>
      </c>
      <c r="K141" s="7" t="s">
        <v>216</v>
      </c>
      <c r="L141" s="184">
        <v>150</v>
      </c>
      <c r="M141" s="184">
        <v>37</v>
      </c>
      <c r="N141" s="8">
        <f t="shared" si="7"/>
        <v>0</v>
      </c>
    </row>
    <row r="142" spans="1:14" x14ac:dyDescent="0.2">
      <c r="A142" s="32"/>
      <c r="B142" s="3">
        <v>74</v>
      </c>
      <c r="D142" s="7" t="s">
        <v>215</v>
      </c>
      <c r="E142" s="184">
        <v>79</v>
      </c>
      <c r="F142" s="184">
        <v>63</v>
      </c>
      <c r="G142" s="8">
        <f t="shared" si="8"/>
        <v>0</v>
      </c>
      <c r="K142" s="7" t="s">
        <v>216</v>
      </c>
      <c r="L142" s="184">
        <v>191</v>
      </c>
      <c r="M142" s="184">
        <v>37</v>
      </c>
      <c r="N142" s="8">
        <f t="shared" si="7"/>
        <v>0</v>
      </c>
    </row>
    <row r="143" spans="1:14" x14ac:dyDescent="0.2">
      <c r="A143" s="32"/>
      <c r="B143" s="3">
        <v>75</v>
      </c>
      <c r="D143" s="7" t="s">
        <v>215</v>
      </c>
      <c r="E143" s="184">
        <v>80</v>
      </c>
      <c r="F143" s="184">
        <v>63</v>
      </c>
      <c r="G143" s="8">
        <f t="shared" si="8"/>
        <v>0</v>
      </c>
      <c r="K143" s="7" t="s">
        <v>216</v>
      </c>
      <c r="L143" s="184">
        <v>192</v>
      </c>
      <c r="M143" s="184">
        <v>37</v>
      </c>
      <c r="N143" s="8">
        <f t="shared" si="7"/>
        <v>0</v>
      </c>
    </row>
    <row r="144" spans="1:14" x14ac:dyDescent="0.2">
      <c r="A144" s="32"/>
      <c r="B144" s="3">
        <v>76</v>
      </c>
      <c r="D144" s="7" t="s">
        <v>215</v>
      </c>
      <c r="E144" s="184">
        <v>81</v>
      </c>
      <c r="F144" s="184">
        <v>63</v>
      </c>
      <c r="G144" s="8">
        <f t="shared" si="8"/>
        <v>0</v>
      </c>
      <c r="K144" s="7" t="s">
        <v>216</v>
      </c>
      <c r="L144" s="184">
        <v>234</v>
      </c>
      <c r="M144" s="184">
        <v>37</v>
      </c>
      <c r="N144" s="8">
        <f t="shared" si="7"/>
        <v>0</v>
      </c>
    </row>
    <row r="145" spans="1:14" x14ac:dyDescent="0.2">
      <c r="A145" s="32"/>
      <c r="B145" s="3">
        <v>77</v>
      </c>
      <c r="D145" s="7" t="s">
        <v>215</v>
      </c>
      <c r="E145" s="184">
        <v>82</v>
      </c>
      <c r="F145" s="184">
        <v>63</v>
      </c>
      <c r="G145" s="8">
        <f t="shared" si="8"/>
        <v>0</v>
      </c>
      <c r="K145" s="7" t="s">
        <v>216</v>
      </c>
      <c r="L145" s="184">
        <v>235</v>
      </c>
      <c r="M145" s="184">
        <v>37</v>
      </c>
      <c r="N145" s="8">
        <f t="shared" si="7"/>
        <v>0</v>
      </c>
    </row>
    <row r="146" spans="1:14" x14ac:dyDescent="0.2">
      <c r="A146" s="32"/>
      <c r="B146" s="3">
        <v>78</v>
      </c>
      <c r="D146" s="7" t="s">
        <v>215</v>
      </c>
      <c r="E146" s="184">
        <v>83</v>
      </c>
      <c r="F146" s="184">
        <v>63</v>
      </c>
      <c r="G146" s="8">
        <f t="shared" si="8"/>
        <v>0</v>
      </c>
      <c r="K146" s="7" t="s">
        <v>217</v>
      </c>
      <c r="L146" s="184">
        <v>940</v>
      </c>
      <c r="M146" s="184">
        <v>60</v>
      </c>
      <c r="N146" s="8">
        <f t="shared" ref="N146:N151" si="9">IF(AND(M146=$A$66,L146=$A$67),1,0)</f>
        <v>0</v>
      </c>
    </row>
    <row r="147" spans="1:14" x14ac:dyDescent="0.2">
      <c r="A147" s="32"/>
      <c r="B147" s="3">
        <v>79</v>
      </c>
      <c r="D147" s="7" t="s">
        <v>215</v>
      </c>
      <c r="E147" s="184">
        <v>84</v>
      </c>
      <c r="F147" s="184">
        <v>63</v>
      </c>
      <c r="G147" s="8">
        <f t="shared" si="8"/>
        <v>0</v>
      </c>
      <c r="K147" s="7" t="s">
        <v>217</v>
      </c>
      <c r="L147" s="184">
        <v>941</v>
      </c>
      <c r="M147" s="184">
        <v>60</v>
      </c>
      <c r="N147" s="8">
        <f t="shared" si="9"/>
        <v>0</v>
      </c>
    </row>
    <row r="148" spans="1:14" x14ac:dyDescent="0.2">
      <c r="A148" s="32"/>
      <c r="B148" s="3">
        <v>80</v>
      </c>
      <c r="D148" s="7" t="s">
        <v>215</v>
      </c>
      <c r="E148" s="184">
        <v>85</v>
      </c>
      <c r="F148" s="184">
        <v>63</v>
      </c>
      <c r="G148" s="8">
        <f t="shared" si="8"/>
        <v>0</v>
      </c>
      <c r="K148" s="7" t="s">
        <v>217</v>
      </c>
      <c r="L148" s="184">
        <v>942</v>
      </c>
      <c r="M148" s="184">
        <v>60</v>
      </c>
      <c r="N148" s="8">
        <f t="shared" si="9"/>
        <v>0</v>
      </c>
    </row>
    <row r="149" spans="1:14" x14ac:dyDescent="0.2">
      <c r="A149" s="32"/>
      <c r="B149" s="3">
        <v>81</v>
      </c>
      <c r="D149" s="7" t="s">
        <v>215</v>
      </c>
      <c r="E149" s="184">
        <v>86</v>
      </c>
      <c r="F149" s="184">
        <v>63</v>
      </c>
      <c r="G149" s="8">
        <f t="shared" si="8"/>
        <v>0</v>
      </c>
      <c r="K149" s="7" t="s">
        <v>217</v>
      </c>
      <c r="L149" s="184">
        <v>983</v>
      </c>
      <c r="M149" s="184">
        <v>60</v>
      </c>
      <c r="N149" s="8">
        <f t="shared" si="9"/>
        <v>0</v>
      </c>
    </row>
    <row r="150" spans="1:14" x14ac:dyDescent="0.2">
      <c r="A150" s="32"/>
      <c r="B150" s="3">
        <v>82</v>
      </c>
      <c r="D150" s="7" t="s">
        <v>215</v>
      </c>
      <c r="E150" s="184">
        <v>87</v>
      </c>
      <c r="F150" s="184">
        <v>63</v>
      </c>
      <c r="G150" s="8">
        <f t="shared" si="8"/>
        <v>0</v>
      </c>
      <c r="K150" s="7" t="s">
        <v>217</v>
      </c>
      <c r="L150" s="184">
        <v>984</v>
      </c>
      <c r="M150" s="184">
        <v>60</v>
      </c>
      <c r="N150" s="8">
        <f t="shared" si="9"/>
        <v>0</v>
      </c>
    </row>
    <row r="151" spans="1:14" x14ac:dyDescent="0.2">
      <c r="A151" s="32"/>
      <c r="B151" s="3">
        <v>83</v>
      </c>
      <c r="D151" s="7" t="s">
        <v>215</v>
      </c>
      <c r="E151" s="184">
        <v>88</v>
      </c>
      <c r="F151" s="184">
        <v>63</v>
      </c>
      <c r="G151" s="8">
        <f t="shared" si="8"/>
        <v>0</v>
      </c>
      <c r="H151" t="s">
        <v>222</v>
      </c>
      <c r="K151" s="7" t="s">
        <v>217</v>
      </c>
      <c r="L151" s="184">
        <v>985</v>
      </c>
      <c r="M151" s="184">
        <v>60</v>
      </c>
      <c r="N151" s="8">
        <f t="shared" si="9"/>
        <v>0</v>
      </c>
    </row>
    <row r="152" spans="1:14" x14ac:dyDescent="0.2">
      <c r="A152" s="32"/>
      <c r="B152" s="3">
        <v>84</v>
      </c>
      <c r="D152" s="7" t="s">
        <v>215</v>
      </c>
      <c r="E152" s="184">
        <v>89</v>
      </c>
      <c r="F152" s="184">
        <v>63</v>
      </c>
      <c r="G152" s="8">
        <f t="shared" si="8"/>
        <v>0</v>
      </c>
      <c r="K152" s="7" t="s">
        <v>222</v>
      </c>
      <c r="L152" s="184" t="str">
        <f>IF(OR(A66=63,A66=51,A66=60,A66=37,A66=34),"Possible","No")</f>
        <v>No</v>
      </c>
      <c r="M152" s="626"/>
      <c r="N152" s="627">
        <f>SUM(N4:N151)</f>
        <v>0</v>
      </c>
    </row>
    <row r="153" spans="1:14" x14ac:dyDescent="0.2">
      <c r="A153" s="32"/>
      <c r="B153" s="3">
        <v>85</v>
      </c>
      <c r="D153" s="7" t="s">
        <v>215</v>
      </c>
      <c r="E153" s="184">
        <v>90</v>
      </c>
      <c r="F153" s="184">
        <v>63</v>
      </c>
      <c r="G153" s="8">
        <f t="shared" si="8"/>
        <v>0</v>
      </c>
      <c r="K153" s="7" t="s">
        <v>222</v>
      </c>
      <c r="L153" s="184">
        <f>IF(AND(A66=51,A67&lt;95),1,0)</f>
        <v>0</v>
      </c>
      <c r="M153" s="626" t="s">
        <v>455</v>
      </c>
      <c r="N153" s="628"/>
    </row>
    <row r="154" spans="1:14" x14ac:dyDescent="0.2">
      <c r="A154" s="32"/>
      <c r="B154" s="3">
        <v>86</v>
      </c>
      <c r="D154" s="7" t="s">
        <v>215</v>
      </c>
      <c r="E154" s="184">
        <v>91</v>
      </c>
      <c r="F154" s="184">
        <v>63</v>
      </c>
      <c r="G154" s="8">
        <f t="shared" si="8"/>
        <v>0</v>
      </c>
      <c r="K154" s="7" t="s">
        <v>222</v>
      </c>
      <c r="L154" s="184"/>
      <c r="M154" s="626" t="s">
        <v>456</v>
      </c>
      <c r="N154" s="628"/>
    </row>
    <row r="155" spans="1:14" x14ac:dyDescent="0.2">
      <c r="A155" s="32"/>
      <c r="B155" s="3">
        <v>87</v>
      </c>
      <c r="D155" s="7" t="s">
        <v>215</v>
      </c>
      <c r="E155" s="184">
        <v>92</v>
      </c>
      <c r="F155" s="184">
        <v>63</v>
      </c>
      <c r="G155" s="8">
        <f t="shared" si="8"/>
        <v>0</v>
      </c>
      <c r="K155" s="7" t="s">
        <v>222</v>
      </c>
      <c r="L155" s="184"/>
      <c r="M155" s="626" t="s">
        <v>457</v>
      </c>
      <c r="N155" s="628"/>
    </row>
    <row r="156" spans="1:14" x14ac:dyDescent="0.2">
      <c r="A156" s="32"/>
      <c r="B156" s="3">
        <v>88</v>
      </c>
      <c r="D156" s="7" t="s">
        <v>215</v>
      </c>
      <c r="E156" s="184">
        <v>93</v>
      </c>
      <c r="F156" s="184">
        <v>63</v>
      </c>
      <c r="G156" s="8">
        <f t="shared" si="8"/>
        <v>0</v>
      </c>
      <c r="K156" s="7"/>
      <c r="L156" s="184"/>
      <c r="M156" s="626" t="s">
        <v>458</v>
      </c>
      <c r="N156" s="628"/>
    </row>
    <row r="157" spans="1:14" ht="13.5" thickBot="1" x14ac:dyDescent="0.25">
      <c r="A157" s="32"/>
      <c r="B157" s="3">
        <v>89</v>
      </c>
      <c r="D157" s="7" t="s">
        <v>215</v>
      </c>
      <c r="E157" s="184">
        <v>94</v>
      </c>
      <c r="F157" s="184">
        <v>63</v>
      </c>
      <c r="G157" s="8">
        <f t="shared" si="8"/>
        <v>0</v>
      </c>
      <c r="K157" s="9"/>
      <c r="L157" s="185"/>
      <c r="M157" s="584" t="s">
        <v>459</v>
      </c>
      <c r="N157" s="629"/>
    </row>
    <row r="158" spans="1:14" ht="13.5" thickTop="1" x14ac:dyDescent="0.2">
      <c r="A158" s="32"/>
      <c r="B158" s="3">
        <v>90</v>
      </c>
      <c r="D158" s="7" t="s">
        <v>215</v>
      </c>
      <c r="E158" s="184">
        <v>95</v>
      </c>
      <c r="F158" s="184">
        <v>63</v>
      </c>
      <c r="G158" s="8">
        <f t="shared" si="8"/>
        <v>0</v>
      </c>
    </row>
    <row r="159" spans="1:14" x14ac:dyDescent="0.2">
      <c r="A159" s="32"/>
      <c r="B159" s="3">
        <v>91</v>
      </c>
      <c r="D159" s="7" t="s">
        <v>215</v>
      </c>
      <c r="E159" s="184">
        <v>96</v>
      </c>
      <c r="F159" s="184">
        <v>63</v>
      </c>
      <c r="G159" s="8">
        <f t="shared" si="8"/>
        <v>0</v>
      </c>
    </row>
    <row r="160" spans="1:14" x14ac:dyDescent="0.2">
      <c r="A160" s="32"/>
      <c r="B160" s="3">
        <v>92</v>
      </c>
      <c r="D160" s="7" t="s">
        <v>215</v>
      </c>
      <c r="E160" s="184">
        <v>97</v>
      </c>
      <c r="F160" s="184">
        <v>63</v>
      </c>
      <c r="G160" s="8">
        <f t="shared" si="8"/>
        <v>0</v>
      </c>
    </row>
    <row r="161" spans="1:7" x14ac:dyDescent="0.2">
      <c r="A161" s="32"/>
      <c r="B161" s="3">
        <v>93</v>
      </c>
      <c r="D161" s="7" t="s">
        <v>215</v>
      </c>
      <c r="E161" s="184">
        <v>98</v>
      </c>
      <c r="F161" s="184">
        <v>63</v>
      </c>
      <c r="G161" s="8">
        <f t="shared" si="8"/>
        <v>0</v>
      </c>
    </row>
    <row r="162" spans="1:7" x14ac:dyDescent="0.2">
      <c r="A162" s="32"/>
      <c r="B162" s="3">
        <v>94</v>
      </c>
      <c r="D162" s="7" t="s">
        <v>215</v>
      </c>
      <c r="E162" s="184">
        <v>99</v>
      </c>
      <c r="F162" s="184">
        <v>63</v>
      </c>
      <c r="G162" s="8">
        <f t="shared" si="8"/>
        <v>0</v>
      </c>
    </row>
    <row r="163" spans="1:7" x14ac:dyDescent="0.2">
      <c r="A163" s="32"/>
      <c r="B163" s="3">
        <v>95</v>
      </c>
      <c r="D163" s="7" t="s">
        <v>215</v>
      </c>
      <c r="E163" s="184">
        <v>100</v>
      </c>
      <c r="F163" s="184">
        <v>63</v>
      </c>
      <c r="G163" s="8">
        <f t="shared" si="8"/>
        <v>0</v>
      </c>
    </row>
    <row r="164" spans="1:7" x14ac:dyDescent="0.2">
      <c r="A164" s="32"/>
      <c r="B164" s="3">
        <v>96</v>
      </c>
      <c r="D164" s="7" t="s">
        <v>215</v>
      </c>
      <c r="E164" s="184">
        <v>101</v>
      </c>
      <c r="F164" s="184">
        <v>63</v>
      </c>
      <c r="G164" s="8">
        <f t="shared" si="8"/>
        <v>0</v>
      </c>
    </row>
    <row r="165" spans="1:7" x14ac:dyDescent="0.2">
      <c r="A165" s="32"/>
      <c r="B165" s="3">
        <v>97</v>
      </c>
      <c r="D165" s="7" t="s">
        <v>215</v>
      </c>
      <c r="E165" s="184">
        <v>102</v>
      </c>
      <c r="F165" s="184">
        <v>63</v>
      </c>
      <c r="G165" s="8">
        <f t="shared" si="8"/>
        <v>0</v>
      </c>
    </row>
    <row r="166" spans="1:7" x14ac:dyDescent="0.2">
      <c r="A166" s="32"/>
      <c r="B166" s="3">
        <v>98</v>
      </c>
      <c r="D166" s="7" t="s">
        <v>215</v>
      </c>
      <c r="E166" s="184">
        <v>103</v>
      </c>
      <c r="F166" s="184">
        <v>63</v>
      </c>
      <c r="G166" s="8">
        <f t="shared" si="8"/>
        <v>0</v>
      </c>
    </row>
    <row r="167" spans="1:7" x14ac:dyDescent="0.2">
      <c r="A167" s="32"/>
      <c r="B167" s="3">
        <v>99</v>
      </c>
      <c r="D167" s="7" t="s">
        <v>215</v>
      </c>
      <c r="E167" s="184">
        <v>104</v>
      </c>
      <c r="F167" s="184">
        <v>63</v>
      </c>
      <c r="G167" s="8">
        <f t="shared" si="8"/>
        <v>0</v>
      </c>
    </row>
    <row r="168" spans="1:7" x14ac:dyDescent="0.2">
      <c r="A168" s="32"/>
      <c r="B168" s="3">
        <v>100</v>
      </c>
      <c r="D168" s="7" t="s">
        <v>215</v>
      </c>
      <c r="E168" s="184">
        <v>105</v>
      </c>
      <c r="F168" s="184">
        <v>63</v>
      </c>
      <c r="G168" s="8">
        <f t="shared" si="8"/>
        <v>0</v>
      </c>
    </row>
    <row r="169" spans="1:7" x14ac:dyDescent="0.2">
      <c r="A169" s="32"/>
      <c r="B169" s="3">
        <v>101</v>
      </c>
      <c r="D169" s="7" t="s">
        <v>215</v>
      </c>
      <c r="E169" s="184">
        <v>106</v>
      </c>
      <c r="F169" s="184">
        <v>63</v>
      </c>
      <c r="G169" s="8">
        <f t="shared" si="8"/>
        <v>0</v>
      </c>
    </row>
    <row r="170" spans="1:7" x14ac:dyDescent="0.2">
      <c r="A170" s="32"/>
      <c r="B170" s="3">
        <v>102</v>
      </c>
      <c r="D170" s="7" t="s">
        <v>215</v>
      </c>
      <c r="E170" s="184">
        <v>107</v>
      </c>
      <c r="F170" s="184">
        <v>63</v>
      </c>
      <c r="G170" s="8">
        <f t="shared" si="8"/>
        <v>0</v>
      </c>
    </row>
    <row r="171" spans="1:7" x14ac:dyDescent="0.2">
      <c r="A171" s="32"/>
      <c r="B171" s="3">
        <v>103</v>
      </c>
      <c r="D171" s="7" t="s">
        <v>215</v>
      </c>
      <c r="E171" s="184">
        <v>108</v>
      </c>
      <c r="F171" s="184">
        <v>63</v>
      </c>
      <c r="G171" s="8">
        <f t="shared" si="8"/>
        <v>0</v>
      </c>
    </row>
    <row r="172" spans="1:7" x14ac:dyDescent="0.2">
      <c r="A172" s="32"/>
      <c r="B172" s="3">
        <v>104</v>
      </c>
      <c r="D172" s="7" t="s">
        <v>215</v>
      </c>
      <c r="E172" s="184">
        <v>109</v>
      </c>
      <c r="F172" s="184">
        <v>63</v>
      </c>
      <c r="G172" s="8">
        <f t="shared" si="8"/>
        <v>0</v>
      </c>
    </row>
    <row r="173" spans="1:7" x14ac:dyDescent="0.2">
      <c r="A173" s="32"/>
      <c r="B173" s="3">
        <v>105</v>
      </c>
      <c r="D173" s="7" t="s">
        <v>469</v>
      </c>
      <c r="E173" s="184">
        <v>1</v>
      </c>
      <c r="F173" s="184">
        <v>24</v>
      </c>
      <c r="G173" s="8">
        <f t="shared" si="8"/>
        <v>0</v>
      </c>
    </row>
    <row r="174" spans="1:7" x14ac:dyDescent="0.2">
      <c r="A174" s="32"/>
      <c r="B174" s="3">
        <v>106</v>
      </c>
      <c r="D174" s="7" t="s">
        <v>469</v>
      </c>
      <c r="E174" s="184">
        <v>2</v>
      </c>
      <c r="F174" s="184">
        <v>24</v>
      </c>
      <c r="G174" s="8">
        <f t="shared" si="8"/>
        <v>0</v>
      </c>
    </row>
    <row r="175" spans="1:7" x14ac:dyDescent="0.2">
      <c r="A175" s="32"/>
      <c r="B175" s="3">
        <v>107</v>
      </c>
      <c r="D175" s="7" t="s">
        <v>469</v>
      </c>
      <c r="E175" s="184">
        <v>3</v>
      </c>
      <c r="F175" s="184">
        <v>24</v>
      </c>
      <c r="G175" s="8">
        <f t="shared" si="8"/>
        <v>0</v>
      </c>
    </row>
    <row r="176" spans="1:7" x14ac:dyDescent="0.2">
      <c r="A176" s="32"/>
      <c r="B176" s="3">
        <v>108</v>
      </c>
      <c r="D176" s="7" t="s">
        <v>469</v>
      </c>
      <c r="E176" s="184">
        <v>4</v>
      </c>
      <c r="F176" s="184">
        <v>24</v>
      </c>
      <c r="G176" s="8">
        <f t="shared" si="8"/>
        <v>0</v>
      </c>
    </row>
    <row r="177" spans="1:7" x14ac:dyDescent="0.2">
      <c r="A177" s="32"/>
      <c r="B177" s="3">
        <v>109</v>
      </c>
      <c r="D177" s="7" t="s">
        <v>469</v>
      </c>
      <c r="E177" s="184">
        <v>5</v>
      </c>
      <c r="F177" s="184">
        <v>24</v>
      </c>
      <c r="G177" s="8">
        <f t="shared" si="8"/>
        <v>0</v>
      </c>
    </row>
    <row r="178" spans="1:7" x14ac:dyDescent="0.2">
      <c r="A178" s="32"/>
      <c r="B178" s="3">
        <v>110</v>
      </c>
      <c r="D178" s="7" t="s">
        <v>469</v>
      </c>
      <c r="E178" s="184">
        <v>6</v>
      </c>
      <c r="F178" s="184">
        <v>24</v>
      </c>
      <c r="G178" s="8">
        <f t="shared" si="8"/>
        <v>0</v>
      </c>
    </row>
    <row r="179" spans="1:7" x14ac:dyDescent="0.2">
      <c r="A179" s="32"/>
      <c r="B179" s="3">
        <v>111</v>
      </c>
      <c r="D179" s="7" t="s">
        <v>469</v>
      </c>
      <c r="E179" s="184">
        <v>7</v>
      </c>
      <c r="F179" s="184">
        <v>24</v>
      </c>
      <c r="G179" s="8">
        <f t="shared" si="8"/>
        <v>0</v>
      </c>
    </row>
    <row r="180" spans="1:7" x14ac:dyDescent="0.2">
      <c r="A180" s="32"/>
      <c r="B180" s="3">
        <v>112</v>
      </c>
      <c r="D180" s="7" t="s">
        <v>469</v>
      </c>
      <c r="E180" s="184">
        <v>8</v>
      </c>
      <c r="F180" s="184">
        <v>24</v>
      </c>
      <c r="G180" s="8">
        <f t="shared" si="8"/>
        <v>0</v>
      </c>
    </row>
    <row r="181" spans="1:7" x14ac:dyDescent="0.2">
      <c r="A181" s="32"/>
      <c r="B181" s="3">
        <v>113</v>
      </c>
      <c r="D181" s="7" t="s">
        <v>469</v>
      </c>
      <c r="E181" s="184">
        <v>9</v>
      </c>
      <c r="F181" s="184">
        <v>24</v>
      </c>
      <c r="G181" s="8">
        <f t="shared" si="8"/>
        <v>0</v>
      </c>
    </row>
    <row r="182" spans="1:7" x14ac:dyDescent="0.2">
      <c r="A182" s="32"/>
      <c r="B182" s="3">
        <v>114</v>
      </c>
      <c r="D182" s="7" t="s">
        <v>469</v>
      </c>
      <c r="E182" s="184">
        <v>10</v>
      </c>
      <c r="F182" s="184">
        <v>24</v>
      </c>
      <c r="G182" s="8">
        <f t="shared" si="8"/>
        <v>0</v>
      </c>
    </row>
    <row r="183" spans="1:7" x14ac:dyDescent="0.2">
      <c r="A183" s="32"/>
      <c r="B183" s="3">
        <v>115</v>
      </c>
      <c r="D183" s="7" t="s">
        <v>469</v>
      </c>
      <c r="E183" s="184">
        <v>11</v>
      </c>
      <c r="F183" s="184">
        <v>24</v>
      </c>
      <c r="G183" s="8">
        <f t="shared" si="8"/>
        <v>0</v>
      </c>
    </row>
    <row r="184" spans="1:7" x14ac:dyDescent="0.2">
      <c r="A184" s="32"/>
      <c r="B184" s="3">
        <v>116</v>
      </c>
      <c r="D184" s="7" t="s">
        <v>469</v>
      </c>
      <c r="E184" s="184">
        <v>12</v>
      </c>
      <c r="F184" s="184">
        <v>24</v>
      </c>
      <c r="G184" s="8">
        <f t="shared" si="8"/>
        <v>0</v>
      </c>
    </row>
    <row r="185" spans="1:7" x14ac:dyDescent="0.2">
      <c r="A185" s="32"/>
      <c r="B185" s="3">
        <v>117</v>
      </c>
      <c r="D185" s="7" t="s">
        <v>469</v>
      </c>
      <c r="E185" s="184">
        <v>13</v>
      </c>
      <c r="F185" s="184">
        <v>24</v>
      </c>
      <c r="G185" s="8">
        <f t="shared" si="8"/>
        <v>0</v>
      </c>
    </row>
    <row r="186" spans="1:7" x14ac:dyDescent="0.2">
      <c r="A186" s="32"/>
      <c r="B186" s="3">
        <v>118</v>
      </c>
      <c r="D186" s="7" t="s">
        <v>469</v>
      </c>
      <c r="E186" s="184">
        <v>14</v>
      </c>
      <c r="F186" s="184">
        <v>24</v>
      </c>
      <c r="G186" s="8">
        <f t="shared" si="8"/>
        <v>0</v>
      </c>
    </row>
    <row r="187" spans="1:7" x14ac:dyDescent="0.2">
      <c r="A187" s="32"/>
      <c r="B187" s="3">
        <v>119</v>
      </c>
      <c r="D187" s="7" t="s">
        <v>469</v>
      </c>
      <c r="E187" s="184">
        <v>15</v>
      </c>
      <c r="F187" s="184">
        <v>24</v>
      </c>
      <c r="G187" s="8">
        <f t="shared" si="8"/>
        <v>0</v>
      </c>
    </row>
    <row r="188" spans="1:7" x14ac:dyDescent="0.2">
      <c r="A188" s="32"/>
      <c r="B188" s="3">
        <v>120</v>
      </c>
      <c r="D188" s="7" t="s">
        <v>469</v>
      </c>
      <c r="E188" s="184">
        <v>16</v>
      </c>
      <c r="F188" s="184">
        <v>24</v>
      </c>
      <c r="G188" s="8">
        <f t="shared" si="8"/>
        <v>0</v>
      </c>
    </row>
    <row r="189" spans="1:7" x14ac:dyDescent="0.2">
      <c r="A189" s="32"/>
      <c r="B189" s="3">
        <v>121</v>
      </c>
      <c r="D189" s="7" t="s">
        <v>469</v>
      </c>
      <c r="E189" s="184">
        <v>17</v>
      </c>
      <c r="F189" s="184">
        <v>24</v>
      </c>
      <c r="G189" s="8">
        <f t="shared" si="8"/>
        <v>0</v>
      </c>
    </row>
    <row r="190" spans="1:7" x14ac:dyDescent="0.2">
      <c r="A190" s="32"/>
      <c r="B190" s="3">
        <v>122</v>
      </c>
      <c r="D190" s="7" t="s">
        <v>469</v>
      </c>
      <c r="E190" s="184">
        <v>18</v>
      </c>
      <c r="F190" s="184">
        <v>24</v>
      </c>
      <c r="G190" s="8">
        <f t="shared" si="8"/>
        <v>0</v>
      </c>
    </row>
    <row r="191" spans="1:7" x14ac:dyDescent="0.2">
      <c r="A191" s="32"/>
      <c r="B191" s="3">
        <v>123</v>
      </c>
      <c r="D191" s="7" t="s">
        <v>469</v>
      </c>
      <c r="E191" s="184">
        <v>19</v>
      </c>
      <c r="F191" s="184">
        <v>24</v>
      </c>
      <c r="G191" s="8">
        <f t="shared" si="8"/>
        <v>0</v>
      </c>
    </row>
    <row r="192" spans="1:7" x14ac:dyDescent="0.2">
      <c r="A192" s="32"/>
      <c r="B192" s="3">
        <v>124</v>
      </c>
      <c r="D192" s="7" t="s">
        <v>469</v>
      </c>
      <c r="E192" s="184">
        <v>20</v>
      </c>
      <c r="F192" s="184">
        <v>24</v>
      </c>
      <c r="G192" s="8">
        <f t="shared" ref="G192:G255" si="10">IF(AND(F192=$A$66,E192=$A$67),1,0)</f>
        <v>0</v>
      </c>
    </row>
    <row r="193" spans="1:7" x14ac:dyDescent="0.2">
      <c r="A193" s="32"/>
      <c r="B193" s="3">
        <v>125</v>
      </c>
      <c r="D193" s="7" t="s">
        <v>469</v>
      </c>
      <c r="E193" s="184">
        <v>21</v>
      </c>
      <c r="F193" s="184">
        <v>24</v>
      </c>
      <c r="G193" s="8">
        <f t="shared" si="10"/>
        <v>0</v>
      </c>
    </row>
    <row r="194" spans="1:7" x14ac:dyDescent="0.2">
      <c r="A194" s="32"/>
      <c r="B194" s="3">
        <v>126</v>
      </c>
      <c r="D194" s="7" t="s">
        <v>469</v>
      </c>
      <c r="E194" s="184">
        <v>22</v>
      </c>
      <c r="F194" s="184">
        <v>24</v>
      </c>
      <c r="G194" s="8">
        <f t="shared" si="10"/>
        <v>0</v>
      </c>
    </row>
    <row r="195" spans="1:7" x14ac:dyDescent="0.2">
      <c r="A195" s="32"/>
      <c r="B195" s="3">
        <v>127</v>
      </c>
      <c r="D195" s="7" t="s">
        <v>469</v>
      </c>
      <c r="E195" s="184">
        <v>23</v>
      </c>
      <c r="F195" s="184">
        <v>24</v>
      </c>
      <c r="G195" s="8">
        <f t="shared" si="10"/>
        <v>0</v>
      </c>
    </row>
    <row r="196" spans="1:7" x14ac:dyDescent="0.2">
      <c r="A196" s="32"/>
      <c r="B196" s="3">
        <v>128</v>
      </c>
      <c r="D196" s="7" t="s">
        <v>469</v>
      </c>
      <c r="E196" s="184">
        <v>24</v>
      </c>
      <c r="F196" s="184">
        <v>24</v>
      </c>
      <c r="G196" s="8">
        <f t="shared" si="10"/>
        <v>0</v>
      </c>
    </row>
    <row r="197" spans="1:7" x14ac:dyDescent="0.2">
      <c r="A197" s="32"/>
      <c r="B197" s="3">
        <v>129</v>
      </c>
      <c r="D197" s="7" t="s">
        <v>469</v>
      </c>
      <c r="E197" s="184">
        <v>25</v>
      </c>
      <c r="F197" s="184">
        <v>24</v>
      </c>
      <c r="G197" s="8">
        <f t="shared" si="10"/>
        <v>0</v>
      </c>
    </row>
    <row r="198" spans="1:7" x14ac:dyDescent="0.2">
      <c r="A198" s="32"/>
      <c r="B198" s="3">
        <v>130</v>
      </c>
      <c r="D198" s="7" t="s">
        <v>469</v>
      </c>
      <c r="E198" s="184">
        <v>26</v>
      </c>
      <c r="F198" s="184">
        <v>24</v>
      </c>
      <c r="G198" s="8">
        <f t="shared" si="10"/>
        <v>0</v>
      </c>
    </row>
    <row r="199" spans="1:7" x14ac:dyDescent="0.2">
      <c r="A199" s="32"/>
      <c r="B199" s="3">
        <v>131</v>
      </c>
      <c r="D199" s="7" t="s">
        <v>469</v>
      </c>
      <c r="E199" s="184">
        <v>27</v>
      </c>
      <c r="F199" s="184">
        <v>24</v>
      </c>
      <c r="G199" s="8">
        <f t="shared" si="10"/>
        <v>0</v>
      </c>
    </row>
    <row r="200" spans="1:7" x14ac:dyDescent="0.2">
      <c r="A200" s="32"/>
      <c r="B200" s="3">
        <v>132</v>
      </c>
      <c r="D200" s="7" t="s">
        <v>469</v>
      </c>
      <c r="E200" s="184">
        <v>28</v>
      </c>
      <c r="F200" s="184">
        <v>24</v>
      </c>
      <c r="G200" s="8">
        <f t="shared" si="10"/>
        <v>0</v>
      </c>
    </row>
    <row r="201" spans="1:7" x14ac:dyDescent="0.2">
      <c r="A201" s="32"/>
      <c r="B201" s="3">
        <v>133</v>
      </c>
      <c r="D201" s="7" t="s">
        <v>469</v>
      </c>
      <c r="E201" s="184">
        <v>29</v>
      </c>
      <c r="F201" s="184">
        <v>24</v>
      </c>
      <c r="G201" s="8">
        <f t="shared" si="10"/>
        <v>0</v>
      </c>
    </row>
    <row r="202" spans="1:7" x14ac:dyDescent="0.2">
      <c r="A202" s="32"/>
      <c r="B202" s="3">
        <v>134</v>
      </c>
      <c r="D202" s="7" t="s">
        <v>469</v>
      </c>
      <c r="E202" s="184">
        <v>30</v>
      </c>
      <c r="F202" s="184">
        <v>24</v>
      </c>
      <c r="G202" s="8">
        <f t="shared" si="10"/>
        <v>0</v>
      </c>
    </row>
    <row r="203" spans="1:7" x14ac:dyDescent="0.2">
      <c r="A203" s="32"/>
      <c r="B203" s="3">
        <v>135</v>
      </c>
      <c r="D203" s="7" t="s">
        <v>469</v>
      </c>
      <c r="E203" s="184">
        <v>31</v>
      </c>
      <c r="F203" s="184">
        <v>24</v>
      </c>
      <c r="G203" s="8">
        <f t="shared" si="10"/>
        <v>0</v>
      </c>
    </row>
    <row r="204" spans="1:7" x14ac:dyDescent="0.2">
      <c r="A204" s="32"/>
      <c r="B204" s="3">
        <v>136</v>
      </c>
      <c r="D204" s="7" t="s">
        <v>469</v>
      </c>
      <c r="E204" s="184">
        <v>32</v>
      </c>
      <c r="F204" s="184">
        <v>24</v>
      </c>
      <c r="G204" s="8">
        <f t="shared" si="10"/>
        <v>0</v>
      </c>
    </row>
    <row r="205" spans="1:7" x14ac:dyDescent="0.2">
      <c r="A205" s="32"/>
      <c r="B205" s="3">
        <v>137</v>
      </c>
      <c r="D205" s="7" t="s">
        <v>469</v>
      </c>
      <c r="E205" s="184">
        <v>33</v>
      </c>
      <c r="F205" s="184">
        <v>24</v>
      </c>
      <c r="G205" s="8">
        <f t="shared" si="10"/>
        <v>0</v>
      </c>
    </row>
    <row r="206" spans="1:7" x14ac:dyDescent="0.2">
      <c r="A206" s="32"/>
      <c r="B206" s="3">
        <v>138</v>
      </c>
      <c r="D206" s="7" t="s">
        <v>469</v>
      </c>
      <c r="E206" s="184">
        <v>34</v>
      </c>
      <c r="F206" s="184">
        <v>24</v>
      </c>
      <c r="G206" s="8">
        <f t="shared" si="10"/>
        <v>0</v>
      </c>
    </row>
    <row r="207" spans="1:7" x14ac:dyDescent="0.2">
      <c r="A207" s="32"/>
      <c r="B207" s="3">
        <v>139</v>
      </c>
      <c r="D207" s="7" t="s">
        <v>469</v>
      </c>
      <c r="E207" s="184">
        <v>35</v>
      </c>
      <c r="F207" s="184">
        <v>24</v>
      </c>
      <c r="G207" s="8">
        <f t="shared" si="10"/>
        <v>0</v>
      </c>
    </row>
    <row r="208" spans="1:7" x14ac:dyDescent="0.2">
      <c r="A208" s="32"/>
      <c r="B208" s="3">
        <v>140</v>
      </c>
      <c r="D208" s="7" t="s">
        <v>469</v>
      </c>
      <c r="E208" s="184">
        <v>36</v>
      </c>
      <c r="F208" s="184">
        <v>24</v>
      </c>
      <c r="G208" s="8">
        <f t="shared" si="10"/>
        <v>0</v>
      </c>
    </row>
    <row r="209" spans="1:7" x14ac:dyDescent="0.2">
      <c r="A209" s="32"/>
      <c r="B209" s="3">
        <v>141</v>
      </c>
      <c r="D209" s="7" t="s">
        <v>469</v>
      </c>
      <c r="E209" s="184">
        <v>37</v>
      </c>
      <c r="F209" s="184">
        <v>24</v>
      </c>
      <c r="G209" s="8">
        <f t="shared" si="10"/>
        <v>0</v>
      </c>
    </row>
    <row r="210" spans="1:7" x14ac:dyDescent="0.2">
      <c r="A210" s="32"/>
      <c r="B210" s="3">
        <v>142</v>
      </c>
      <c r="D210" s="7" t="s">
        <v>469</v>
      </c>
      <c r="E210" s="184">
        <v>38</v>
      </c>
      <c r="F210" s="184">
        <v>24</v>
      </c>
      <c r="G210" s="8">
        <f t="shared" si="10"/>
        <v>0</v>
      </c>
    </row>
    <row r="211" spans="1:7" x14ac:dyDescent="0.2">
      <c r="A211" s="32"/>
      <c r="B211" s="3">
        <v>143</v>
      </c>
      <c r="D211" s="7" t="s">
        <v>469</v>
      </c>
      <c r="E211" s="184">
        <v>39</v>
      </c>
      <c r="F211" s="184">
        <v>24</v>
      </c>
      <c r="G211" s="8">
        <f t="shared" si="10"/>
        <v>0</v>
      </c>
    </row>
    <row r="212" spans="1:7" x14ac:dyDescent="0.2">
      <c r="A212" s="32"/>
      <c r="B212" s="3">
        <v>144</v>
      </c>
      <c r="D212" s="7" t="s">
        <v>469</v>
      </c>
      <c r="E212" s="184">
        <v>40</v>
      </c>
      <c r="F212" s="184">
        <v>24</v>
      </c>
      <c r="G212" s="8">
        <f t="shared" si="10"/>
        <v>0</v>
      </c>
    </row>
    <row r="213" spans="1:7" x14ac:dyDescent="0.2">
      <c r="A213" s="32"/>
      <c r="B213" s="3">
        <v>145</v>
      </c>
      <c r="D213" s="7" t="s">
        <v>469</v>
      </c>
      <c r="E213" s="184">
        <v>41</v>
      </c>
      <c r="F213" s="184">
        <v>24</v>
      </c>
      <c r="G213" s="8">
        <f t="shared" si="10"/>
        <v>0</v>
      </c>
    </row>
    <row r="214" spans="1:7" x14ac:dyDescent="0.2">
      <c r="A214" s="32"/>
      <c r="B214" s="3">
        <v>146</v>
      </c>
      <c r="D214" s="7" t="s">
        <v>469</v>
      </c>
      <c r="E214" s="184">
        <v>42</v>
      </c>
      <c r="F214" s="184">
        <v>24</v>
      </c>
      <c r="G214" s="8">
        <f t="shared" si="10"/>
        <v>0</v>
      </c>
    </row>
    <row r="215" spans="1:7" x14ac:dyDescent="0.2">
      <c r="A215" s="32"/>
      <c r="B215" s="3">
        <v>147</v>
      </c>
      <c r="D215" s="7" t="s">
        <v>469</v>
      </c>
      <c r="E215" s="184">
        <v>43</v>
      </c>
      <c r="F215" s="184">
        <v>24</v>
      </c>
      <c r="G215" s="8">
        <f t="shared" si="10"/>
        <v>0</v>
      </c>
    </row>
    <row r="216" spans="1:7" x14ac:dyDescent="0.2">
      <c r="A216" s="32"/>
      <c r="B216" s="3">
        <v>148</v>
      </c>
      <c r="D216" s="7" t="s">
        <v>469</v>
      </c>
      <c r="E216" s="184">
        <v>44</v>
      </c>
      <c r="F216" s="184">
        <v>24</v>
      </c>
      <c r="G216" s="8">
        <f t="shared" si="10"/>
        <v>0</v>
      </c>
    </row>
    <row r="217" spans="1:7" x14ac:dyDescent="0.2">
      <c r="A217" s="32"/>
      <c r="B217" s="3">
        <v>149</v>
      </c>
      <c r="D217" s="7" t="s">
        <v>469</v>
      </c>
      <c r="E217" s="184">
        <v>45</v>
      </c>
      <c r="F217" s="184">
        <v>24</v>
      </c>
      <c r="G217" s="8">
        <f t="shared" si="10"/>
        <v>0</v>
      </c>
    </row>
    <row r="218" spans="1:7" x14ac:dyDescent="0.2">
      <c r="A218" s="32"/>
      <c r="B218" s="3">
        <v>150</v>
      </c>
      <c r="D218" s="7" t="s">
        <v>469</v>
      </c>
      <c r="E218" s="184">
        <v>46</v>
      </c>
      <c r="F218" s="184">
        <v>24</v>
      </c>
      <c r="G218" s="8">
        <f t="shared" si="10"/>
        <v>0</v>
      </c>
    </row>
    <row r="219" spans="1:7" x14ac:dyDescent="0.2">
      <c r="A219" s="32"/>
      <c r="B219" s="3">
        <v>151</v>
      </c>
      <c r="D219" s="7" t="s">
        <v>469</v>
      </c>
      <c r="E219" s="184">
        <v>47</v>
      </c>
      <c r="F219" s="184">
        <v>24</v>
      </c>
      <c r="G219" s="8">
        <f t="shared" si="10"/>
        <v>0</v>
      </c>
    </row>
    <row r="220" spans="1:7" x14ac:dyDescent="0.2">
      <c r="A220" s="32"/>
      <c r="B220" s="3">
        <v>152</v>
      </c>
      <c r="D220" s="7" t="s">
        <v>469</v>
      </c>
      <c r="E220" s="184">
        <v>48</v>
      </c>
      <c r="F220" s="184">
        <v>24</v>
      </c>
      <c r="G220" s="8">
        <f t="shared" si="10"/>
        <v>0</v>
      </c>
    </row>
    <row r="221" spans="1:7" x14ac:dyDescent="0.2">
      <c r="A221" s="32"/>
      <c r="B221" s="3">
        <v>153</v>
      </c>
      <c r="D221" s="7" t="s">
        <v>469</v>
      </c>
      <c r="E221" s="184">
        <v>49</v>
      </c>
      <c r="F221" s="184">
        <v>24</v>
      </c>
      <c r="G221" s="8">
        <f t="shared" si="10"/>
        <v>0</v>
      </c>
    </row>
    <row r="222" spans="1:7" x14ac:dyDescent="0.2">
      <c r="A222" s="32"/>
      <c r="B222" s="3">
        <v>154</v>
      </c>
      <c r="D222" s="7" t="s">
        <v>469</v>
      </c>
      <c r="E222" s="184">
        <v>50</v>
      </c>
      <c r="F222" s="184">
        <v>24</v>
      </c>
      <c r="G222" s="8">
        <f t="shared" si="10"/>
        <v>0</v>
      </c>
    </row>
    <row r="223" spans="1:7" x14ac:dyDescent="0.2">
      <c r="A223" s="32"/>
      <c r="B223" s="3">
        <v>155</v>
      </c>
      <c r="D223" s="7" t="s">
        <v>469</v>
      </c>
      <c r="E223" s="184">
        <v>51</v>
      </c>
      <c r="F223" s="184">
        <v>24</v>
      </c>
      <c r="G223" s="8">
        <f t="shared" si="10"/>
        <v>0</v>
      </c>
    </row>
    <row r="224" spans="1:7" x14ac:dyDescent="0.2">
      <c r="A224" s="32"/>
      <c r="B224" s="3">
        <v>156</v>
      </c>
      <c r="D224" s="7" t="s">
        <v>469</v>
      </c>
      <c r="E224" s="184">
        <v>52</v>
      </c>
      <c r="F224" s="184">
        <v>24</v>
      </c>
      <c r="G224" s="8">
        <f t="shared" si="10"/>
        <v>0</v>
      </c>
    </row>
    <row r="225" spans="1:7" x14ac:dyDescent="0.2">
      <c r="A225" s="32"/>
      <c r="B225" s="3">
        <v>157</v>
      </c>
      <c r="D225" s="7" t="s">
        <v>469</v>
      </c>
      <c r="E225" s="184">
        <v>53</v>
      </c>
      <c r="F225" s="184">
        <v>24</v>
      </c>
      <c r="G225" s="8">
        <f t="shared" si="10"/>
        <v>0</v>
      </c>
    </row>
    <row r="226" spans="1:7" x14ac:dyDescent="0.2">
      <c r="A226" s="32"/>
      <c r="B226" s="3">
        <v>158</v>
      </c>
      <c r="D226" s="7" t="s">
        <v>469</v>
      </c>
      <c r="E226" s="184">
        <v>54</v>
      </c>
      <c r="F226" s="184">
        <v>24</v>
      </c>
      <c r="G226" s="8">
        <f t="shared" si="10"/>
        <v>0</v>
      </c>
    </row>
    <row r="227" spans="1:7" x14ac:dyDescent="0.2">
      <c r="A227" s="32"/>
      <c r="B227" s="3">
        <v>159</v>
      </c>
      <c r="D227" s="7" t="s">
        <v>469</v>
      </c>
      <c r="E227" s="184">
        <v>55</v>
      </c>
      <c r="F227" s="184">
        <v>24</v>
      </c>
      <c r="G227" s="8">
        <f t="shared" si="10"/>
        <v>0</v>
      </c>
    </row>
    <row r="228" spans="1:7" x14ac:dyDescent="0.2">
      <c r="A228" s="32"/>
      <c r="B228" s="3">
        <v>160</v>
      </c>
      <c r="D228" s="7" t="s">
        <v>469</v>
      </c>
      <c r="E228" s="184">
        <v>56</v>
      </c>
      <c r="F228" s="184">
        <v>24</v>
      </c>
      <c r="G228" s="8">
        <f t="shared" si="10"/>
        <v>0</v>
      </c>
    </row>
    <row r="229" spans="1:7" x14ac:dyDescent="0.2">
      <c r="A229" s="32"/>
      <c r="B229" s="3">
        <v>161</v>
      </c>
      <c r="D229" s="7" t="s">
        <v>469</v>
      </c>
      <c r="E229" s="184">
        <v>57</v>
      </c>
      <c r="F229" s="184">
        <v>24</v>
      </c>
      <c r="G229" s="8">
        <f t="shared" si="10"/>
        <v>0</v>
      </c>
    </row>
    <row r="230" spans="1:7" x14ac:dyDescent="0.2">
      <c r="A230" s="32"/>
      <c r="B230" s="3">
        <v>162</v>
      </c>
      <c r="D230" s="7" t="s">
        <v>469</v>
      </c>
      <c r="E230" s="184">
        <v>58</v>
      </c>
      <c r="F230" s="184">
        <v>24</v>
      </c>
      <c r="G230" s="8">
        <f t="shared" si="10"/>
        <v>0</v>
      </c>
    </row>
    <row r="231" spans="1:7" x14ac:dyDescent="0.2">
      <c r="A231" s="32"/>
      <c r="B231" s="3">
        <v>163</v>
      </c>
      <c r="D231" s="7" t="s">
        <v>469</v>
      </c>
      <c r="E231" s="184">
        <v>59</v>
      </c>
      <c r="F231" s="184">
        <v>24</v>
      </c>
      <c r="G231" s="8">
        <f t="shared" si="10"/>
        <v>0</v>
      </c>
    </row>
    <row r="232" spans="1:7" x14ac:dyDescent="0.2">
      <c r="A232" s="32"/>
      <c r="B232" s="3">
        <v>164</v>
      </c>
      <c r="D232" s="7" t="s">
        <v>470</v>
      </c>
      <c r="E232" s="184">
        <v>1</v>
      </c>
      <c r="F232" s="184">
        <v>5</v>
      </c>
      <c r="G232" s="8">
        <f t="shared" si="10"/>
        <v>0</v>
      </c>
    </row>
    <row r="233" spans="1:7" x14ac:dyDescent="0.2">
      <c r="A233" s="32"/>
      <c r="B233" s="3">
        <v>165</v>
      </c>
      <c r="D233" s="7" t="s">
        <v>470</v>
      </c>
      <c r="E233" s="184">
        <v>2</v>
      </c>
      <c r="F233" s="184">
        <v>5</v>
      </c>
      <c r="G233" s="8">
        <f t="shared" si="10"/>
        <v>0</v>
      </c>
    </row>
    <row r="234" spans="1:7" x14ac:dyDescent="0.2">
      <c r="A234" s="32"/>
      <c r="B234" s="3">
        <v>166</v>
      </c>
      <c r="D234" s="7" t="s">
        <v>470</v>
      </c>
      <c r="E234" s="184">
        <v>3</v>
      </c>
      <c r="F234" s="184">
        <v>5</v>
      </c>
      <c r="G234" s="8">
        <f t="shared" si="10"/>
        <v>0</v>
      </c>
    </row>
    <row r="235" spans="1:7" x14ac:dyDescent="0.2">
      <c r="A235" s="32"/>
      <c r="B235" s="3">
        <v>167</v>
      </c>
      <c r="D235" s="7" t="s">
        <v>470</v>
      </c>
      <c r="E235" s="184">
        <v>4</v>
      </c>
      <c r="F235" s="184">
        <v>5</v>
      </c>
      <c r="G235" s="8">
        <f t="shared" si="10"/>
        <v>0</v>
      </c>
    </row>
    <row r="236" spans="1:7" x14ac:dyDescent="0.2">
      <c r="A236" s="32"/>
      <c r="B236" s="3">
        <v>168</v>
      </c>
      <c r="D236" s="7" t="s">
        <v>470</v>
      </c>
      <c r="E236" s="184">
        <v>5</v>
      </c>
      <c r="F236" s="184">
        <v>5</v>
      </c>
      <c r="G236" s="8">
        <f t="shared" si="10"/>
        <v>0</v>
      </c>
    </row>
    <row r="237" spans="1:7" x14ac:dyDescent="0.2">
      <c r="A237" s="32"/>
      <c r="B237" s="3">
        <v>169</v>
      </c>
      <c r="D237" s="7" t="s">
        <v>470</v>
      </c>
      <c r="E237" s="184">
        <v>6</v>
      </c>
      <c r="F237" s="184">
        <v>5</v>
      </c>
      <c r="G237" s="8">
        <f t="shared" si="10"/>
        <v>0</v>
      </c>
    </row>
    <row r="238" spans="1:7" x14ac:dyDescent="0.2">
      <c r="A238" s="32"/>
      <c r="B238" s="3">
        <v>170</v>
      </c>
      <c r="D238" s="7" t="s">
        <v>470</v>
      </c>
      <c r="E238" s="184">
        <v>7</v>
      </c>
      <c r="F238" s="184">
        <v>5</v>
      </c>
      <c r="G238" s="8">
        <f t="shared" si="10"/>
        <v>0</v>
      </c>
    </row>
    <row r="239" spans="1:7" x14ac:dyDescent="0.2">
      <c r="A239" s="32"/>
      <c r="B239" s="3">
        <v>171</v>
      </c>
      <c r="D239" s="7" t="s">
        <v>470</v>
      </c>
      <c r="E239" s="184">
        <v>8</v>
      </c>
      <c r="F239" s="184">
        <v>5</v>
      </c>
      <c r="G239" s="8">
        <f t="shared" si="10"/>
        <v>0</v>
      </c>
    </row>
    <row r="240" spans="1:7" x14ac:dyDescent="0.2">
      <c r="A240" s="32"/>
      <c r="B240" s="3">
        <v>172</v>
      </c>
      <c r="D240" s="7" t="s">
        <v>470</v>
      </c>
      <c r="E240" s="184">
        <v>9</v>
      </c>
      <c r="F240" s="184">
        <v>5</v>
      </c>
      <c r="G240" s="8">
        <f t="shared" si="10"/>
        <v>0</v>
      </c>
    </row>
    <row r="241" spans="1:7" x14ac:dyDescent="0.2">
      <c r="A241" s="32"/>
      <c r="B241" s="3">
        <v>173</v>
      </c>
      <c r="D241" s="7" t="s">
        <v>470</v>
      </c>
      <c r="E241" s="184">
        <v>10</v>
      </c>
      <c r="F241" s="184">
        <v>5</v>
      </c>
      <c r="G241" s="8">
        <f t="shared" si="10"/>
        <v>0</v>
      </c>
    </row>
    <row r="242" spans="1:7" x14ac:dyDescent="0.2">
      <c r="A242" s="32"/>
      <c r="B242" s="3">
        <v>174</v>
      </c>
      <c r="D242" s="7" t="s">
        <v>470</v>
      </c>
      <c r="E242" s="184">
        <v>11</v>
      </c>
      <c r="F242" s="184">
        <v>5</v>
      </c>
      <c r="G242" s="8">
        <f t="shared" si="10"/>
        <v>0</v>
      </c>
    </row>
    <row r="243" spans="1:7" x14ac:dyDescent="0.2">
      <c r="A243" s="32"/>
      <c r="B243" s="3">
        <v>175</v>
      </c>
      <c r="D243" s="7" t="s">
        <v>470</v>
      </c>
      <c r="E243" s="184">
        <v>12</v>
      </c>
      <c r="F243" s="184">
        <v>5</v>
      </c>
      <c r="G243" s="8">
        <f t="shared" si="10"/>
        <v>0</v>
      </c>
    </row>
    <row r="244" spans="1:7" x14ac:dyDescent="0.2">
      <c r="A244" s="32"/>
      <c r="B244" s="3">
        <v>176</v>
      </c>
      <c r="D244" s="7" t="s">
        <v>470</v>
      </c>
      <c r="E244" s="184">
        <v>13</v>
      </c>
      <c r="F244" s="184">
        <v>5</v>
      </c>
      <c r="G244" s="8">
        <f t="shared" si="10"/>
        <v>0</v>
      </c>
    </row>
    <row r="245" spans="1:7" x14ac:dyDescent="0.2">
      <c r="A245" s="32"/>
      <c r="B245" s="3">
        <v>177</v>
      </c>
      <c r="D245" s="7" t="s">
        <v>470</v>
      </c>
      <c r="E245" s="184">
        <v>14</v>
      </c>
      <c r="F245" s="184">
        <v>5</v>
      </c>
      <c r="G245" s="8">
        <f t="shared" si="10"/>
        <v>0</v>
      </c>
    </row>
    <row r="246" spans="1:7" x14ac:dyDescent="0.2">
      <c r="A246" s="32"/>
      <c r="B246" s="3">
        <v>178</v>
      </c>
      <c r="D246" s="7" t="s">
        <v>470</v>
      </c>
      <c r="E246" s="184">
        <v>15</v>
      </c>
      <c r="F246" s="184">
        <v>5</v>
      </c>
      <c r="G246" s="8">
        <f t="shared" si="10"/>
        <v>0</v>
      </c>
    </row>
    <row r="247" spans="1:7" x14ac:dyDescent="0.2">
      <c r="A247" s="32"/>
      <c r="B247" s="3">
        <v>179</v>
      </c>
      <c r="D247" s="7" t="s">
        <v>470</v>
      </c>
      <c r="E247" s="184">
        <v>16</v>
      </c>
      <c r="F247" s="184">
        <v>5</v>
      </c>
      <c r="G247" s="8">
        <f t="shared" si="10"/>
        <v>0</v>
      </c>
    </row>
    <row r="248" spans="1:7" x14ac:dyDescent="0.2">
      <c r="A248" s="32"/>
      <c r="B248" s="3">
        <v>180</v>
      </c>
      <c r="D248" s="7" t="s">
        <v>470</v>
      </c>
      <c r="E248" s="184">
        <v>17</v>
      </c>
      <c r="F248" s="184">
        <v>5</v>
      </c>
      <c r="G248" s="8">
        <f t="shared" si="10"/>
        <v>0</v>
      </c>
    </row>
    <row r="249" spans="1:7" x14ac:dyDescent="0.2">
      <c r="A249" s="32"/>
      <c r="B249" s="3">
        <v>181</v>
      </c>
      <c r="D249" s="7" t="s">
        <v>470</v>
      </c>
      <c r="E249" s="184">
        <v>18</v>
      </c>
      <c r="F249" s="184">
        <v>5</v>
      </c>
      <c r="G249" s="8">
        <f t="shared" si="10"/>
        <v>0</v>
      </c>
    </row>
    <row r="250" spans="1:7" x14ac:dyDescent="0.2">
      <c r="A250" s="32"/>
      <c r="B250" s="3">
        <v>182</v>
      </c>
      <c r="D250" s="7" t="s">
        <v>470</v>
      </c>
      <c r="E250" s="184">
        <v>19</v>
      </c>
      <c r="F250" s="184">
        <v>5</v>
      </c>
      <c r="G250" s="8">
        <f t="shared" si="10"/>
        <v>0</v>
      </c>
    </row>
    <row r="251" spans="1:7" x14ac:dyDescent="0.2">
      <c r="A251" s="32"/>
      <c r="B251" s="3">
        <v>183</v>
      </c>
      <c r="D251" s="7" t="s">
        <v>470</v>
      </c>
      <c r="E251" s="184">
        <v>20</v>
      </c>
      <c r="F251" s="184">
        <v>5</v>
      </c>
      <c r="G251" s="8">
        <f t="shared" si="10"/>
        <v>0</v>
      </c>
    </row>
    <row r="252" spans="1:7" x14ac:dyDescent="0.2">
      <c r="A252" s="32"/>
      <c r="B252" s="3">
        <v>184</v>
      </c>
      <c r="D252" s="7" t="s">
        <v>470</v>
      </c>
      <c r="E252" s="184">
        <v>21</v>
      </c>
      <c r="F252" s="184">
        <v>5</v>
      </c>
      <c r="G252" s="8">
        <f t="shared" si="10"/>
        <v>0</v>
      </c>
    </row>
    <row r="253" spans="1:7" x14ac:dyDescent="0.2">
      <c r="A253" s="32"/>
      <c r="B253" s="3">
        <v>185</v>
      </c>
      <c r="D253" s="7" t="s">
        <v>470</v>
      </c>
      <c r="E253" s="184">
        <v>22</v>
      </c>
      <c r="F253" s="184">
        <v>5</v>
      </c>
      <c r="G253" s="8">
        <f t="shared" si="10"/>
        <v>0</v>
      </c>
    </row>
    <row r="254" spans="1:7" x14ac:dyDescent="0.2">
      <c r="A254" s="32"/>
      <c r="B254" s="3">
        <v>186</v>
      </c>
      <c r="D254" s="7" t="s">
        <v>470</v>
      </c>
      <c r="E254" s="184">
        <v>23</v>
      </c>
      <c r="F254" s="184">
        <v>5</v>
      </c>
      <c r="G254" s="8">
        <f t="shared" si="10"/>
        <v>0</v>
      </c>
    </row>
    <row r="255" spans="1:7" x14ac:dyDescent="0.2">
      <c r="A255" s="32"/>
      <c r="B255" s="3">
        <v>187</v>
      </c>
      <c r="D255" s="7" t="s">
        <v>470</v>
      </c>
      <c r="E255" s="184">
        <v>24</v>
      </c>
      <c r="F255" s="184">
        <v>5</v>
      </c>
      <c r="G255" s="8">
        <f t="shared" si="10"/>
        <v>0</v>
      </c>
    </row>
    <row r="256" spans="1:7" x14ac:dyDescent="0.2">
      <c r="A256" s="32"/>
      <c r="B256" s="3">
        <v>188</v>
      </c>
      <c r="D256" s="7" t="s">
        <v>470</v>
      </c>
      <c r="E256" s="184">
        <v>25</v>
      </c>
      <c r="F256" s="184">
        <v>5</v>
      </c>
      <c r="G256" s="8">
        <f t="shared" ref="G256:G319" si="11">IF(AND(F256=$A$66,E256=$A$67),1,0)</f>
        <v>0</v>
      </c>
    </row>
    <row r="257" spans="1:7" x14ac:dyDescent="0.2">
      <c r="A257" s="32"/>
      <c r="B257" s="3">
        <v>189</v>
      </c>
      <c r="D257" s="7" t="s">
        <v>470</v>
      </c>
      <c r="E257" s="184">
        <v>26</v>
      </c>
      <c r="F257" s="184">
        <v>5</v>
      </c>
      <c r="G257" s="8">
        <f t="shared" si="11"/>
        <v>0</v>
      </c>
    </row>
    <row r="258" spans="1:7" x14ac:dyDescent="0.2">
      <c r="A258" s="32"/>
      <c r="B258" s="3">
        <v>190</v>
      </c>
      <c r="D258" s="7" t="s">
        <v>470</v>
      </c>
      <c r="E258" s="184">
        <v>27</v>
      </c>
      <c r="F258" s="184">
        <v>5</v>
      </c>
      <c r="G258" s="8">
        <f t="shared" si="11"/>
        <v>0</v>
      </c>
    </row>
    <row r="259" spans="1:7" x14ac:dyDescent="0.2">
      <c r="A259" s="32"/>
      <c r="B259" s="3">
        <v>191</v>
      </c>
      <c r="D259" s="7" t="s">
        <v>470</v>
      </c>
      <c r="E259" s="184">
        <v>28</v>
      </c>
      <c r="F259" s="184">
        <v>5</v>
      </c>
      <c r="G259" s="8">
        <f t="shared" si="11"/>
        <v>0</v>
      </c>
    </row>
    <row r="260" spans="1:7" x14ac:dyDescent="0.2">
      <c r="A260" s="32"/>
      <c r="B260" s="3">
        <v>192</v>
      </c>
      <c r="D260" s="7" t="s">
        <v>470</v>
      </c>
      <c r="E260" s="184">
        <v>29</v>
      </c>
      <c r="F260" s="184">
        <v>5</v>
      </c>
      <c r="G260" s="8">
        <f t="shared" si="11"/>
        <v>0</v>
      </c>
    </row>
    <row r="261" spans="1:7" x14ac:dyDescent="0.2">
      <c r="A261" s="32"/>
      <c r="B261" s="3">
        <v>193</v>
      </c>
      <c r="D261" s="7" t="s">
        <v>470</v>
      </c>
      <c r="E261" s="184">
        <v>30</v>
      </c>
      <c r="F261" s="184">
        <v>5</v>
      </c>
      <c r="G261" s="8">
        <f t="shared" si="11"/>
        <v>0</v>
      </c>
    </row>
    <row r="262" spans="1:7" x14ac:dyDescent="0.2">
      <c r="A262" s="32"/>
      <c r="B262" s="3">
        <v>194</v>
      </c>
      <c r="D262" s="7" t="s">
        <v>470</v>
      </c>
      <c r="E262" s="184">
        <v>39</v>
      </c>
      <c r="F262" s="184">
        <v>5</v>
      </c>
      <c r="G262" s="8">
        <f t="shared" si="11"/>
        <v>0</v>
      </c>
    </row>
    <row r="263" spans="1:7" x14ac:dyDescent="0.2">
      <c r="A263" s="32"/>
      <c r="B263" s="3">
        <v>195</v>
      </c>
      <c r="D263" s="7" t="s">
        <v>470</v>
      </c>
      <c r="E263" s="184">
        <v>40</v>
      </c>
      <c r="F263" s="184">
        <v>5</v>
      </c>
      <c r="G263" s="8">
        <f t="shared" si="11"/>
        <v>0</v>
      </c>
    </row>
    <row r="264" spans="1:7" x14ac:dyDescent="0.2">
      <c r="A264" s="32"/>
      <c r="B264" s="3">
        <v>196</v>
      </c>
      <c r="D264" s="7" t="s">
        <v>470</v>
      </c>
      <c r="E264" s="184">
        <v>41</v>
      </c>
      <c r="F264" s="184">
        <v>5</v>
      </c>
      <c r="G264" s="8">
        <f t="shared" si="11"/>
        <v>0</v>
      </c>
    </row>
    <row r="265" spans="1:7" x14ac:dyDescent="0.2">
      <c r="A265" s="32"/>
      <c r="B265" s="3">
        <v>197</v>
      </c>
      <c r="D265" s="7" t="s">
        <v>471</v>
      </c>
      <c r="E265" s="184">
        <v>1</v>
      </c>
      <c r="F265" s="184">
        <v>7</v>
      </c>
      <c r="G265" s="8">
        <f t="shared" si="11"/>
        <v>0</v>
      </c>
    </row>
    <row r="266" spans="1:7" x14ac:dyDescent="0.2">
      <c r="A266" s="32"/>
      <c r="B266" s="3">
        <v>198</v>
      </c>
      <c r="D266" s="7" t="s">
        <v>471</v>
      </c>
      <c r="E266" s="184">
        <v>2</v>
      </c>
      <c r="F266" s="184">
        <v>7</v>
      </c>
      <c r="G266" s="8">
        <f t="shared" si="11"/>
        <v>0</v>
      </c>
    </row>
    <row r="267" spans="1:7" x14ac:dyDescent="0.2">
      <c r="A267" s="32"/>
      <c r="B267" s="3">
        <v>199</v>
      </c>
      <c r="D267" s="7" t="s">
        <v>471</v>
      </c>
      <c r="E267" s="184">
        <v>3</v>
      </c>
      <c r="F267" s="184">
        <v>7</v>
      </c>
      <c r="G267" s="8">
        <f t="shared" si="11"/>
        <v>0</v>
      </c>
    </row>
    <row r="268" spans="1:7" x14ac:dyDescent="0.2">
      <c r="A268" s="32"/>
      <c r="B268" s="3">
        <v>200</v>
      </c>
      <c r="D268" s="7" t="s">
        <v>471</v>
      </c>
      <c r="E268" s="184">
        <v>4</v>
      </c>
      <c r="F268" s="184">
        <v>7</v>
      </c>
      <c r="G268" s="8">
        <f t="shared" si="11"/>
        <v>0</v>
      </c>
    </row>
    <row r="269" spans="1:7" x14ac:dyDescent="0.2">
      <c r="A269" s="32"/>
      <c r="B269" s="3">
        <v>201</v>
      </c>
      <c r="D269" s="7" t="s">
        <v>471</v>
      </c>
      <c r="E269" s="184">
        <v>5</v>
      </c>
      <c r="F269" s="184">
        <v>7</v>
      </c>
      <c r="G269" s="8">
        <f t="shared" si="11"/>
        <v>0</v>
      </c>
    </row>
    <row r="270" spans="1:7" x14ac:dyDescent="0.2">
      <c r="A270" s="32"/>
      <c r="B270" s="3">
        <v>202</v>
      </c>
      <c r="D270" s="7" t="s">
        <v>471</v>
      </c>
      <c r="E270" s="184">
        <v>6</v>
      </c>
      <c r="F270" s="184">
        <v>7</v>
      </c>
      <c r="G270" s="8">
        <f t="shared" si="11"/>
        <v>0</v>
      </c>
    </row>
    <row r="271" spans="1:7" x14ac:dyDescent="0.2">
      <c r="A271" s="32"/>
      <c r="B271" s="3">
        <v>203</v>
      </c>
      <c r="D271" s="7" t="s">
        <v>471</v>
      </c>
      <c r="E271" s="184">
        <v>7</v>
      </c>
      <c r="F271" s="184">
        <v>7</v>
      </c>
      <c r="G271" s="8">
        <f t="shared" si="11"/>
        <v>0</v>
      </c>
    </row>
    <row r="272" spans="1:7" x14ac:dyDescent="0.2">
      <c r="A272" s="32"/>
      <c r="B272" s="3">
        <v>204</v>
      </c>
      <c r="D272" s="7" t="s">
        <v>471</v>
      </c>
      <c r="E272" s="184">
        <v>8</v>
      </c>
      <c r="F272" s="184">
        <v>7</v>
      </c>
      <c r="G272" s="8">
        <f t="shared" si="11"/>
        <v>0</v>
      </c>
    </row>
    <row r="273" spans="1:7" x14ac:dyDescent="0.2">
      <c r="A273" s="32"/>
      <c r="B273" s="3">
        <v>205</v>
      </c>
      <c r="D273" s="7" t="s">
        <v>471</v>
      </c>
      <c r="E273" s="184">
        <v>9</v>
      </c>
      <c r="F273" s="184">
        <v>7</v>
      </c>
      <c r="G273" s="8">
        <f t="shared" si="11"/>
        <v>0</v>
      </c>
    </row>
    <row r="274" spans="1:7" x14ac:dyDescent="0.2">
      <c r="A274" s="32"/>
      <c r="B274" s="3">
        <v>206</v>
      </c>
      <c r="D274" s="7" t="s">
        <v>471</v>
      </c>
      <c r="E274" s="184">
        <v>10</v>
      </c>
      <c r="F274" s="184">
        <v>7</v>
      </c>
      <c r="G274" s="8">
        <f t="shared" si="11"/>
        <v>0</v>
      </c>
    </row>
    <row r="275" spans="1:7" x14ac:dyDescent="0.2">
      <c r="A275" s="32"/>
      <c r="B275" s="3">
        <v>207</v>
      </c>
      <c r="D275" s="7" t="s">
        <v>471</v>
      </c>
      <c r="E275" s="184">
        <v>11</v>
      </c>
      <c r="F275" s="184">
        <v>7</v>
      </c>
      <c r="G275" s="8">
        <f t="shared" si="11"/>
        <v>0</v>
      </c>
    </row>
    <row r="276" spans="1:7" x14ac:dyDescent="0.2">
      <c r="A276" s="32"/>
      <c r="B276" s="3">
        <v>208</v>
      </c>
      <c r="D276" s="7" t="s">
        <v>471</v>
      </c>
      <c r="E276" s="184">
        <v>12</v>
      </c>
      <c r="F276" s="184">
        <v>7</v>
      </c>
      <c r="G276" s="8">
        <f t="shared" si="11"/>
        <v>0</v>
      </c>
    </row>
    <row r="277" spans="1:7" x14ac:dyDescent="0.2">
      <c r="A277" s="32"/>
      <c r="B277" s="3">
        <v>209</v>
      </c>
      <c r="D277" s="7" t="s">
        <v>471</v>
      </c>
      <c r="E277" s="184">
        <v>13</v>
      </c>
      <c r="F277" s="184">
        <v>7</v>
      </c>
      <c r="G277" s="8">
        <f t="shared" si="11"/>
        <v>0</v>
      </c>
    </row>
    <row r="278" spans="1:7" x14ac:dyDescent="0.2">
      <c r="A278" s="32"/>
      <c r="B278" s="3">
        <v>210</v>
      </c>
      <c r="D278" s="7" t="s">
        <v>471</v>
      </c>
      <c r="E278" s="184">
        <v>14</v>
      </c>
      <c r="F278" s="184">
        <v>7</v>
      </c>
      <c r="G278" s="8">
        <f t="shared" si="11"/>
        <v>0</v>
      </c>
    </row>
    <row r="279" spans="1:7" x14ac:dyDescent="0.2">
      <c r="A279" s="32"/>
      <c r="B279" s="3">
        <v>211</v>
      </c>
      <c r="D279" s="7" t="s">
        <v>471</v>
      </c>
      <c r="E279" s="184">
        <v>15</v>
      </c>
      <c r="F279" s="184">
        <v>7</v>
      </c>
      <c r="G279" s="8">
        <f t="shared" si="11"/>
        <v>0</v>
      </c>
    </row>
    <row r="280" spans="1:7" x14ac:dyDescent="0.2">
      <c r="A280" s="32"/>
      <c r="B280" s="3">
        <v>212</v>
      </c>
      <c r="D280" s="7" t="s">
        <v>471</v>
      </c>
      <c r="E280" s="184">
        <v>16</v>
      </c>
      <c r="F280" s="184">
        <v>7</v>
      </c>
      <c r="G280" s="8">
        <f t="shared" si="11"/>
        <v>0</v>
      </c>
    </row>
    <row r="281" spans="1:7" x14ac:dyDescent="0.2">
      <c r="A281" s="32"/>
      <c r="B281" s="3">
        <v>213</v>
      </c>
      <c r="D281" s="7" t="s">
        <v>471</v>
      </c>
      <c r="E281" s="184">
        <v>17</v>
      </c>
      <c r="F281" s="184">
        <v>7</v>
      </c>
      <c r="G281" s="8">
        <f t="shared" si="11"/>
        <v>0</v>
      </c>
    </row>
    <row r="282" spans="1:7" x14ac:dyDescent="0.2">
      <c r="A282" s="32"/>
      <c r="B282" s="3">
        <v>214</v>
      </c>
      <c r="D282" s="7" t="s">
        <v>471</v>
      </c>
      <c r="E282" s="184">
        <v>18</v>
      </c>
      <c r="F282" s="184">
        <v>7</v>
      </c>
      <c r="G282" s="8">
        <f t="shared" si="11"/>
        <v>0</v>
      </c>
    </row>
    <row r="283" spans="1:7" x14ac:dyDescent="0.2">
      <c r="A283" s="32"/>
      <c r="B283" s="3">
        <v>215</v>
      </c>
      <c r="D283" s="7" t="s">
        <v>471</v>
      </c>
      <c r="E283" s="184">
        <v>19</v>
      </c>
      <c r="F283" s="184">
        <v>7</v>
      </c>
      <c r="G283" s="8">
        <f t="shared" si="11"/>
        <v>0</v>
      </c>
    </row>
    <row r="284" spans="1:7" x14ac:dyDescent="0.2">
      <c r="A284" s="32"/>
      <c r="B284" s="3">
        <v>216</v>
      </c>
      <c r="D284" s="7" t="s">
        <v>471</v>
      </c>
      <c r="E284" s="184">
        <v>20</v>
      </c>
      <c r="F284" s="184">
        <v>7</v>
      </c>
      <c r="G284" s="8">
        <f t="shared" si="11"/>
        <v>0</v>
      </c>
    </row>
    <row r="285" spans="1:7" x14ac:dyDescent="0.2">
      <c r="A285" s="32"/>
      <c r="B285" s="3">
        <v>217</v>
      </c>
      <c r="D285" s="7" t="s">
        <v>471</v>
      </c>
      <c r="E285" s="184">
        <v>21</v>
      </c>
      <c r="F285" s="184">
        <v>7</v>
      </c>
      <c r="G285" s="8">
        <f t="shared" si="11"/>
        <v>0</v>
      </c>
    </row>
    <row r="286" spans="1:7" x14ac:dyDescent="0.2">
      <c r="A286" s="32"/>
      <c r="B286" s="3">
        <v>218</v>
      </c>
      <c r="D286" s="7" t="s">
        <v>471</v>
      </c>
      <c r="E286" s="184">
        <v>22</v>
      </c>
      <c r="F286" s="184">
        <v>7</v>
      </c>
      <c r="G286" s="8">
        <f t="shared" si="11"/>
        <v>0</v>
      </c>
    </row>
    <row r="287" spans="1:7" x14ac:dyDescent="0.2">
      <c r="A287" s="32"/>
      <c r="B287" s="3">
        <v>219</v>
      </c>
      <c r="D287" s="7" t="s">
        <v>471</v>
      </c>
      <c r="E287" s="184">
        <v>23</v>
      </c>
      <c r="F287" s="184">
        <v>7</v>
      </c>
      <c r="G287" s="8">
        <f t="shared" si="11"/>
        <v>0</v>
      </c>
    </row>
    <row r="288" spans="1:7" x14ac:dyDescent="0.2">
      <c r="A288" s="32"/>
      <c r="B288" s="3">
        <v>220</v>
      </c>
      <c r="D288" s="7" t="s">
        <v>471</v>
      </c>
      <c r="E288" s="184">
        <v>24</v>
      </c>
      <c r="F288" s="184">
        <v>7</v>
      </c>
      <c r="G288" s="8">
        <f t="shared" si="11"/>
        <v>0</v>
      </c>
    </row>
    <row r="289" spans="1:7" x14ac:dyDescent="0.2">
      <c r="A289" s="32"/>
      <c r="B289" s="3">
        <v>221</v>
      </c>
      <c r="D289" s="7" t="s">
        <v>471</v>
      </c>
      <c r="E289" s="184">
        <v>25</v>
      </c>
      <c r="F289" s="184">
        <v>7</v>
      </c>
      <c r="G289" s="8">
        <f t="shared" si="11"/>
        <v>0</v>
      </c>
    </row>
    <row r="290" spans="1:7" x14ac:dyDescent="0.2">
      <c r="A290" s="32"/>
      <c r="B290" s="3">
        <v>222</v>
      </c>
      <c r="D290" s="7" t="s">
        <v>471</v>
      </c>
      <c r="E290" s="184">
        <v>26</v>
      </c>
      <c r="F290" s="184">
        <v>7</v>
      </c>
      <c r="G290" s="8">
        <f t="shared" si="11"/>
        <v>0</v>
      </c>
    </row>
    <row r="291" spans="1:7" x14ac:dyDescent="0.2">
      <c r="A291" s="32"/>
      <c r="B291" s="3">
        <v>223</v>
      </c>
      <c r="D291" s="7" t="s">
        <v>471</v>
      </c>
      <c r="E291" s="184">
        <v>27</v>
      </c>
      <c r="F291" s="184">
        <v>7</v>
      </c>
      <c r="G291" s="8">
        <f t="shared" si="11"/>
        <v>0</v>
      </c>
    </row>
    <row r="292" spans="1:7" x14ac:dyDescent="0.2">
      <c r="A292" s="32"/>
      <c r="B292" s="3">
        <v>224</v>
      </c>
      <c r="D292" s="7" t="s">
        <v>471</v>
      </c>
      <c r="E292" s="184">
        <v>28</v>
      </c>
      <c r="F292" s="184">
        <v>7</v>
      </c>
      <c r="G292" s="8">
        <f t="shared" si="11"/>
        <v>0</v>
      </c>
    </row>
    <row r="293" spans="1:7" x14ac:dyDescent="0.2">
      <c r="A293" s="32"/>
      <c r="B293" s="3">
        <v>225</v>
      </c>
      <c r="D293" s="7" t="s">
        <v>471</v>
      </c>
      <c r="E293" s="184">
        <v>29</v>
      </c>
      <c r="F293" s="184">
        <v>7</v>
      </c>
      <c r="G293" s="8">
        <f t="shared" si="11"/>
        <v>0</v>
      </c>
    </row>
    <row r="294" spans="1:7" x14ac:dyDescent="0.2">
      <c r="A294" s="32"/>
      <c r="B294" s="3">
        <v>226</v>
      </c>
      <c r="D294" s="7" t="s">
        <v>471</v>
      </c>
      <c r="E294" s="184">
        <v>30</v>
      </c>
      <c r="F294" s="184">
        <v>7</v>
      </c>
      <c r="G294" s="8">
        <f t="shared" si="11"/>
        <v>0</v>
      </c>
    </row>
    <row r="295" spans="1:7" x14ac:dyDescent="0.2">
      <c r="A295" s="32"/>
      <c r="B295" s="3">
        <v>227</v>
      </c>
      <c r="D295" s="7" t="s">
        <v>471</v>
      </c>
      <c r="E295" s="184">
        <v>31</v>
      </c>
      <c r="F295" s="184">
        <v>7</v>
      </c>
      <c r="G295" s="8">
        <f t="shared" si="11"/>
        <v>0</v>
      </c>
    </row>
    <row r="296" spans="1:7" x14ac:dyDescent="0.2">
      <c r="A296" s="32"/>
      <c r="B296" s="3">
        <v>228</v>
      </c>
      <c r="D296" s="7" t="s">
        <v>471</v>
      </c>
      <c r="E296" s="184">
        <v>32</v>
      </c>
      <c r="F296" s="184">
        <v>7</v>
      </c>
      <c r="G296" s="8">
        <f t="shared" si="11"/>
        <v>0</v>
      </c>
    </row>
    <row r="297" spans="1:7" x14ac:dyDescent="0.2">
      <c r="A297" s="32"/>
      <c r="B297" s="3">
        <v>229</v>
      </c>
      <c r="D297" s="7" t="s">
        <v>471</v>
      </c>
      <c r="E297" s="184">
        <v>33</v>
      </c>
      <c r="F297" s="184">
        <v>7</v>
      </c>
      <c r="G297" s="8">
        <f t="shared" si="11"/>
        <v>0</v>
      </c>
    </row>
    <row r="298" spans="1:7" x14ac:dyDescent="0.2">
      <c r="A298" s="32"/>
      <c r="B298" s="3">
        <v>230</v>
      </c>
      <c r="D298" s="7" t="s">
        <v>471</v>
      </c>
      <c r="E298" s="184">
        <v>34</v>
      </c>
      <c r="F298" s="184">
        <v>7</v>
      </c>
      <c r="G298" s="8">
        <f t="shared" si="11"/>
        <v>0</v>
      </c>
    </row>
    <row r="299" spans="1:7" x14ac:dyDescent="0.2">
      <c r="A299" s="32"/>
      <c r="B299" s="3">
        <v>231</v>
      </c>
      <c r="D299" s="7" t="s">
        <v>471</v>
      </c>
      <c r="E299" s="184">
        <v>35</v>
      </c>
      <c r="F299" s="184">
        <v>7</v>
      </c>
      <c r="G299" s="8">
        <f t="shared" si="11"/>
        <v>0</v>
      </c>
    </row>
    <row r="300" spans="1:7" x14ac:dyDescent="0.2">
      <c r="A300" s="32"/>
      <c r="B300" s="3">
        <v>232</v>
      </c>
      <c r="D300" s="7" t="s">
        <v>471</v>
      </c>
      <c r="E300" s="184">
        <v>36</v>
      </c>
      <c r="F300" s="184">
        <v>7</v>
      </c>
      <c r="G300" s="8">
        <f t="shared" si="11"/>
        <v>0</v>
      </c>
    </row>
    <row r="301" spans="1:7" x14ac:dyDescent="0.2">
      <c r="A301" s="32"/>
      <c r="B301" s="3">
        <v>233</v>
      </c>
      <c r="D301" s="7" t="s">
        <v>471</v>
      </c>
      <c r="E301" s="184">
        <v>37</v>
      </c>
      <c r="F301" s="184">
        <v>7</v>
      </c>
      <c r="G301" s="8">
        <f t="shared" si="11"/>
        <v>0</v>
      </c>
    </row>
    <row r="302" spans="1:7" x14ac:dyDescent="0.2">
      <c r="A302" s="32"/>
      <c r="B302" s="3">
        <v>234</v>
      </c>
      <c r="D302" s="7" t="s">
        <v>471</v>
      </c>
      <c r="E302" s="184">
        <v>38</v>
      </c>
      <c r="F302" s="184">
        <v>7</v>
      </c>
      <c r="G302" s="8">
        <f t="shared" si="11"/>
        <v>0</v>
      </c>
    </row>
    <row r="303" spans="1:7" x14ac:dyDescent="0.2">
      <c r="A303" s="32"/>
      <c r="B303" s="3">
        <v>235</v>
      </c>
      <c r="D303" s="7" t="s">
        <v>471</v>
      </c>
      <c r="E303" s="184">
        <v>39</v>
      </c>
      <c r="F303" s="184">
        <v>7</v>
      </c>
      <c r="G303" s="8">
        <f t="shared" si="11"/>
        <v>0</v>
      </c>
    </row>
    <row r="304" spans="1:7" x14ac:dyDescent="0.2">
      <c r="A304" s="32"/>
      <c r="B304" s="3">
        <v>236</v>
      </c>
      <c r="D304" s="7" t="s">
        <v>471</v>
      </c>
      <c r="E304" s="184">
        <v>40</v>
      </c>
      <c r="F304" s="184">
        <v>7</v>
      </c>
      <c r="G304" s="8">
        <f t="shared" si="11"/>
        <v>0</v>
      </c>
    </row>
    <row r="305" spans="1:7" x14ac:dyDescent="0.2">
      <c r="A305" s="32"/>
      <c r="B305" s="3">
        <v>237</v>
      </c>
      <c r="D305" s="7" t="s">
        <v>471</v>
      </c>
      <c r="E305" s="184">
        <v>41</v>
      </c>
      <c r="F305" s="184">
        <v>7</v>
      </c>
      <c r="G305" s="8">
        <f t="shared" si="11"/>
        <v>0</v>
      </c>
    </row>
    <row r="306" spans="1:7" x14ac:dyDescent="0.2">
      <c r="A306" s="32"/>
      <c r="B306" s="3">
        <v>238</v>
      </c>
      <c r="D306" s="7" t="s">
        <v>471</v>
      </c>
      <c r="E306" s="184">
        <v>42</v>
      </c>
      <c r="F306" s="184">
        <v>7</v>
      </c>
      <c r="G306" s="8">
        <f t="shared" si="11"/>
        <v>0</v>
      </c>
    </row>
    <row r="307" spans="1:7" x14ac:dyDescent="0.2">
      <c r="A307" s="32"/>
      <c r="B307" s="3">
        <v>239</v>
      </c>
      <c r="D307" s="7" t="s">
        <v>471</v>
      </c>
      <c r="E307" s="184">
        <v>43</v>
      </c>
      <c r="F307" s="184">
        <v>7</v>
      </c>
      <c r="G307" s="8">
        <f t="shared" si="11"/>
        <v>0</v>
      </c>
    </row>
    <row r="308" spans="1:7" x14ac:dyDescent="0.2">
      <c r="A308" s="32"/>
      <c r="B308" s="3">
        <v>240</v>
      </c>
      <c r="D308" s="7" t="s">
        <v>471</v>
      </c>
      <c r="E308" s="184">
        <v>44</v>
      </c>
      <c r="F308" s="184">
        <v>7</v>
      </c>
      <c r="G308" s="8">
        <f t="shared" si="11"/>
        <v>0</v>
      </c>
    </row>
    <row r="309" spans="1:7" x14ac:dyDescent="0.2">
      <c r="A309" s="32"/>
      <c r="B309" s="3">
        <v>241</v>
      </c>
      <c r="D309" s="7" t="s">
        <v>471</v>
      </c>
      <c r="E309" s="184">
        <v>45</v>
      </c>
      <c r="F309" s="184">
        <v>7</v>
      </c>
      <c r="G309" s="8">
        <f t="shared" si="11"/>
        <v>0</v>
      </c>
    </row>
    <row r="310" spans="1:7" x14ac:dyDescent="0.2">
      <c r="A310" s="32"/>
      <c r="B310" s="3">
        <v>242</v>
      </c>
      <c r="D310" s="7" t="s">
        <v>471</v>
      </c>
      <c r="E310" s="184">
        <v>46</v>
      </c>
      <c r="F310" s="184">
        <v>7</v>
      </c>
      <c r="G310" s="8">
        <f t="shared" si="11"/>
        <v>0</v>
      </c>
    </row>
    <row r="311" spans="1:7" x14ac:dyDescent="0.2">
      <c r="A311" s="32"/>
      <c r="B311" s="3">
        <v>243</v>
      </c>
      <c r="D311" s="7" t="s">
        <v>471</v>
      </c>
      <c r="E311" s="184">
        <v>47</v>
      </c>
      <c r="F311" s="184">
        <v>7</v>
      </c>
      <c r="G311" s="8">
        <f t="shared" si="11"/>
        <v>0</v>
      </c>
    </row>
    <row r="312" spans="1:7" x14ac:dyDescent="0.2">
      <c r="A312" s="32"/>
      <c r="B312" s="3">
        <v>244</v>
      </c>
      <c r="D312" s="7" t="s">
        <v>471</v>
      </c>
      <c r="E312" s="184">
        <v>48</v>
      </c>
      <c r="F312" s="184">
        <v>7</v>
      </c>
      <c r="G312" s="8">
        <f t="shared" si="11"/>
        <v>0</v>
      </c>
    </row>
    <row r="313" spans="1:7" x14ac:dyDescent="0.2">
      <c r="A313" s="32"/>
      <c r="B313" s="3">
        <v>245</v>
      </c>
      <c r="D313" s="7" t="s">
        <v>471</v>
      </c>
      <c r="E313" s="184">
        <v>49</v>
      </c>
      <c r="F313" s="184">
        <v>7</v>
      </c>
      <c r="G313" s="8">
        <f t="shared" si="11"/>
        <v>0</v>
      </c>
    </row>
    <row r="314" spans="1:7" x14ac:dyDescent="0.2">
      <c r="A314" s="32"/>
      <c r="B314" s="3">
        <v>246</v>
      </c>
      <c r="D314" s="7" t="s">
        <v>471</v>
      </c>
      <c r="E314" s="184">
        <v>50</v>
      </c>
      <c r="F314" s="184">
        <v>7</v>
      </c>
      <c r="G314" s="8">
        <f t="shared" si="11"/>
        <v>0</v>
      </c>
    </row>
    <row r="315" spans="1:7" x14ac:dyDescent="0.2">
      <c r="A315" s="32"/>
      <c r="B315" s="3">
        <v>247</v>
      </c>
      <c r="D315" s="7" t="s">
        <v>471</v>
      </c>
      <c r="E315" s="184">
        <v>51</v>
      </c>
      <c r="F315" s="184">
        <v>7</v>
      </c>
      <c r="G315" s="8">
        <f t="shared" si="11"/>
        <v>0</v>
      </c>
    </row>
    <row r="316" spans="1:7" x14ac:dyDescent="0.2">
      <c r="A316" s="32"/>
      <c r="B316" s="3">
        <v>248</v>
      </c>
      <c r="D316" s="7" t="s">
        <v>471</v>
      </c>
      <c r="E316" s="184">
        <v>52</v>
      </c>
      <c r="F316" s="184">
        <v>7</v>
      </c>
      <c r="G316" s="8">
        <f t="shared" si="11"/>
        <v>0</v>
      </c>
    </row>
    <row r="317" spans="1:7" x14ac:dyDescent="0.2">
      <c r="A317" s="32"/>
      <c r="B317" s="3">
        <v>249</v>
      </c>
      <c r="D317" s="7" t="s">
        <v>471</v>
      </c>
      <c r="E317" s="184">
        <v>53</v>
      </c>
      <c r="F317" s="184">
        <v>7</v>
      </c>
      <c r="G317" s="8">
        <f t="shared" si="11"/>
        <v>0</v>
      </c>
    </row>
    <row r="318" spans="1:7" x14ac:dyDescent="0.2">
      <c r="A318" s="32"/>
      <c r="B318" s="3">
        <v>250</v>
      </c>
      <c r="D318" s="7" t="s">
        <v>471</v>
      </c>
      <c r="E318" s="184">
        <v>54</v>
      </c>
      <c r="F318" s="184">
        <v>7</v>
      </c>
      <c r="G318" s="8">
        <f t="shared" si="11"/>
        <v>0</v>
      </c>
    </row>
    <row r="319" spans="1:7" x14ac:dyDescent="0.2">
      <c r="A319" s="32"/>
      <c r="B319" s="3">
        <v>251</v>
      </c>
      <c r="D319" s="7" t="s">
        <v>471</v>
      </c>
      <c r="E319" s="184">
        <v>55</v>
      </c>
      <c r="F319" s="184">
        <v>7</v>
      </c>
      <c r="G319" s="8">
        <f t="shared" si="11"/>
        <v>0</v>
      </c>
    </row>
    <row r="320" spans="1:7" x14ac:dyDescent="0.2">
      <c r="A320" s="32"/>
      <c r="B320" s="3">
        <v>252</v>
      </c>
      <c r="D320" s="7" t="s">
        <v>471</v>
      </c>
      <c r="E320" s="184">
        <v>56</v>
      </c>
      <c r="F320" s="184">
        <v>7</v>
      </c>
      <c r="G320" s="8">
        <f t="shared" ref="G320:G383" si="12">IF(AND(F320=$A$66,E320=$A$67),1,0)</f>
        <v>0</v>
      </c>
    </row>
    <row r="321" spans="1:7" x14ac:dyDescent="0.2">
      <c r="A321" s="32"/>
      <c r="B321" s="3">
        <v>253</v>
      </c>
      <c r="D321" s="7" t="s">
        <v>214</v>
      </c>
      <c r="E321" s="184">
        <v>1</v>
      </c>
      <c r="F321" s="184">
        <v>51</v>
      </c>
      <c r="G321" s="8">
        <f t="shared" si="12"/>
        <v>0</v>
      </c>
    </row>
    <row r="322" spans="1:7" x14ac:dyDescent="0.2">
      <c r="A322" s="32"/>
      <c r="B322" s="3">
        <v>254</v>
      </c>
      <c r="D322" s="7" t="s">
        <v>214</v>
      </c>
      <c r="E322" s="184">
        <v>2</v>
      </c>
      <c r="F322" s="184">
        <v>51</v>
      </c>
      <c r="G322" s="8">
        <f t="shared" si="12"/>
        <v>0</v>
      </c>
    </row>
    <row r="323" spans="1:7" x14ac:dyDescent="0.2">
      <c r="A323" s="32"/>
      <c r="B323" s="3">
        <v>255</v>
      </c>
      <c r="D323" s="7" t="s">
        <v>214</v>
      </c>
      <c r="E323" s="184">
        <v>3</v>
      </c>
      <c r="F323" s="184">
        <v>51</v>
      </c>
      <c r="G323" s="8">
        <f t="shared" si="12"/>
        <v>0</v>
      </c>
    </row>
    <row r="324" spans="1:7" x14ac:dyDescent="0.2">
      <c r="A324" s="32"/>
      <c r="B324" s="3">
        <v>256</v>
      </c>
      <c r="D324" s="7" t="s">
        <v>214</v>
      </c>
      <c r="E324" s="184">
        <v>4</v>
      </c>
      <c r="F324" s="184">
        <v>51</v>
      </c>
      <c r="G324" s="8">
        <f t="shared" si="12"/>
        <v>0</v>
      </c>
    </row>
    <row r="325" spans="1:7" x14ac:dyDescent="0.2">
      <c r="A325" s="32"/>
      <c r="B325" s="3">
        <v>257</v>
      </c>
      <c r="D325" s="7" t="s">
        <v>214</v>
      </c>
      <c r="E325" s="184">
        <v>5</v>
      </c>
      <c r="F325" s="184">
        <v>51</v>
      </c>
      <c r="G325" s="8">
        <f t="shared" si="12"/>
        <v>0</v>
      </c>
    </row>
    <row r="326" spans="1:7" x14ac:dyDescent="0.2">
      <c r="A326" s="32"/>
      <c r="B326" s="3">
        <v>258</v>
      </c>
      <c r="D326" s="7" t="s">
        <v>214</v>
      </c>
      <c r="E326" s="184">
        <v>6</v>
      </c>
      <c r="F326" s="184">
        <v>51</v>
      </c>
      <c r="G326" s="8">
        <f t="shared" si="12"/>
        <v>0</v>
      </c>
    </row>
    <row r="327" spans="1:7" x14ac:dyDescent="0.2">
      <c r="A327" s="32"/>
      <c r="B327" s="3">
        <v>259</v>
      </c>
      <c r="D327" s="7" t="s">
        <v>214</v>
      </c>
      <c r="E327" s="184">
        <v>7</v>
      </c>
      <c r="F327" s="184">
        <v>51</v>
      </c>
      <c r="G327" s="8">
        <f t="shared" si="12"/>
        <v>0</v>
      </c>
    </row>
    <row r="328" spans="1:7" x14ac:dyDescent="0.2">
      <c r="A328" s="32"/>
      <c r="B328" s="3">
        <v>260</v>
      </c>
      <c r="D328" s="7" t="s">
        <v>214</v>
      </c>
      <c r="E328" s="184">
        <v>8</v>
      </c>
      <c r="F328" s="184">
        <v>51</v>
      </c>
      <c r="G328" s="8">
        <f t="shared" si="12"/>
        <v>0</v>
      </c>
    </row>
    <row r="329" spans="1:7" x14ac:dyDescent="0.2">
      <c r="A329" s="32"/>
      <c r="B329" s="3">
        <v>261</v>
      </c>
      <c r="D329" s="7" t="s">
        <v>214</v>
      </c>
      <c r="E329" s="184">
        <v>9</v>
      </c>
      <c r="F329" s="184">
        <v>51</v>
      </c>
      <c r="G329" s="8">
        <f t="shared" si="12"/>
        <v>0</v>
      </c>
    </row>
    <row r="330" spans="1:7" x14ac:dyDescent="0.2">
      <c r="A330" s="32"/>
      <c r="B330" s="3">
        <v>262</v>
      </c>
      <c r="D330" s="7" t="s">
        <v>214</v>
      </c>
      <c r="E330" s="184">
        <v>10</v>
      </c>
      <c r="F330" s="184">
        <v>51</v>
      </c>
      <c r="G330" s="8">
        <f t="shared" si="12"/>
        <v>0</v>
      </c>
    </row>
    <row r="331" spans="1:7" x14ac:dyDescent="0.2">
      <c r="A331" s="32"/>
      <c r="B331" s="3">
        <v>263</v>
      </c>
      <c r="D331" s="7" t="s">
        <v>214</v>
      </c>
      <c r="E331" s="184">
        <v>11</v>
      </c>
      <c r="F331" s="184">
        <v>51</v>
      </c>
      <c r="G331" s="8">
        <f t="shared" si="12"/>
        <v>0</v>
      </c>
    </row>
    <row r="332" spans="1:7" x14ac:dyDescent="0.2">
      <c r="A332" s="32"/>
      <c r="B332" s="3">
        <v>264</v>
      </c>
      <c r="D332" s="7" t="s">
        <v>214</v>
      </c>
      <c r="E332" s="184">
        <v>12</v>
      </c>
      <c r="F332" s="184">
        <v>51</v>
      </c>
      <c r="G332" s="8">
        <f t="shared" si="12"/>
        <v>0</v>
      </c>
    </row>
    <row r="333" spans="1:7" x14ac:dyDescent="0.2">
      <c r="A333" s="32"/>
      <c r="B333" s="3">
        <v>265</v>
      </c>
      <c r="D333" s="7" t="s">
        <v>214</v>
      </c>
      <c r="E333" s="184">
        <v>13</v>
      </c>
      <c r="F333" s="184">
        <v>51</v>
      </c>
      <c r="G333" s="8">
        <f t="shared" si="12"/>
        <v>0</v>
      </c>
    </row>
    <row r="334" spans="1:7" x14ac:dyDescent="0.2">
      <c r="A334" s="32"/>
      <c r="B334" s="3">
        <v>266</v>
      </c>
      <c r="D334" s="7" t="s">
        <v>214</v>
      </c>
      <c r="E334" s="184">
        <v>14</v>
      </c>
      <c r="F334" s="184">
        <v>51</v>
      </c>
      <c r="G334" s="8">
        <f t="shared" si="12"/>
        <v>0</v>
      </c>
    </row>
    <row r="335" spans="1:7" x14ac:dyDescent="0.2">
      <c r="A335" s="32"/>
      <c r="B335" s="3">
        <v>267</v>
      </c>
      <c r="D335" s="7" t="s">
        <v>214</v>
      </c>
      <c r="E335" s="184">
        <v>15</v>
      </c>
      <c r="F335" s="184">
        <v>51</v>
      </c>
      <c r="G335" s="8">
        <f t="shared" si="12"/>
        <v>0</v>
      </c>
    </row>
    <row r="336" spans="1:7" x14ac:dyDescent="0.2">
      <c r="A336" s="32"/>
      <c r="B336" s="3">
        <v>268</v>
      </c>
      <c r="D336" s="7" t="s">
        <v>214</v>
      </c>
      <c r="E336" s="184">
        <v>16</v>
      </c>
      <c r="F336" s="184">
        <v>51</v>
      </c>
      <c r="G336" s="8">
        <f t="shared" si="12"/>
        <v>0</v>
      </c>
    </row>
    <row r="337" spans="1:7" x14ac:dyDescent="0.2">
      <c r="A337" s="32"/>
      <c r="B337" s="3">
        <v>269</v>
      </c>
      <c r="D337" s="7" t="s">
        <v>214</v>
      </c>
      <c r="E337" s="184">
        <v>17</v>
      </c>
      <c r="F337" s="184">
        <v>51</v>
      </c>
      <c r="G337" s="8">
        <f t="shared" si="12"/>
        <v>0</v>
      </c>
    </row>
    <row r="338" spans="1:7" x14ac:dyDescent="0.2">
      <c r="A338" s="32"/>
      <c r="B338" s="3">
        <v>270</v>
      </c>
      <c r="D338" s="7" t="s">
        <v>214</v>
      </c>
      <c r="E338" s="184">
        <v>18</v>
      </c>
      <c r="F338" s="184">
        <v>51</v>
      </c>
      <c r="G338" s="8">
        <f t="shared" si="12"/>
        <v>0</v>
      </c>
    </row>
    <row r="339" spans="1:7" x14ac:dyDescent="0.2">
      <c r="A339" s="32"/>
      <c r="B339" s="3">
        <v>271</v>
      </c>
      <c r="D339" s="7" t="s">
        <v>214</v>
      </c>
      <c r="E339" s="184">
        <v>19</v>
      </c>
      <c r="F339" s="184">
        <v>51</v>
      </c>
      <c r="G339" s="8">
        <f t="shared" si="12"/>
        <v>0</v>
      </c>
    </row>
    <row r="340" spans="1:7" x14ac:dyDescent="0.2">
      <c r="A340" s="32"/>
      <c r="B340" s="3">
        <v>272</v>
      </c>
      <c r="D340" s="7" t="s">
        <v>214</v>
      </c>
      <c r="E340" s="184">
        <v>20</v>
      </c>
      <c r="F340" s="184">
        <v>51</v>
      </c>
      <c r="G340" s="8">
        <f t="shared" si="12"/>
        <v>0</v>
      </c>
    </row>
    <row r="341" spans="1:7" x14ac:dyDescent="0.2">
      <c r="A341" s="32"/>
      <c r="B341" s="3">
        <v>273</v>
      </c>
      <c r="D341" s="7" t="s">
        <v>214</v>
      </c>
      <c r="E341" s="184">
        <v>21</v>
      </c>
      <c r="F341" s="184">
        <v>51</v>
      </c>
      <c r="G341" s="8">
        <f t="shared" si="12"/>
        <v>0</v>
      </c>
    </row>
    <row r="342" spans="1:7" x14ac:dyDescent="0.2">
      <c r="A342" s="32"/>
      <c r="B342" s="3">
        <v>274</v>
      </c>
      <c r="D342" s="7" t="s">
        <v>214</v>
      </c>
      <c r="E342" s="184">
        <v>22</v>
      </c>
      <c r="F342" s="184">
        <v>51</v>
      </c>
      <c r="G342" s="8">
        <f t="shared" si="12"/>
        <v>0</v>
      </c>
    </row>
    <row r="343" spans="1:7" x14ac:dyDescent="0.2">
      <c r="A343" s="32"/>
      <c r="B343" s="3">
        <v>275</v>
      </c>
      <c r="D343" s="7" t="s">
        <v>214</v>
      </c>
      <c r="E343" s="184">
        <v>23</v>
      </c>
      <c r="F343" s="184">
        <v>51</v>
      </c>
      <c r="G343" s="8">
        <f t="shared" si="12"/>
        <v>0</v>
      </c>
    </row>
    <row r="344" spans="1:7" x14ac:dyDescent="0.2">
      <c r="A344" s="32"/>
      <c r="B344" s="3">
        <v>276</v>
      </c>
      <c r="D344" s="7" t="s">
        <v>214</v>
      </c>
      <c r="E344" s="184">
        <v>24</v>
      </c>
      <c r="F344" s="184">
        <v>51</v>
      </c>
      <c r="G344" s="8">
        <f t="shared" si="12"/>
        <v>0</v>
      </c>
    </row>
    <row r="345" spans="1:7" x14ac:dyDescent="0.2">
      <c r="A345" s="32"/>
      <c r="B345" s="3">
        <v>277</v>
      </c>
      <c r="D345" s="7" t="s">
        <v>214</v>
      </c>
      <c r="E345" s="184">
        <v>25</v>
      </c>
      <c r="F345" s="184">
        <v>51</v>
      </c>
      <c r="G345" s="8">
        <f t="shared" si="12"/>
        <v>0</v>
      </c>
    </row>
    <row r="346" spans="1:7" x14ac:dyDescent="0.2">
      <c r="A346" s="32"/>
      <c r="B346" s="3">
        <v>278</v>
      </c>
      <c r="D346" s="7" t="s">
        <v>214</v>
      </c>
      <c r="E346" s="184">
        <v>26</v>
      </c>
      <c r="F346" s="184">
        <v>51</v>
      </c>
      <c r="G346" s="8">
        <f t="shared" si="12"/>
        <v>0</v>
      </c>
    </row>
    <row r="347" spans="1:7" x14ac:dyDescent="0.2">
      <c r="A347" s="32"/>
      <c r="B347" s="3">
        <v>279</v>
      </c>
      <c r="D347" s="7" t="s">
        <v>214</v>
      </c>
      <c r="E347" s="184">
        <v>27</v>
      </c>
      <c r="F347" s="184">
        <v>51</v>
      </c>
      <c r="G347" s="8">
        <f t="shared" si="12"/>
        <v>0</v>
      </c>
    </row>
    <row r="348" spans="1:7" x14ac:dyDescent="0.2">
      <c r="A348" s="32"/>
      <c r="B348" s="3">
        <v>280</v>
      </c>
      <c r="D348" s="7" t="s">
        <v>214</v>
      </c>
      <c r="E348" s="184">
        <v>28</v>
      </c>
      <c r="F348" s="184">
        <v>51</v>
      </c>
      <c r="G348" s="8">
        <f t="shared" si="12"/>
        <v>0</v>
      </c>
    </row>
    <row r="349" spans="1:7" x14ac:dyDescent="0.2">
      <c r="A349" s="32"/>
      <c r="B349" s="3">
        <v>281</v>
      </c>
      <c r="D349" s="7" t="s">
        <v>214</v>
      </c>
      <c r="E349" s="184">
        <v>29</v>
      </c>
      <c r="F349" s="184">
        <v>51</v>
      </c>
      <c r="G349" s="8">
        <f t="shared" si="12"/>
        <v>0</v>
      </c>
    </row>
    <row r="350" spans="1:7" x14ac:dyDescent="0.2">
      <c r="A350" s="32"/>
      <c r="B350" s="3">
        <v>282</v>
      </c>
      <c r="D350" s="7" t="s">
        <v>214</v>
      </c>
      <c r="E350" s="184">
        <v>30</v>
      </c>
      <c r="F350" s="184">
        <v>51</v>
      </c>
      <c r="G350" s="8">
        <f t="shared" si="12"/>
        <v>0</v>
      </c>
    </row>
    <row r="351" spans="1:7" x14ac:dyDescent="0.2">
      <c r="A351" s="32"/>
      <c r="B351" s="3">
        <v>283</v>
      </c>
      <c r="D351" s="7" t="s">
        <v>214</v>
      </c>
      <c r="E351" s="184">
        <v>31</v>
      </c>
      <c r="F351" s="184">
        <v>51</v>
      </c>
      <c r="G351" s="8">
        <f t="shared" si="12"/>
        <v>0</v>
      </c>
    </row>
    <row r="352" spans="1:7" x14ac:dyDescent="0.2">
      <c r="A352" s="32"/>
      <c r="B352" s="3">
        <v>284</v>
      </c>
      <c r="D352" s="7" t="s">
        <v>214</v>
      </c>
      <c r="E352" s="184">
        <v>32</v>
      </c>
      <c r="F352" s="184">
        <v>51</v>
      </c>
      <c r="G352" s="8">
        <f t="shared" si="12"/>
        <v>0</v>
      </c>
    </row>
    <row r="353" spans="1:7" x14ac:dyDescent="0.2">
      <c r="A353" s="32"/>
      <c r="B353" s="3">
        <v>285</v>
      </c>
      <c r="D353" s="7" t="s">
        <v>214</v>
      </c>
      <c r="E353" s="184">
        <v>33</v>
      </c>
      <c r="F353" s="184">
        <v>51</v>
      </c>
      <c r="G353" s="8">
        <f t="shared" si="12"/>
        <v>0</v>
      </c>
    </row>
    <row r="354" spans="1:7" x14ac:dyDescent="0.2">
      <c r="A354" s="32"/>
      <c r="B354" s="3">
        <v>286</v>
      </c>
      <c r="D354" s="7" t="s">
        <v>214</v>
      </c>
      <c r="E354" s="184">
        <v>34</v>
      </c>
      <c r="F354" s="184">
        <v>51</v>
      </c>
      <c r="G354" s="8">
        <f t="shared" si="12"/>
        <v>0</v>
      </c>
    </row>
    <row r="355" spans="1:7" x14ac:dyDescent="0.2">
      <c r="A355" s="32"/>
      <c r="B355" s="3">
        <v>287</v>
      </c>
      <c r="D355" s="7" t="s">
        <v>214</v>
      </c>
      <c r="E355" s="184">
        <v>35</v>
      </c>
      <c r="F355" s="184">
        <v>51</v>
      </c>
      <c r="G355" s="8">
        <f t="shared" si="12"/>
        <v>0</v>
      </c>
    </row>
    <row r="356" spans="1:7" x14ac:dyDescent="0.2">
      <c r="A356" s="32"/>
      <c r="B356" s="3">
        <v>288</v>
      </c>
      <c r="D356" s="7" t="s">
        <v>214</v>
      </c>
      <c r="E356" s="184">
        <v>36</v>
      </c>
      <c r="F356" s="184">
        <v>51</v>
      </c>
      <c r="G356" s="8">
        <f t="shared" si="12"/>
        <v>0</v>
      </c>
    </row>
    <row r="357" spans="1:7" x14ac:dyDescent="0.2">
      <c r="A357" s="32"/>
      <c r="B357" s="3">
        <v>289</v>
      </c>
      <c r="D357" s="7" t="s">
        <v>214</v>
      </c>
      <c r="E357" s="184">
        <v>37</v>
      </c>
      <c r="F357" s="184">
        <v>51</v>
      </c>
      <c r="G357" s="8">
        <f t="shared" si="12"/>
        <v>0</v>
      </c>
    </row>
    <row r="358" spans="1:7" x14ac:dyDescent="0.2">
      <c r="A358" s="32"/>
      <c r="B358" s="3">
        <v>290</v>
      </c>
      <c r="D358" s="7" t="s">
        <v>214</v>
      </c>
      <c r="E358" s="184">
        <v>38</v>
      </c>
      <c r="F358" s="184">
        <v>51</v>
      </c>
      <c r="G358" s="8">
        <f t="shared" si="12"/>
        <v>0</v>
      </c>
    </row>
    <row r="359" spans="1:7" x14ac:dyDescent="0.2">
      <c r="A359" s="32"/>
      <c r="B359" s="3">
        <v>291</v>
      </c>
      <c r="D359" s="7" t="s">
        <v>214</v>
      </c>
      <c r="E359" s="184">
        <v>39</v>
      </c>
      <c r="F359" s="184">
        <v>51</v>
      </c>
      <c r="G359" s="8">
        <f t="shared" si="12"/>
        <v>0</v>
      </c>
    </row>
    <row r="360" spans="1:7" x14ac:dyDescent="0.2">
      <c r="A360" s="32"/>
      <c r="B360" s="3">
        <v>292</v>
      </c>
      <c r="D360" s="7" t="s">
        <v>214</v>
      </c>
      <c r="E360" s="184">
        <v>40</v>
      </c>
      <c r="F360" s="184">
        <v>51</v>
      </c>
      <c r="G360" s="8">
        <f t="shared" si="12"/>
        <v>0</v>
      </c>
    </row>
    <row r="361" spans="1:7" x14ac:dyDescent="0.2">
      <c r="A361" s="32"/>
      <c r="B361" s="3">
        <v>293</v>
      </c>
      <c r="D361" s="7" t="s">
        <v>214</v>
      </c>
      <c r="E361" s="184">
        <v>41</v>
      </c>
      <c r="F361" s="184">
        <v>51</v>
      </c>
      <c r="G361" s="8">
        <f t="shared" si="12"/>
        <v>0</v>
      </c>
    </row>
    <row r="362" spans="1:7" x14ac:dyDescent="0.2">
      <c r="A362" s="32"/>
      <c r="B362" s="3">
        <v>294</v>
      </c>
      <c r="D362" s="7" t="s">
        <v>214</v>
      </c>
      <c r="E362" s="184">
        <v>42</v>
      </c>
      <c r="F362" s="184">
        <v>51</v>
      </c>
      <c r="G362" s="8">
        <f t="shared" si="12"/>
        <v>0</v>
      </c>
    </row>
    <row r="363" spans="1:7" x14ac:dyDescent="0.2">
      <c r="A363" s="32"/>
      <c r="B363" s="3">
        <v>295</v>
      </c>
      <c r="D363" s="7" t="s">
        <v>214</v>
      </c>
      <c r="E363" s="184">
        <v>43</v>
      </c>
      <c r="F363" s="184">
        <v>51</v>
      </c>
      <c r="G363" s="8">
        <f t="shared" si="12"/>
        <v>0</v>
      </c>
    </row>
    <row r="364" spans="1:7" x14ac:dyDescent="0.2">
      <c r="A364" s="32"/>
      <c r="B364" s="3">
        <v>296</v>
      </c>
      <c r="D364" s="7" t="s">
        <v>214</v>
      </c>
      <c r="E364" s="184">
        <v>44</v>
      </c>
      <c r="F364" s="184">
        <v>51</v>
      </c>
      <c r="G364" s="8">
        <f t="shared" si="12"/>
        <v>0</v>
      </c>
    </row>
    <row r="365" spans="1:7" x14ac:dyDescent="0.2">
      <c r="A365" s="32"/>
      <c r="B365" s="3">
        <v>297</v>
      </c>
      <c r="D365" s="7" t="s">
        <v>214</v>
      </c>
      <c r="E365" s="184">
        <v>45</v>
      </c>
      <c r="F365" s="184">
        <v>51</v>
      </c>
      <c r="G365" s="8">
        <f t="shared" si="12"/>
        <v>0</v>
      </c>
    </row>
    <row r="366" spans="1:7" x14ac:dyDescent="0.2">
      <c r="A366" s="32"/>
      <c r="B366" s="3">
        <v>298</v>
      </c>
      <c r="D366" s="7" t="s">
        <v>214</v>
      </c>
      <c r="E366" s="184">
        <v>46</v>
      </c>
      <c r="F366" s="184">
        <v>51</v>
      </c>
      <c r="G366" s="8">
        <f t="shared" si="12"/>
        <v>0</v>
      </c>
    </row>
    <row r="367" spans="1:7" x14ac:dyDescent="0.2">
      <c r="A367" s="32"/>
      <c r="B367" s="3">
        <v>299</v>
      </c>
      <c r="D367" s="7" t="s">
        <v>214</v>
      </c>
      <c r="E367" s="184">
        <v>47</v>
      </c>
      <c r="F367" s="184">
        <v>51</v>
      </c>
      <c r="G367" s="8">
        <f t="shared" si="12"/>
        <v>0</v>
      </c>
    </row>
    <row r="368" spans="1:7" x14ac:dyDescent="0.2">
      <c r="A368" s="32"/>
      <c r="B368" s="3">
        <v>300</v>
      </c>
      <c r="D368" s="7" t="s">
        <v>214</v>
      </c>
      <c r="E368" s="184">
        <v>48</v>
      </c>
      <c r="F368" s="184">
        <v>51</v>
      </c>
      <c r="G368" s="8">
        <f t="shared" si="12"/>
        <v>0</v>
      </c>
    </row>
    <row r="369" spans="1:7" x14ac:dyDescent="0.2">
      <c r="A369" s="32"/>
      <c r="B369" s="3">
        <v>301</v>
      </c>
      <c r="D369" s="7" t="s">
        <v>214</v>
      </c>
      <c r="E369" s="184">
        <v>52</v>
      </c>
      <c r="F369" s="184">
        <v>51</v>
      </c>
      <c r="G369" s="8">
        <f t="shared" si="12"/>
        <v>0</v>
      </c>
    </row>
    <row r="370" spans="1:7" x14ac:dyDescent="0.2">
      <c r="A370" s="32"/>
      <c r="B370" s="3">
        <v>302</v>
      </c>
      <c r="D370" s="7" t="s">
        <v>214</v>
      </c>
      <c r="E370" s="184">
        <v>53</v>
      </c>
      <c r="F370" s="184">
        <v>51</v>
      </c>
      <c r="G370" s="8">
        <f t="shared" si="12"/>
        <v>0</v>
      </c>
    </row>
    <row r="371" spans="1:7" x14ac:dyDescent="0.2">
      <c r="A371" s="32"/>
      <c r="B371" s="3">
        <v>303</v>
      </c>
      <c r="D371" s="7" t="s">
        <v>214</v>
      </c>
      <c r="E371" s="184">
        <v>54</v>
      </c>
      <c r="F371" s="184">
        <v>51</v>
      </c>
      <c r="G371" s="8">
        <f t="shared" si="12"/>
        <v>0</v>
      </c>
    </row>
    <row r="372" spans="1:7" x14ac:dyDescent="0.2">
      <c r="A372" s="32"/>
      <c r="B372" s="3">
        <v>304</v>
      </c>
      <c r="D372" s="7" t="s">
        <v>214</v>
      </c>
      <c r="E372" s="184">
        <v>55</v>
      </c>
      <c r="F372" s="184">
        <v>51</v>
      </c>
      <c r="G372" s="8">
        <f t="shared" si="12"/>
        <v>0</v>
      </c>
    </row>
    <row r="373" spans="1:7" x14ac:dyDescent="0.2">
      <c r="A373" s="32"/>
      <c r="B373" s="3">
        <v>305</v>
      </c>
      <c r="D373" s="7" t="s">
        <v>214</v>
      </c>
      <c r="E373" s="184">
        <v>56</v>
      </c>
      <c r="F373" s="184">
        <v>51</v>
      </c>
      <c r="G373" s="8">
        <f t="shared" si="12"/>
        <v>0</v>
      </c>
    </row>
    <row r="374" spans="1:7" x14ac:dyDescent="0.2">
      <c r="A374" s="32"/>
      <c r="B374" s="3">
        <v>306</v>
      </c>
      <c r="D374" s="7" t="s">
        <v>214</v>
      </c>
      <c r="E374" s="184">
        <v>57</v>
      </c>
      <c r="F374" s="184">
        <v>51</v>
      </c>
      <c r="G374" s="8">
        <f t="shared" si="12"/>
        <v>0</v>
      </c>
    </row>
    <row r="375" spans="1:7" x14ac:dyDescent="0.2">
      <c r="A375" s="32"/>
      <c r="B375" s="3">
        <v>307</v>
      </c>
      <c r="D375" s="7" t="s">
        <v>214</v>
      </c>
      <c r="E375" s="184">
        <v>58</v>
      </c>
      <c r="F375" s="184">
        <v>51</v>
      </c>
      <c r="G375" s="8">
        <f t="shared" si="12"/>
        <v>0</v>
      </c>
    </row>
    <row r="376" spans="1:7" x14ac:dyDescent="0.2">
      <c r="A376" s="32"/>
      <c r="B376" s="3">
        <v>308</v>
      </c>
      <c r="D376" s="7" t="s">
        <v>214</v>
      </c>
      <c r="E376" s="184">
        <v>70</v>
      </c>
      <c r="F376" s="184">
        <v>51</v>
      </c>
      <c r="G376" s="8">
        <f t="shared" si="12"/>
        <v>0</v>
      </c>
    </row>
    <row r="377" spans="1:7" x14ac:dyDescent="0.2">
      <c r="A377" s="32"/>
      <c r="B377" s="3">
        <v>309</v>
      </c>
      <c r="D377" s="7" t="s">
        <v>472</v>
      </c>
      <c r="E377" s="184">
        <v>809</v>
      </c>
      <c r="F377" s="184">
        <v>38</v>
      </c>
      <c r="G377" s="8">
        <f t="shared" si="12"/>
        <v>0</v>
      </c>
    </row>
    <row r="378" spans="1:7" x14ac:dyDescent="0.2">
      <c r="A378" s="32"/>
      <c r="B378" s="3">
        <v>310</v>
      </c>
      <c r="D378" s="7" t="s">
        <v>472</v>
      </c>
      <c r="E378" s="184">
        <v>810</v>
      </c>
      <c r="F378" s="184">
        <v>38</v>
      </c>
      <c r="G378" s="8">
        <f t="shared" si="12"/>
        <v>0</v>
      </c>
    </row>
    <row r="379" spans="1:7" x14ac:dyDescent="0.2">
      <c r="A379" s="32"/>
      <c r="B379" s="3">
        <v>311</v>
      </c>
      <c r="D379" s="7" t="s">
        <v>472</v>
      </c>
      <c r="E379" s="184">
        <v>811</v>
      </c>
      <c r="F379" s="184">
        <v>38</v>
      </c>
      <c r="G379" s="8">
        <f t="shared" si="12"/>
        <v>0</v>
      </c>
    </row>
    <row r="380" spans="1:7" x14ac:dyDescent="0.2">
      <c r="A380" s="32"/>
      <c r="B380" s="3">
        <v>312</v>
      </c>
      <c r="D380" s="7" t="s">
        <v>472</v>
      </c>
      <c r="E380" s="184">
        <v>853</v>
      </c>
      <c r="F380" s="184">
        <v>38</v>
      </c>
      <c r="G380" s="8">
        <f t="shared" si="12"/>
        <v>0</v>
      </c>
    </row>
    <row r="381" spans="1:7" x14ac:dyDescent="0.2">
      <c r="A381" s="32"/>
      <c r="B381" s="3">
        <v>313</v>
      </c>
      <c r="D381" s="7" t="s">
        <v>472</v>
      </c>
      <c r="E381" s="184">
        <v>854</v>
      </c>
      <c r="F381" s="184">
        <v>38</v>
      </c>
      <c r="G381" s="8">
        <f t="shared" si="12"/>
        <v>0</v>
      </c>
    </row>
    <row r="382" spans="1:7" x14ac:dyDescent="0.2">
      <c r="A382" s="32"/>
      <c r="B382" s="3">
        <v>314</v>
      </c>
      <c r="D382" s="7" t="s">
        <v>472</v>
      </c>
      <c r="E382" s="184">
        <v>855</v>
      </c>
      <c r="F382" s="184">
        <v>38</v>
      </c>
      <c r="G382" s="8">
        <f t="shared" si="12"/>
        <v>0</v>
      </c>
    </row>
    <row r="383" spans="1:7" x14ac:dyDescent="0.2">
      <c r="A383" s="32"/>
      <c r="B383" s="3">
        <v>315</v>
      </c>
      <c r="D383" s="7" t="s">
        <v>472</v>
      </c>
      <c r="E383" s="184">
        <v>898</v>
      </c>
      <c r="F383" s="184">
        <v>38</v>
      </c>
      <c r="G383" s="8">
        <f t="shared" si="12"/>
        <v>0</v>
      </c>
    </row>
    <row r="384" spans="1:7" x14ac:dyDescent="0.2">
      <c r="A384" s="32"/>
      <c r="B384" s="3">
        <v>316</v>
      </c>
      <c r="D384" s="7" t="s">
        <v>472</v>
      </c>
      <c r="E384" s="184">
        <v>899</v>
      </c>
      <c r="F384" s="184">
        <v>38</v>
      </c>
      <c r="G384" s="8">
        <f t="shared" ref="G384:G447" si="13">IF(AND(F384=$A$66,E384=$A$67),1,0)</f>
        <v>0</v>
      </c>
    </row>
    <row r="385" spans="1:7" x14ac:dyDescent="0.2">
      <c r="A385" s="32"/>
      <c r="B385" s="3">
        <v>317</v>
      </c>
      <c r="D385" s="7" t="s">
        <v>472</v>
      </c>
      <c r="E385" s="184">
        <v>942</v>
      </c>
      <c r="F385" s="184">
        <v>38</v>
      </c>
      <c r="G385" s="8">
        <f t="shared" si="13"/>
        <v>0</v>
      </c>
    </row>
    <row r="386" spans="1:7" x14ac:dyDescent="0.2">
      <c r="A386" s="32"/>
      <c r="B386" s="3">
        <v>318</v>
      </c>
      <c r="D386" s="7" t="s">
        <v>472</v>
      </c>
      <c r="E386" s="184">
        <v>943</v>
      </c>
      <c r="F386" s="184">
        <v>38</v>
      </c>
      <c r="G386" s="8">
        <f t="shared" si="13"/>
        <v>0</v>
      </c>
    </row>
    <row r="387" spans="1:7" x14ac:dyDescent="0.2">
      <c r="A387" s="32"/>
      <c r="B387" s="3">
        <v>319</v>
      </c>
      <c r="D387" s="7" t="s">
        <v>472</v>
      </c>
      <c r="E387" s="184">
        <v>987</v>
      </c>
      <c r="F387" s="184">
        <v>38</v>
      </c>
      <c r="G387" s="8">
        <f t="shared" si="13"/>
        <v>0</v>
      </c>
    </row>
    <row r="388" spans="1:7" x14ac:dyDescent="0.2">
      <c r="A388" s="32"/>
      <c r="B388" s="3">
        <v>320</v>
      </c>
      <c r="D388" s="7" t="s">
        <v>473</v>
      </c>
      <c r="E388" s="184">
        <v>1</v>
      </c>
      <c r="F388" s="184">
        <v>9</v>
      </c>
      <c r="G388" s="8">
        <f t="shared" si="13"/>
        <v>0</v>
      </c>
    </row>
    <row r="389" spans="1:7" x14ac:dyDescent="0.2">
      <c r="A389" s="32"/>
      <c r="B389" s="3">
        <v>321</v>
      </c>
      <c r="D389" s="7" t="s">
        <v>473</v>
      </c>
      <c r="E389" s="184">
        <v>2</v>
      </c>
      <c r="F389" s="184">
        <v>9</v>
      </c>
      <c r="G389" s="8">
        <f t="shared" si="13"/>
        <v>0</v>
      </c>
    </row>
    <row r="390" spans="1:7" x14ac:dyDescent="0.2">
      <c r="A390" s="32"/>
      <c r="B390" s="3">
        <v>322</v>
      </c>
      <c r="D390" s="7" t="s">
        <v>473</v>
      </c>
      <c r="E390" s="184">
        <v>3</v>
      </c>
      <c r="F390" s="184">
        <v>9</v>
      </c>
      <c r="G390" s="8">
        <f t="shared" si="13"/>
        <v>0</v>
      </c>
    </row>
    <row r="391" spans="1:7" x14ac:dyDescent="0.2">
      <c r="A391" s="32"/>
      <c r="B391" s="3">
        <v>323</v>
      </c>
      <c r="D391" s="7" t="s">
        <v>473</v>
      </c>
      <c r="E391" s="184">
        <v>6</v>
      </c>
      <c r="F391" s="184">
        <v>9</v>
      </c>
      <c r="G391" s="8">
        <f t="shared" si="13"/>
        <v>0</v>
      </c>
    </row>
    <row r="392" spans="1:7" x14ac:dyDescent="0.2">
      <c r="A392" s="32"/>
      <c r="B392" s="3">
        <v>324</v>
      </c>
      <c r="D392" s="7" t="s">
        <v>473</v>
      </c>
      <c r="E392" s="184">
        <v>7</v>
      </c>
      <c r="F392" s="184">
        <v>9</v>
      </c>
      <c r="G392" s="8">
        <f t="shared" si="13"/>
        <v>0</v>
      </c>
    </row>
    <row r="393" spans="1:7" x14ac:dyDescent="0.2">
      <c r="A393" s="32"/>
      <c r="B393" s="3">
        <v>325</v>
      </c>
      <c r="D393" s="7" t="s">
        <v>473</v>
      </c>
      <c r="E393" s="184">
        <v>15</v>
      </c>
      <c r="F393" s="184">
        <v>9</v>
      </c>
      <c r="G393" s="8">
        <f t="shared" si="13"/>
        <v>0</v>
      </c>
    </row>
    <row r="394" spans="1:7" x14ac:dyDescent="0.2">
      <c r="A394" s="32"/>
      <c r="B394" s="3">
        <v>326</v>
      </c>
      <c r="D394" s="7" t="s">
        <v>473</v>
      </c>
      <c r="E394" s="184">
        <v>18</v>
      </c>
      <c r="F394" s="184">
        <v>9</v>
      </c>
      <c r="G394" s="8">
        <f t="shared" si="13"/>
        <v>0</v>
      </c>
    </row>
    <row r="395" spans="1:7" x14ac:dyDescent="0.2">
      <c r="A395" s="32"/>
      <c r="B395" s="3">
        <v>327</v>
      </c>
      <c r="D395" s="7" t="s">
        <v>473</v>
      </c>
      <c r="E395" s="184">
        <v>28</v>
      </c>
      <c r="F395" s="184">
        <v>9</v>
      </c>
      <c r="G395" s="8">
        <f t="shared" si="13"/>
        <v>0</v>
      </c>
    </row>
    <row r="396" spans="1:7" x14ac:dyDescent="0.2">
      <c r="A396" s="32"/>
      <c r="B396" s="3">
        <v>328</v>
      </c>
      <c r="D396" s="7" t="s">
        <v>213</v>
      </c>
      <c r="E396" s="184">
        <v>1</v>
      </c>
      <c r="F396" s="184">
        <v>34</v>
      </c>
      <c r="G396" s="8">
        <f t="shared" si="13"/>
        <v>0</v>
      </c>
    </row>
    <row r="397" spans="1:7" x14ac:dyDescent="0.2">
      <c r="A397" s="32"/>
      <c r="B397" s="3">
        <v>329</v>
      </c>
      <c r="D397" s="7" t="s">
        <v>213</v>
      </c>
      <c r="E397" s="184">
        <v>2</v>
      </c>
      <c r="F397" s="184">
        <v>34</v>
      </c>
      <c r="G397" s="8">
        <f t="shared" si="13"/>
        <v>0</v>
      </c>
    </row>
    <row r="398" spans="1:7" x14ac:dyDescent="0.2">
      <c r="A398" s="32"/>
      <c r="B398" s="3">
        <v>330</v>
      </c>
      <c r="D398" s="7" t="s">
        <v>213</v>
      </c>
      <c r="E398" s="184">
        <v>3</v>
      </c>
      <c r="F398" s="184">
        <v>34</v>
      </c>
      <c r="G398" s="8">
        <f t="shared" si="13"/>
        <v>0</v>
      </c>
    </row>
    <row r="399" spans="1:7" x14ac:dyDescent="0.2">
      <c r="A399" s="32"/>
      <c r="B399" s="3">
        <v>331</v>
      </c>
      <c r="D399" s="7" t="s">
        <v>213</v>
      </c>
      <c r="E399" s="184">
        <v>4</v>
      </c>
      <c r="F399" s="184">
        <v>34</v>
      </c>
      <c r="G399" s="8">
        <f t="shared" si="13"/>
        <v>0</v>
      </c>
    </row>
    <row r="400" spans="1:7" x14ac:dyDescent="0.2">
      <c r="A400" s="32"/>
      <c r="B400" s="3">
        <v>332</v>
      </c>
      <c r="D400" s="7" t="s">
        <v>213</v>
      </c>
      <c r="E400" s="184">
        <v>5</v>
      </c>
      <c r="F400" s="184">
        <v>34</v>
      </c>
      <c r="G400" s="8">
        <f t="shared" si="13"/>
        <v>0</v>
      </c>
    </row>
    <row r="401" spans="1:7" x14ac:dyDescent="0.2">
      <c r="A401" s="32"/>
      <c r="B401" s="3">
        <v>333</v>
      </c>
      <c r="D401" s="7" t="s">
        <v>213</v>
      </c>
      <c r="E401" s="184">
        <v>6</v>
      </c>
      <c r="F401" s="184">
        <v>34</v>
      </c>
      <c r="G401" s="8">
        <f t="shared" si="13"/>
        <v>0</v>
      </c>
    </row>
    <row r="402" spans="1:7" x14ac:dyDescent="0.2">
      <c r="A402" s="32"/>
      <c r="B402" s="3">
        <v>334</v>
      </c>
      <c r="D402" s="7" t="s">
        <v>213</v>
      </c>
      <c r="E402" s="184">
        <v>7</v>
      </c>
      <c r="F402" s="184">
        <v>34</v>
      </c>
      <c r="G402" s="8">
        <f t="shared" si="13"/>
        <v>0</v>
      </c>
    </row>
    <row r="403" spans="1:7" x14ac:dyDescent="0.2">
      <c r="A403" s="32"/>
      <c r="B403" s="3">
        <v>335</v>
      </c>
      <c r="D403" s="7" t="s">
        <v>213</v>
      </c>
      <c r="E403" s="184">
        <v>8</v>
      </c>
      <c r="F403" s="184">
        <v>34</v>
      </c>
      <c r="G403" s="8">
        <f t="shared" si="13"/>
        <v>0</v>
      </c>
    </row>
    <row r="404" spans="1:7" x14ac:dyDescent="0.2">
      <c r="A404" s="32"/>
      <c r="B404" s="3">
        <v>336</v>
      </c>
      <c r="D404" s="7" t="s">
        <v>213</v>
      </c>
      <c r="E404" s="184">
        <v>9</v>
      </c>
      <c r="F404" s="184">
        <v>34</v>
      </c>
      <c r="G404" s="8">
        <f t="shared" si="13"/>
        <v>0</v>
      </c>
    </row>
    <row r="405" spans="1:7" x14ac:dyDescent="0.2">
      <c r="A405" s="32"/>
      <c r="B405" s="3">
        <v>337</v>
      </c>
      <c r="D405" s="7" t="s">
        <v>213</v>
      </c>
      <c r="E405" s="184">
        <v>10</v>
      </c>
      <c r="F405" s="184">
        <v>34</v>
      </c>
      <c r="G405" s="8">
        <f t="shared" si="13"/>
        <v>0</v>
      </c>
    </row>
    <row r="406" spans="1:7" x14ac:dyDescent="0.2">
      <c r="A406" s="32"/>
      <c r="B406" s="3">
        <v>338</v>
      </c>
      <c r="D406" s="7" t="s">
        <v>213</v>
      </c>
      <c r="E406" s="184">
        <v>11</v>
      </c>
      <c r="F406" s="184">
        <v>34</v>
      </c>
      <c r="G406" s="8">
        <f t="shared" si="13"/>
        <v>0</v>
      </c>
    </row>
    <row r="407" spans="1:7" x14ac:dyDescent="0.2">
      <c r="A407" s="32"/>
      <c r="B407" s="3">
        <v>339</v>
      </c>
      <c r="D407" s="7" t="s">
        <v>213</v>
      </c>
      <c r="E407" s="184">
        <v>12</v>
      </c>
      <c r="F407" s="184">
        <v>34</v>
      </c>
      <c r="G407" s="8">
        <f t="shared" si="13"/>
        <v>0</v>
      </c>
    </row>
    <row r="408" spans="1:7" x14ac:dyDescent="0.2">
      <c r="A408" s="32"/>
      <c r="B408" s="3">
        <v>340</v>
      </c>
      <c r="D408" s="7" t="s">
        <v>213</v>
      </c>
      <c r="E408" s="184">
        <v>13</v>
      </c>
      <c r="F408" s="184">
        <v>34</v>
      </c>
      <c r="G408" s="8">
        <f t="shared" si="13"/>
        <v>0</v>
      </c>
    </row>
    <row r="409" spans="1:7" x14ac:dyDescent="0.2">
      <c r="A409" s="32"/>
      <c r="B409" s="3">
        <v>341</v>
      </c>
      <c r="D409" s="7" t="s">
        <v>213</v>
      </c>
      <c r="E409" s="184">
        <v>14</v>
      </c>
      <c r="F409" s="184">
        <v>34</v>
      </c>
      <c r="G409" s="8">
        <f t="shared" si="13"/>
        <v>0</v>
      </c>
    </row>
    <row r="410" spans="1:7" x14ac:dyDescent="0.2">
      <c r="A410" s="32"/>
      <c r="B410" s="3">
        <v>342</v>
      </c>
      <c r="D410" s="7" t="s">
        <v>213</v>
      </c>
      <c r="E410" s="184">
        <v>15</v>
      </c>
      <c r="F410" s="184">
        <v>34</v>
      </c>
      <c r="G410" s="8">
        <f t="shared" si="13"/>
        <v>0</v>
      </c>
    </row>
    <row r="411" spans="1:7" x14ac:dyDescent="0.2">
      <c r="A411" s="32"/>
      <c r="B411" s="3">
        <v>343</v>
      </c>
      <c r="D411" s="7" t="s">
        <v>213</v>
      </c>
      <c r="E411" s="184">
        <v>16</v>
      </c>
      <c r="F411" s="184">
        <v>34</v>
      </c>
      <c r="G411" s="8">
        <f t="shared" si="13"/>
        <v>0</v>
      </c>
    </row>
    <row r="412" spans="1:7" x14ac:dyDescent="0.2">
      <c r="A412" s="32"/>
      <c r="B412" s="3">
        <v>344</v>
      </c>
      <c r="D412" s="7" t="s">
        <v>213</v>
      </c>
      <c r="E412" s="184">
        <v>17</v>
      </c>
      <c r="F412" s="184">
        <v>34</v>
      </c>
      <c r="G412" s="8">
        <f t="shared" si="13"/>
        <v>0</v>
      </c>
    </row>
    <row r="413" spans="1:7" x14ac:dyDescent="0.2">
      <c r="A413" s="32"/>
      <c r="B413" s="3">
        <v>345</v>
      </c>
      <c r="D413" s="7" t="s">
        <v>213</v>
      </c>
      <c r="E413" s="184">
        <v>18</v>
      </c>
      <c r="F413" s="184">
        <v>34</v>
      </c>
      <c r="G413" s="8">
        <f t="shared" si="13"/>
        <v>0</v>
      </c>
    </row>
    <row r="414" spans="1:7" x14ac:dyDescent="0.2">
      <c r="A414" s="32"/>
      <c r="B414" s="3">
        <v>346</v>
      </c>
      <c r="D414" s="7" t="s">
        <v>213</v>
      </c>
      <c r="E414" s="184">
        <v>19</v>
      </c>
      <c r="F414" s="184">
        <v>34</v>
      </c>
      <c r="G414" s="8">
        <f t="shared" si="13"/>
        <v>0</v>
      </c>
    </row>
    <row r="415" spans="1:7" x14ac:dyDescent="0.2">
      <c r="A415" s="32"/>
      <c r="B415" s="3">
        <v>347</v>
      </c>
      <c r="D415" s="7" t="s">
        <v>213</v>
      </c>
      <c r="E415" s="184">
        <v>20</v>
      </c>
      <c r="F415" s="184">
        <v>34</v>
      </c>
      <c r="G415" s="8">
        <f t="shared" si="13"/>
        <v>0</v>
      </c>
    </row>
    <row r="416" spans="1:7" x14ac:dyDescent="0.2">
      <c r="A416" s="32"/>
      <c r="B416" s="3">
        <v>348</v>
      </c>
      <c r="D416" s="7" t="s">
        <v>213</v>
      </c>
      <c r="E416" s="184">
        <v>21</v>
      </c>
      <c r="F416" s="184">
        <v>34</v>
      </c>
      <c r="G416" s="8">
        <f t="shared" si="13"/>
        <v>0</v>
      </c>
    </row>
    <row r="417" spans="1:7" x14ac:dyDescent="0.2">
      <c r="A417" s="32"/>
      <c r="B417" s="3">
        <v>349</v>
      </c>
      <c r="D417" s="7" t="s">
        <v>213</v>
      </c>
      <c r="E417" s="184">
        <v>22</v>
      </c>
      <c r="F417" s="184">
        <v>34</v>
      </c>
      <c r="G417" s="8">
        <f t="shared" si="13"/>
        <v>0</v>
      </c>
    </row>
    <row r="418" spans="1:7" x14ac:dyDescent="0.2">
      <c r="A418" s="32"/>
      <c r="B418" s="3">
        <v>350</v>
      </c>
      <c r="D418" s="7" t="s">
        <v>213</v>
      </c>
      <c r="E418" s="184">
        <v>23</v>
      </c>
      <c r="F418" s="184">
        <v>34</v>
      </c>
      <c r="G418" s="8">
        <f t="shared" si="13"/>
        <v>0</v>
      </c>
    </row>
    <row r="419" spans="1:7" x14ac:dyDescent="0.2">
      <c r="A419" s="32"/>
      <c r="B419" s="3">
        <v>351</v>
      </c>
      <c r="D419" s="7" t="s">
        <v>213</v>
      </c>
      <c r="E419" s="184">
        <v>24</v>
      </c>
      <c r="F419" s="184">
        <v>34</v>
      </c>
      <c r="G419" s="8">
        <f t="shared" si="13"/>
        <v>0</v>
      </c>
    </row>
    <row r="420" spans="1:7" x14ac:dyDescent="0.2">
      <c r="A420" s="32"/>
      <c r="B420" s="3">
        <v>352</v>
      </c>
      <c r="D420" s="7" t="s">
        <v>213</v>
      </c>
      <c r="E420" s="184">
        <v>25</v>
      </c>
      <c r="F420" s="184">
        <v>34</v>
      </c>
      <c r="G420" s="8">
        <f t="shared" si="13"/>
        <v>0</v>
      </c>
    </row>
    <row r="421" spans="1:7" x14ac:dyDescent="0.2">
      <c r="A421" s="32"/>
      <c r="B421" s="3">
        <v>353</v>
      </c>
      <c r="D421" s="7" t="s">
        <v>213</v>
      </c>
      <c r="E421" s="184">
        <v>26</v>
      </c>
      <c r="F421" s="184">
        <v>34</v>
      </c>
      <c r="G421" s="8">
        <f t="shared" si="13"/>
        <v>0</v>
      </c>
    </row>
    <row r="422" spans="1:7" x14ac:dyDescent="0.2">
      <c r="A422" s="32"/>
      <c r="B422" s="3">
        <v>354</v>
      </c>
      <c r="D422" s="7" t="s">
        <v>213</v>
      </c>
      <c r="E422" s="184">
        <v>27</v>
      </c>
      <c r="F422" s="184">
        <v>34</v>
      </c>
      <c r="G422" s="8">
        <f t="shared" si="13"/>
        <v>0</v>
      </c>
    </row>
    <row r="423" spans="1:7" x14ac:dyDescent="0.2">
      <c r="A423" s="32"/>
      <c r="B423" s="3">
        <v>355</v>
      </c>
      <c r="D423" s="7" t="s">
        <v>213</v>
      </c>
      <c r="E423" s="184">
        <v>28</v>
      </c>
      <c r="F423" s="184">
        <v>34</v>
      </c>
      <c r="G423" s="8">
        <f t="shared" si="13"/>
        <v>0</v>
      </c>
    </row>
    <row r="424" spans="1:7" x14ac:dyDescent="0.2">
      <c r="A424" s="32"/>
      <c r="B424" s="3">
        <v>356</v>
      </c>
      <c r="D424" s="7" t="s">
        <v>213</v>
      </c>
      <c r="E424" s="184">
        <v>29</v>
      </c>
      <c r="F424" s="184">
        <v>34</v>
      </c>
      <c r="G424" s="8">
        <f t="shared" si="13"/>
        <v>0</v>
      </c>
    </row>
    <row r="425" spans="1:7" x14ac:dyDescent="0.2">
      <c r="A425" s="32"/>
      <c r="B425" s="3">
        <v>357</v>
      </c>
      <c r="D425" s="7" t="s">
        <v>213</v>
      </c>
      <c r="E425" s="184">
        <v>30</v>
      </c>
      <c r="F425" s="184">
        <v>34</v>
      </c>
      <c r="G425" s="8">
        <f t="shared" si="13"/>
        <v>0</v>
      </c>
    </row>
    <row r="426" spans="1:7" x14ac:dyDescent="0.2">
      <c r="A426" s="32"/>
      <c r="B426" s="3">
        <v>358</v>
      </c>
      <c r="D426" s="7" t="s">
        <v>213</v>
      </c>
      <c r="E426" s="184">
        <v>31</v>
      </c>
      <c r="F426" s="184">
        <v>34</v>
      </c>
      <c r="G426" s="8">
        <f t="shared" si="13"/>
        <v>0</v>
      </c>
    </row>
    <row r="427" spans="1:7" x14ac:dyDescent="0.2">
      <c r="A427" s="32"/>
      <c r="B427" s="3">
        <v>359</v>
      </c>
      <c r="D427" s="7" t="s">
        <v>213</v>
      </c>
      <c r="E427" s="184">
        <v>32</v>
      </c>
      <c r="F427" s="184">
        <v>34</v>
      </c>
      <c r="G427" s="8">
        <f t="shared" si="13"/>
        <v>0</v>
      </c>
    </row>
    <row r="428" spans="1:7" x14ac:dyDescent="0.2">
      <c r="A428" s="32"/>
      <c r="B428" s="3">
        <v>360</v>
      </c>
      <c r="D428" s="7" t="s">
        <v>213</v>
      </c>
      <c r="E428" s="184">
        <v>33</v>
      </c>
      <c r="F428" s="184">
        <v>34</v>
      </c>
      <c r="G428" s="8">
        <f t="shared" si="13"/>
        <v>0</v>
      </c>
    </row>
    <row r="429" spans="1:7" x14ac:dyDescent="0.2">
      <c r="A429" s="32"/>
      <c r="B429" s="3">
        <v>361</v>
      </c>
      <c r="D429" s="7" t="s">
        <v>213</v>
      </c>
      <c r="E429" s="184">
        <v>34</v>
      </c>
      <c r="F429" s="184">
        <v>34</v>
      </c>
      <c r="G429" s="8">
        <f t="shared" si="13"/>
        <v>0</v>
      </c>
    </row>
    <row r="430" spans="1:7" x14ac:dyDescent="0.2">
      <c r="A430" s="32"/>
      <c r="B430" s="3">
        <v>362</v>
      </c>
      <c r="D430" s="7" t="s">
        <v>213</v>
      </c>
      <c r="E430" s="184">
        <v>35</v>
      </c>
      <c r="F430" s="184">
        <v>34</v>
      </c>
      <c r="G430" s="8">
        <f t="shared" si="13"/>
        <v>0</v>
      </c>
    </row>
    <row r="431" spans="1:7" x14ac:dyDescent="0.2">
      <c r="A431" s="32"/>
      <c r="B431" s="3">
        <v>363</v>
      </c>
      <c r="D431" s="7" t="s">
        <v>213</v>
      </c>
      <c r="E431" s="184">
        <v>36</v>
      </c>
      <c r="F431" s="184">
        <v>34</v>
      </c>
      <c r="G431" s="8">
        <f t="shared" si="13"/>
        <v>0</v>
      </c>
    </row>
    <row r="432" spans="1:7" x14ac:dyDescent="0.2">
      <c r="A432" s="32"/>
      <c r="B432" s="3">
        <v>364</v>
      </c>
      <c r="D432" s="7" t="s">
        <v>213</v>
      </c>
      <c r="E432" s="184">
        <v>37</v>
      </c>
      <c r="F432" s="184">
        <v>34</v>
      </c>
      <c r="G432" s="8">
        <f t="shared" si="13"/>
        <v>0</v>
      </c>
    </row>
    <row r="433" spans="1:7" x14ac:dyDescent="0.2">
      <c r="A433" s="32"/>
      <c r="B433" s="3">
        <v>365</v>
      </c>
      <c r="D433" s="7" t="s">
        <v>213</v>
      </c>
      <c r="E433" s="184">
        <v>38</v>
      </c>
      <c r="F433" s="184">
        <v>34</v>
      </c>
      <c r="G433" s="8">
        <f t="shared" si="13"/>
        <v>0</v>
      </c>
    </row>
    <row r="434" spans="1:7" x14ac:dyDescent="0.2">
      <c r="A434" s="32"/>
      <c r="B434" s="3">
        <v>366</v>
      </c>
      <c r="D434" s="7" t="s">
        <v>213</v>
      </c>
      <c r="E434" s="184">
        <v>39</v>
      </c>
      <c r="F434" s="184">
        <v>34</v>
      </c>
      <c r="G434" s="8">
        <f t="shared" si="13"/>
        <v>0</v>
      </c>
    </row>
    <row r="435" spans="1:7" x14ac:dyDescent="0.2">
      <c r="A435" s="32"/>
      <c r="B435" s="3">
        <v>367</v>
      </c>
      <c r="D435" s="7" t="s">
        <v>213</v>
      </c>
      <c r="E435" s="184">
        <v>40</v>
      </c>
      <c r="F435" s="184">
        <v>34</v>
      </c>
      <c r="G435" s="8">
        <f t="shared" si="13"/>
        <v>0</v>
      </c>
    </row>
    <row r="436" spans="1:7" x14ac:dyDescent="0.2">
      <c r="A436" s="32"/>
      <c r="B436" s="3">
        <v>368</v>
      </c>
      <c r="D436" s="7" t="s">
        <v>213</v>
      </c>
      <c r="E436" s="184">
        <v>41</v>
      </c>
      <c r="F436" s="184">
        <v>34</v>
      </c>
      <c r="G436" s="8">
        <f t="shared" si="13"/>
        <v>0</v>
      </c>
    </row>
    <row r="437" spans="1:7" x14ac:dyDescent="0.2">
      <c r="A437" s="32"/>
      <c r="B437" s="3">
        <v>369</v>
      </c>
      <c r="D437" s="7" t="s">
        <v>213</v>
      </c>
      <c r="E437" s="184">
        <v>42</v>
      </c>
      <c r="F437" s="184">
        <v>34</v>
      </c>
      <c r="G437" s="8">
        <f t="shared" si="13"/>
        <v>0</v>
      </c>
    </row>
    <row r="438" spans="1:7" x14ac:dyDescent="0.2">
      <c r="A438" s="32"/>
      <c r="B438" s="3">
        <v>370</v>
      </c>
      <c r="D438" s="7" t="s">
        <v>213</v>
      </c>
      <c r="E438" s="184">
        <v>43</v>
      </c>
      <c r="F438" s="184">
        <v>34</v>
      </c>
      <c r="G438" s="8">
        <f t="shared" si="13"/>
        <v>0</v>
      </c>
    </row>
    <row r="439" spans="1:7" x14ac:dyDescent="0.2">
      <c r="A439" s="32"/>
      <c r="B439" s="3">
        <v>371</v>
      </c>
      <c r="D439" s="7" t="s">
        <v>213</v>
      </c>
      <c r="E439" s="184">
        <v>44</v>
      </c>
      <c r="F439" s="184">
        <v>34</v>
      </c>
      <c r="G439" s="8">
        <f t="shared" si="13"/>
        <v>0</v>
      </c>
    </row>
    <row r="440" spans="1:7" x14ac:dyDescent="0.2">
      <c r="A440" s="32"/>
      <c r="B440" s="3">
        <v>372</v>
      </c>
      <c r="D440" s="7" t="s">
        <v>213</v>
      </c>
      <c r="E440" s="184">
        <v>45</v>
      </c>
      <c r="F440" s="184">
        <v>34</v>
      </c>
      <c r="G440" s="8">
        <f t="shared" si="13"/>
        <v>0</v>
      </c>
    </row>
    <row r="441" spans="1:7" x14ac:dyDescent="0.2">
      <c r="A441" s="32"/>
      <c r="B441" s="3">
        <v>373</v>
      </c>
      <c r="D441" s="7" t="s">
        <v>213</v>
      </c>
      <c r="E441" s="184">
        <v>46</v>
      </c>
      <c r="F441" s="184">
        <v>34</v>
      </c>
      <c r="G441" s="8">
        <f t="shared" si="13"/>
        <v>0</v>
      </c>
    </row>
    <row r="442" spans="1:7" x14ac:dyDescent="0.2">
      <c r="A442" s="32"/>
      <c r="B442" s="3">
        <v>374</v>
      </c>
      <c r="D442" s="7" t="s">
        <v>213</v>
      </c>
      <c r="E442" s="184">
        <v>47</v>
      </c>
      <c r="F442" s="184">
        <v>34</v>
      </c>
      <c r="G442" s="8">
        <f t="shared" si="13"/>
        <v>0</v>
      </c>
    </row>
    <row r="443" spans="1:7" x14ac:dyDescent="0.2">
      <c r="A443" s="32"/>
      <c r="B443" s="3">
        <v>375</v>
      </c>
      <c r="D443" s="7" t="s">
        <v>213</v>
      </c>
      <c r="E443" s="184">
        <v>48</v>
      </c>
      <c r="F443" s="184">
        <v>34</v>
      </c>
      <c r="G443" s="8">
        <f t="shared" si="13"/>
        <v>0</v>
      </c>
    </row>
    <row r="444" spans="1:7" x14ac:dyDescent="0.2">
      <c r="A444" s="32"/>
      <c r="B444" s="3">
        <v>376</v>
      </c>
      <c r="D444" s="7" t="s">
        <v>213</v>
      </c>
      <c r="E444" s="184">
        <v>49</v>
      </c>
      <c r="F444" s="184">
        <v>34</v>
      </c>
      <c r="G444" s="8">
        <f t="shared" si="13"/>
        <v>0</v>
      </c>
    </row>
    <row r="445" spans="1:7" x14ac:dyDescent="0.2">
      <c r="A445" s="32"/>
      <c r="B445" s="3">
        <v>377</v>
      </c>
      <c r="D445" s="7" t="s">
        <v>213</v>
      </c>
      <c r="E445" s="184">
        <v>50</v>
      </c>
      <c r="F445" s="184">
        <v>34</v>
      </c>
      <c r="G445" s="8">
        <f t="shared" si="13"/>
        <v>0</v>
      </c>
    </row>
    <row r="446" spans="1:7" x14ac:dyDescent="0.2">
      <c r="A446" s="32"/>
      <c r="B446" s="3">
        <v>378</v>
      </c>
      <c r="D446" s="7" t="s">
        <v>213</v>
      </c>
      <c r="E446" s="184">
        <v>51</v>
      </c>
      <c r="F446" s="184">
        <v>34</v>
      </c>
      <c r="G446" s="8">
        <f t="shared" si="13"/>
        <v>0</v>
      </c>
    </row>
    <row r="447" spans="1:7" x14ac:dyDescent="0.2">
      <c r="A447" s="32"/>
      <c r="B447" s="3">
        <v>379</v>
      </c>
      <c r="D447" s="7" t="s">
        <v>213</v>
      </c>
      <c r="E447" s="184">
        <v>52</v>
      </c>
      <c r="F447" s="184">
        <v>34</v>
      </c>
      <c r="G447" s="8">
        <f t="shared" si="13"/>
        <v>0</v>
      </c>
    </row>
    <row r="448" spans="1:7" x14ac:dyDescent="0.2">
      <c r="A448" s="32"/>
      <c r="B448" s="3">
        <v>380</v>
      </c>
      <c r="D448" s="7" t="s">
        <v>213</v>
      </c>
      <c r="E448" s="184">
        <v>53</v>
      </c>
      <c r="F448" s="184">
        <v>34</v>
      </c>
      <c r="G448" s="8">
        <f t="shared" ref="G448:G470" si="14">IF(AND(F448=$A$66,E448=$A$67),1,0)</f>
        <v>0</v>
      </c>
    </row>
    <row r="449" spans="1:7" x14ac:dyDescent="0.2">
      <c r="A449" s="32"/>
      <c r="B449" s="3">
        <v>381</v>
      </c>
      <c r="D449" s="7" t="s">
        <v>213</v>
      </c>
      <c r="E449" s="184">
        <v>54</v>
      </c>
      <c r="F449" s="184">
        <v>34</v>
      </c>
      <c r="G449" s="8">
        <f t="shared" si="14"/>
        <v>0</v>
      </c>
    </row>
    <row r="450" spans="1:7" x14ac:dyDescent="0.2">
      <c r="A450" s="32"/>
      <c r="B450" s="3">
        <v>382</v>
      </c>
      <c r="D450" s="7" t="s">
        <v>213</v>
      </c>
      <c r="E450" s="184">
        <v>55</v>
      </c>
      <c r="F450" s="184">
        <v>34</v>
      </c>
      <c r="G450" s="8">
        <f t="shared" si="14"/>
        <v>0</v>
      </c>
    </row>
    <row r="451" spans="1:7" x14ac:dyDescent="0.2">
      <c r="A451" s="32"/>
      <c r="B451" s="3">
        <v>383</v>
      </c>
      <c r="D451" s="7" t="s">
        <v>213</v>
      </c>
      <c r="E451" s="184">
        <v>56</v>
      </c>
      <c r="F451" s="184">
        <v>34</v>
      </c>
      <c r="G451" s="8">
        <f t="shared" si="14"/>
        <v>0</v>
      </c>
    </row>
    <row r="452" spans="1:7" x14ac:dyDescent="0.2">
      <c r="A452" s="32"/>
      <c r="B452" s="3">
        <v>384</v>
      </c>
      <c r="D452" s="7" t="s">
        <v>213</v>
      </c>
      <c r="E452" s="184">
        <v>57</v>
      </c>
      <c r="F452" s="184">
        <v>34</v>
      </c>
      <c r="G452" s="8">
        <f t="shared" si="14"/>
        <v>0</v>
      </c>
    </row>
    <row r="453" spans="1:7" x14ac:dyDescent="0.2">
      <c r="A453" s="32"/>
      <c r="B453" s="3">
        <v>385</v>
      </c>
      <c r="D453" s="7" t="s">
        <v>213</v>
      </c>
      <c r="E453" s="184">
        <v>58</v>
      </c>
      <c r="F453" s="184">
        <v>34</v>
      </c>
      <c r="G453" s="8">
        <f t="shared" si="14"/>
        <v>0</v>
      </c>
    </row>
    <row r="454" spans="1:7" x14ac:dyDescent="0.2">
      <c r="A454" s="32"/>
      <c r="B454" s="3">
        <v>386</v>
      </c>
      <c r="D454" s="7" t="s">
        <v>213</v>
      </c>
      <c r="E454" s="184">
        <v>59</v>
      </c>
      <c r="F454" s="184">
        <v>34</v>
      </c>
      <c r="G454" s="8">
        <f t="shared" si="14"/>
        <v>0</v>
      </c>
    </row>
    <row r="455" spans="1:7" x14ac:dyDescent="0.2">
      <c r="A455" s="32"/>
      <c r="B455" s="3">
        <v>387</v>
      </c>
      <c r="D455" s="7" t="s">
        <v>213</v>
      </c>
      <c r="E455" s="184">
        <v>60</v>
      </c>
      <c r="F455" s="184">
        <v>34</v>
      </c>
      <c r="G455" s="8">
        <f t="shared" si="14"/>
        <v>0</v>
      </c>
    </row>
    <row r="456" spans="1:7" x14ac:dyDescent="0.2">
      <c r="A456" s="32"/>
      <c r="B456" s="3">
        <v>388</v>
      </c>
      <c r="D456" s="7" t="s">
        <v>213</v>
      </c>
      <c r="E456" s="184">
        <v>61</v>
      </c>
      <c r="F456" s="184">
        <v>34</v>
      </c>
      <c r="G456" s="8">
        <f t="shared" si="14"/>
        <v>0</v>
      </c>
    </row>
    <row r="457" spans="1:7" x14ac:dyDescent="0.2">
      <c r="A457" s="32"/>
      <c r="B457" s="3">
        <v>389</v>
      </c>
      <c r="D457" s="7" t="s">
        <v>213</v>
      </c>
      <c r="E457" s="184">
        <v>62</v>
      </c>
      <c r="F457" s="184">
        <v>34</v>
      </c>
      <c r="G457" s="8">
        <f t="shared" si="14"/>
        <v>0</v>
      </c>
    </row>
    <row r="458" spans="1:7" x14ac:dyDescent="0.2">
      <c r="A458" s="32"/>
      <c r="B458" s="3">
        <v>390</v>
      </c>
      <c r="D458" s="7" t="s">
        <v>213</v>
      </c>
      <c r="E458" s="184">
        <v>63</v>
      </c>
      <c r="F458" s="184">
        <v>34</v>
      </c>
      <c r="G458" s="8">
        <f t="shared" si="14"/>
        <v>0</v>
      </c>
    </row>
    <row r="459" spans="1:7" x14ac:dyDescent="0.2">
      <c r="A459" s="32"/>
      <c r="B459" s="3">
        <v>391</v>
      </c>
      <c r="D459" s="7" t="s">
        <v>213</v>
      </c>
      <c r="E459" s="184">
        <v>64</v>
      </c>
      <c r="F459" s="184">
        <v>34</v>
      </c>
      <c r="G459" s="8">
        <f t="shared" si="14"/>
        <v>0</v>
      </c>
    </row>
    <row r="460" spans="1:7" x14ac:dyDescent="0.2">
      <c r="A460" s="32"/>
      <c r="B460" s="3">
        <v>392</v>
      </c>
      <c r="D460" s="7" t="s">
        <v>213</v>
      </c>
      <c r="E460" s="184">
        <v>65</v>
      </c>
      <c r="F460" s="184">
        <v>34</v>
      </c>
      <c r="G460" s="8">
        <f t="shared" si="14"/>
        <v>0</v>
      </c>
    </row>
    <row r="461" spans="1:7" x14ac:dyDescent="0.2">
      <c r="A461" s="32"/>
      <c r="B461" s="3">
        <v>393</v>
      </c>
      <c r="D461" s="7" t="s">
        <v>213</v>
      </c>
      <c r="E461" s="184">
        <v>66</v>
      </c>
      <c r="F461" s="184">
        <v>34</v>
      </c>
      <c r="G461" s="8">
        <f t="shared" si="14"/>
        <v>0</v>
      </c>
    </row>
    <row r="462" spans="1:7" x14ac:dyDescent="0.2">
      <c r="A462" s="32"/>
      <c r="B462" s="3">
        <v>394</v>
      </c>
      <c r="D462" s="7" t="s">
        <v>213</v>
      </c>
      <c r="E462" s="184">
        <v>67</v>
      </c>
      <c r="F462" s="184">
        <v>34</v>
      </c>
      <c r="G462" s="8">
        <f t="shared" si="14"/>
        <v>0</v>
      </c>
    </row>
    <row r="463" spans="1:7" x14ac:dyDescent="0.2">
      <c r="A463" s="32"/>
      <c r="B463" s="3">
        <v>395</v>
      </c>
      <c r="D463" s="7" t="s">
        <v>213</v>
      </c>
      <c r="E463" s="184">
        <v>68</v>
      </c>
      <c r="F463" s="184">
        <v>34</v>
      </c>
      <c r="G463" s="8">
        <f t="shared" si="14"/>
        <v>0</v>
      </c>
    </row>
    <row r="464" spans="1:7" x14ac:dyDescent="0.2">
      <c r="A464" s="32"/>
      <c r="B464" s="3">
        <v>396</v>
      </c>
      <c r="D464" s="7" t="s">
        <v>213</v>
      </c>
      <c r="E464" s="184">
        <v>69</v>
      </c>
      <c r="F464" s="184">
        <v>34</v>
      </c>
      <c r="G464" s="8">
        <f t="shared" si="14"/>
        <v>0</v>
      </c>
    </row>
    <row r="465" spans="1:7" x14ac:dyDescent="0.2">
      <c r="A465" s="32"/>
      <c r="B465" s="3">
        <v>397</v>
      </c>
      <c r="D465" s="7" t="s">
        <v>213</v>
      </c>
      <c r="E465" s="184">
        <v>70</v>
      </c>
      <c r="F465" s="184">
        <v>34</v>
      </c>
      <c r="G465" s="8">
        <f t="shared" si="14"/>
        <v>0</v>
      </c>
    </row>
    <row r="466" spans="1:7" x14ac:dyDescent="0.2">
      <c r="A466" s="32"/>
      <c r="B466" s="3">
        <v>398</v>
      </c>
      <c r="D466" s="7" t="s">
        <v>213</v>
      </c>
      <c r="E466" s="184">
        <v>71</v>
      </c>
      <c r="F466" s="184">
        <v>34</v>
      </c>
      <c r="G466" s="8">
        <f t="shared" si="14"/>
        <v>0</v>
      </c>
    </row>
    <row r="467" spans="1:7" x14ac:dyDescent="0.2">
      <c r="A467" s="32"/>
      <c r="B467" s="3">
        <v>399</v>
      </c>
      <c r="D467" s="7" t="s">
        <v>213</v>
      </c>
      <c r="E467" s="184">
        <v>72</v>
      </c>
      <c r="F467" s="184">
        <v>34</v>
      </c>
      <c r="G467" s="8">
        <f t="shared" si="14"/>
        <v>0</v>
      </c>
    </row>
    <row r="468" spans="1:7" x14ac:dyDescent="0.2">
      <c r="A468" s="32"/>
      <c r="B468" s="3">
        <v>400</v>
      </c>
      <c r="D468" s="7" t="s">
        <v>213</v>
      </c>
      <c r="E468" s="184">
        <v>75</v>
      </c>
      <c r="F468" s="184">
        <v>34</v>
      </c>
      <c r="G468" s="8">
        <f t="shared" si="14"/>
        <v>0</v>
      </c>
    </row>
    <row r="469" spans="1:7" x14ac:dyDescent="0.2">
      <c r="A469" s="32"/>
      <c r="B469" s="3">
        <v>401</v>
      </c>
      <c r="D469" s="7" t="s">
        <v>213</v>
      </c>
      <c r="E469" s="184">
        <v>76</v>
      </c>
      <c r="F469" s="184">
        <v>34</v>
      </c>
      <c r="G469" s="8">
        <f t="shared" si="14"/>
        <v>0</v>
      </c>
    </row>
    <row r="470" spans="1:7" x14ac:dyDescent="0.2">
      <c r="A470" s="32"/>
      <c r="B470" s="3">
        <v>402</v>
      </c>
      <c r="D470" s="7" t="s">
        <v>213</v>
      </c>
      <c r="E470" s="184">
        <v>79</v>
      </c>
      <c r="F470" s="184">
        <v>34</v>
      </c>
      <c r="G470" s="8">
        <f t="shared" si="14"/>
        <v>0</v>
      </c>
    </row>
    <row r="471" spans="1:7" ht="13.5" thickBot="1" x14ac:dyDescent="0.25">
      <c r="A471" s="32"/>
      <c r="B471" s="3">
        <v>403</v>
      </c>
      <c r="D471" s="582" t="s">
        <v>222</v>
      </c>
      <c r="E471" s="584"/>
      <c r="F471" s="584"/>
      <c r="G471" s="585">
        <f>SUM(G64:G470)</f>
        <v>0</v>
      </c>
    </row>
    <row r="472" spans="1:7" ht="13.5" thickTop="1" x14ac:dyDescent="0.2">
      <c r="A472" s="32"/>
      <c r="B472" s="3">
        <v>404</v>
      </c>
      <c r="D472" t="s">
        <v>222</v>
      </c>
    </row>
    <row r="473" spans="1:7" x14ac:dyDescent="0.2">
      <c r="A473" s="32"/>
      <c r="B473" s="3">
        <v>405</v>
      </c>
      <c r="D473" t="s">
        <v>222</v>
      </c>
    </row>
    <row r="474" spans="1:7" x14ac:dyDescent="0.2">
      <c r="A474" s="32"/>
      <c r="B474" s="3">
        <v>406</v>
      </c>
    </row>
    <row r="475" spans="1:7" x14ac:dyDescent="0.2">
      <c r="A475" s="32"/>
      <c r="B475" s="3">
        <v>407</v>
      </c>
    </row>
    <row r="476" spans="1:7" x14ac:dyDescent="0.2">
      <c r="A476" s="32"/>
      <c r="B476" s="3">
        <v>408</v>
      </c>
    </row>
    <row r="477" spans="1:7" x14ac:dyDescent="0.2">
      <c r="A477" s="32"/>
      <c r="B477" s="3">
        <v>409</v>
      </c>
    </row>
    <row r="478" spans="1:7" x14ac:dyDescent="0.2">
      <c r="A478" s="32"/>
      <c r="B478" s="3">
        <v>410</v>
      </c>
    </row>
    <row r="479" spans="1:7" x14ac:dyDescent="0.2">
      <c r="A479" s="32"/>
      <c r="B479" s="3">
        <v>411</v>
      </c>
    </row>
    <row r="480" spans="1:7" x14ac:dyDescent="0.2">
      <c r="A480" s="32"/>
      <c r="B480" s="3">
        <v>412</v>
      </c>
    </row>
    <row r="481" spans="1:2" x14ac:dyDescent="0.2">
      <c r="A481" s="32"/>
      <c r="B481" s="3">
        <v>413</v>
      </c>
    </row>
    <row r="482" spans="1:2" x14ac:dyDescent="0.2">
      <c r="A482" s="32"/>
      <c r="B482" s="3">
        <v>414</v>
      </c>
    </row>
    <row r="483" spans="1:2" x14ac:dyDescent="0.2">
      <c r="A483" s="32"/>
      <c r="B483" s="3">
        <v>415</v>
      </c>
    </row>
    <row r="484" spans="1:2" x14ac:dyDescent="0.2">
      <c r="A484" s="32"/>
      <c r="B484" s="3">
        <v>416</v>
      </c>
    </row>
    <row r="485" spans="1:2" x14ac:dyDescent="0.2">
      <c r="A485" s="32"/>
      <c r="B485" s="3">
        <v>417</v>
      </c>
    </row>
    <row r="486" spans="1:2" x14ac:dyDescent="0.2">
      <c r="A486" s="32"/>
      <c r="B486" s="3">
        <v>418</v>
      </c>
    </row>
    <row r="487" spans="1:2" x14ac:dyDescent="0.2">
      <c r="A487" s="32"/>
      <c r="B487" s="3">
        <v>419</v>
      </c>
    </row>
    <row r="488" spans="1:2" x14ac:dyDescent="0.2">
      <c r="A488" s="32"/>
      <c r="B488" s="3">
        <v>420</v>
      </c>
    </row>
    <row r="489" spans="1:2" x14ac:dyDescent="0.2">
      <c r="A489" s="32"/>
      <c r="B489" s="3">
        <v>421</v>
      </c>
    </row>
    <row r="490" spans="1:2" x14ac:dyDescent="0.2">
      <c r="A490" s="32"/>
      <c r="B490" s="3">
        <v>422</v>
      </c>
    </row>
    <row r="491" spans="1:2" x14ac:dyDescent="0.2">
      <c r="A491" s="32"/>
      <c r="B491" s="3">
        <v>423</v>
      </c>
    </row>
    <row r="492" spans="1:2" x14ac:dyDescent="0.2">
      <c r="A492" s="32"/>
      <c r="B492" s="3">
        <v>424</v>
      </c>
    </row>
    <row r="493" spans="1:2" x14ac:dyDescent="0.2">
      <c r="A493" s="32"/>
      <c r="B493" s="3">
        <v>425</v>
      </c>
    </row>
    <row r="494" spans="1:2" x14ac:dyDescent="0.2">
      <c r="A494" s="32"/>
      <c r="B494" s="3">
        <v>426</v>
      </c>
    </row>
    <row r="495" spans="1:2" x14ac:dyDescent="0.2">
      <c r="A495" s="32"/>
      <c r="B495" s="3">
        <v>427</v>
      </c>
    </row>
    <row r="496" spans="1:2" x14ac:dyDescent="0.2">
      <c r="A496" s="32"/>
      <c r="B496" s="3">
        <v>428</v>
      </c>
    </row>
    <row r="497" spans="1:2" x14ac:dyDescent="0.2">
      <c r="A497" s="32"/>
      <c r="B497" s="3">
        <v>429</v>
      </c>
    </row>
    <row r="498" spans="1:2" x14ac:dyDescent="0.2">
      <c r="A498" s="32"/>
      <c r="B498" s="3">
        <v>430</v>
      </c>
    </row>
    <row r="499" spans="1:2" x14ac:dyDescent="0.2">
      <c r="A499" s="32"/>
      <c r="B499" s="3">
        <v>431</v>
      </c>
    </row>
    <row r="500" spans="1:2" x14ac:dyDescent="0.2">
      <c r="A500" s="32"/>
      <c r="B500" s="3">
        <v>432</v>
      </c>
    </row>
    <row r="501" spans="1:2" x14ac:dyDescent="0.2">
      <c r="A501" s="32"/>
      <c r="B501" s="3">
        <v>433</v>
      </c>
    </row>
    <row r="502" spans="1:2" x14ac:dyDescent="0.2">
      <c r="A502" s="32"/>
      <c r="B502" s="3">
        <v>434</v>
      </c>
    </row>
    <row r="503" spans="1:2" x14ac:dyDescent="0.2">
      <c r="A503" s="32"/>
      <c r="B503" s="3">
        <v>435</v>
      </c>
    </row>
    <row r="504" spans="1:2" x14ac:dyDescent="0.2">
      <c r="A504" s="32"/>
      <c r="B504" s="3">
        <v>436</v>
      </c>
    </row>
    <row r="505" spans="1:2" x14ac:dyDescent="0.2">
      <c r="A505" s="32"/>
      <c r="B505" s="3">
        <v>437</v>
      </c>
    </row>
    <row r="506" spans="1:2" x14ac:dyDescent="0.2">
      <c r="A506" s="32"/>
      <c r="B506" s="3">
        <v>438</v>
      </c>
    </row>
    <row r="507" spans="1:2" x14ac:dyDescent="0.2">
      <c r="A507" s="32"/>
      <c r="B507" s="3">
        <v>439</v>
      </c>
    </row>
    <row r="508" spans="1:2" x14ac:dyDescent="0.2">
      <c r="A508" s="32"/>
      <c r="B508" s="3">
        <v>440</v>
      </c>
    </row>
    <row r="509" spans="1:2" x14ac:dyDescent="0.2">
      <c r="A509" s="32"/>
      <c r="B509" s="3">
        <v>441</v>
      </c>
    </row>
    <row r="510" spans="1:2" x14ac:dyDescent="0.2">
      <c r="A510" s="32"/>
      <c r="B510" s="3">
        <v>442</v>
      </c>
    </row>
    <row r="511" spans="1:2" x14ac:dyDescent="0.2">
      <c r="A511" s="32"/>
      <c r="B511" s="3">
        <v>443</v>
      </c>
    </row>
    <row r="512" spans="1:2" x14ac:dyDescent="0.2">
      <c r="A512" s="32"/>
      <c r="B512" s="3">
        <v>444</v>
      </c>
    </row>
    <row r="513" spans="1:2" x14ac:dyDescent="0.2">
      <c r="A513" s="32"/>
      <c r="B513" s="3">
        <v>445</v>
      </c>
    </row>
    <row r="514" spans="1:2" x14ac:dyDescent="0.2">
      <c r="A514" s="32"/>
      <c r="B514" s="3">
        <v>446</v>
      </c>
    </row>
    <row r="515" spans="1:2" x14ac:dyDescent="0.2">
      <c r="A515" s="32"/>
      <c r="B515" s="3">
        <v>447</v>
      </c>
    </row>
    <row r="516" spans="1:2" x14ac:dyDescent="0.2">
      <c r="A516" s="32"/>
      <c r="B516" s="3">
        <v>448</v>
      </c>
    </row>
    <row r="517" spans="1:2" x14ac:dyDescent="0.2">
      <c r="A517" s="32"/>
      <c r="B517" s="3">
        <v>449</v>
      </c>
    </row>
    <row r="518" spans="1:2" x14ac:dyDescent="0.2">
      <c r="A518" s="32"/>
      <c r="B518" s="3">
        <v>450</v>
      </c>
    </row>
    <row r="519" spans="1:2" x14ac:dyDescent="0.2">
      <c r="A519" s="32"/>
      <c r="B519" s="3">
        <v>451</v>
      </c>
    </row>
    <row r="520" spans="1:2" x14ac:dyDescent="0.2">
      <c r="A520" s="32"/>
      <c r="B520" s="3">
        <v>452</v>
      </c>
    </row>
    <row r="521" spans="1:2" x14ac:dyDescent="0.2">
      <c r="A521" s="32"/>
      <c r="B521" s="3">
        <v>453</v>
      </c>
    </row>
    <row r="522" spans="1:2" x14ac:dyDescent="0.2">
      <c r="A522" s="32"/>
      <c r="B522" s="3">
        <v>454</v>
      </c>
    </row>
    <row r="523" spans="1:2" x14ac:dyDescent="0.2">
      <c r="A523" s="32"/>
      <c r="B523" s="3">
        <v>455</v>
      </c>
    </row>
    <row r="524" spans="1:2" x14ac:dyDescent="0.2">
      <c r="A524" s="32"/>
      <c r="B524" s="3">
        <v>456</v>
      </c>
    </row>
    <row r="525" spans="1:2" x14ac:dyDescent="0.2">
      <c r="A525" s="32"/>
      <c r="B525" s="3">
        <v>457</v>
      </c>
    </row>
    <row r="526" spans="1:2" x14ac:dyDescent="0.2">
      <c r="A526" s="32"/>
      <c r="B526" s="3">
        <v>458</v>
      </c>
    </row>
    <row r="527" spans="1:2" x14ac:dyDescent="0.2">
      <c r="A527" s="32"/>
      <c r="B527" s="3">
        <v>459</v>
      </c>
    </row>
    <row r="528" spans="1:2" x14ac:dyDescent="0.2">
      <c r="A528" s="32"/>
      <c r="B528" s="3">
        <v>460</v>
      </c>
    </row>
    <row r="529" spans="1:2" x14ac:dyDescent="0.2">
      <c r="A529" s="32"/>
      <c r="B529" s="3">
        <v>461</v>
      </c>
    </row>
    <row r="530" spans="1:2" x14ac:dyDescent="0.2">
      <c r="A530" s="32"/>
      <c r="B530" s="3">
        <v>462</v>
      </c>
    </row>
    <row r="531" spans="1:2" x14ac:dyDescent="0.2">
      <c r="A531" s="32"/>
      <c r="B531" s="3">
        <v>463</v>
      </c>
    </row>
    <row r="532" spans="1:2" x14ac:dyDescent="0.2">
      <c r="A532" s="32"/>
      <c r="B532" s="3">
        <v>464</v>
      </c>
    </row>
    <row r="533" spans="1:2" x14ac:dyDescent="0.2">
      <c r="A533" s="32"/>
      <c r="B533" s="3">
        <v>465</v>
      </c>
    </row>
    <row r="534" spans="1:2" x14ac:dyDescent="0.2">
      <c r="A534" s="32"/>
      <c r="B534" s="3">
        <v>466</v>
      </c>
    </row>
    <row r="535" spans="1:2" x14ac:dyDescent="0.2">
      <c r="A535" s="32"/>
      <c r="B535" s="3">
        <v>467</v>
      </c>
    </row>
    <row r="536" spans="1:2" x14ac:dyDescent="0.2">
      <c r="A536" s="32"/>
      <c r="B536" s="3">
        <v>468</v>
      </c>
    </row>
    <row r="537" spans="1:2" x14ac:dyDescent="0.2">
      <c r="A537" s="32"/>
      <c r="B537" s="3">
        <v>469</v>
      </c>
    </row>
    <row r="538" spans="1:2" x14ac:dyDescent="0.2">
      <c r="A538" s="32"/>
      <c r="B538" s="3">
        <v>470</v>
      </c>
    </row>
    <row r="539" spans="1:2" x14ac:dyDescent="0.2">
      <c r="A539" s="32"/>
      <c r="B539" s="3">
        <v>471</v>
      </c>
    </row>
    <row r="540" spans="1:2" x14ac:dyDescent="0.2">
      <c r="A540" s="32"/>
      <c r="B540" s="3">
        <v>472</v>
      </c>
    </row>
    <row r="541" spans="1:2" x14ac:dyDescent="0.2">
      <c r="A541" s="32"/>
      <c r="B541" s="3">
        <v>473</v>
      </c>
    </row>
    <row r="542" spans="1:2" x14ac:dyDescent="0.2">
      <c r="A542" s="32"/>
      <c r="B542" s="3">
        <v>474</v>
      </c>
    </row>
    <row r="543" spans="1:2" x14ac:dyDescent="0.2">
      <c r="A543" s="32"/>
      <c r="B543" s="3">
        <v>475</v>
      </c>
    </row>
    <row r="544" spans="1:2" x14ac:dyDescent="0.2">
      <c r="A544" s="32"/>
      <c r="B544" s="3">
        <v>476</v>
      </c>
    </row>
    <row r="545" spans="1:2" x14ac:dyDescent="0.2">
      <c r="A545" s="32"/>
      <c r="B545" s="3">
        <v>477</v>
      </c>
    </row>
    <row r="546" spans="1:2" x14ac:dyDescent="0.2">
      <c r="A546" s="32"/>
      <c r="B546" s="3">
        <v>478</v>
      </c>
    </row>
    <row r="547" spans="1:2" x14ac:dyDescent="0.2">
      <c r="A547" s="32"/>
      <c r="B547" s="3">
        <v>479</v>
      </c>
    </row>
    <row r="548" spans="1:2" x14ac:dyDescent="0.2">
      <c r="A548" s="32"/>
      <c r="B548" s="3">
        <v>480</v>
      </c>
    </row>
    <row r="549" spans="1:2" x14ac:dyDescent="0.2">
      <c r="A549" s="32"/>
      <c r="B549" s="3">
        <v>481</v>
      </c>
    </row>
    <row r="550" spans="1:2" x14ac:dyDescent="0.2">
      <c r="A550" s="32"/>
      <c r="B550" s="3">
        <v>482</v>
      </c>
    </row>
    <row r="551" spans="1:2" x14ac:dyDescent="0.2">
      <c r="A551" s="32"/>
      <c r="B551" s="3">
        <v>483</v>
      </c>
    </row>
    <row r="552" spans="1:2" x14ac:dyDescent="0.2">
      <c r="A552" s="32"/>
      <c r="B552" s="3">
        <v>484</v>
      </c>
    </row>
    <row r="553" spans="1:2" x14ac:dyDescent="0.2">
      <c r="A553" s="32"/>
      <c r="B553" s="3">
        <v>485</v>
      </c>
    </row>
    <row r="554" spans="1:2" x14ac:dyDescent="0.2">
      <c r="A554" s="32"/>
      <c r="B554" s="3">
        <v>486</v>
      </c>
    </row>
    <row r="555" spans="1:2" x14ac:dyDescent="0.2">
      <c r="A555" s="32"/>
      <c r="B555" s="3">
        <v>487</v>
      </c>
    </row>
    <row r="556" spans="1:2" x14ac:dyDescent="0.2">
      <c r="A556" s="32"/>
      <c r="B556" s="3">
        <v>488</v>
      </c>
    </row>
    <row r="557" spans="1:2" x14ac:dyDescent="0.2">
      <c r="A557" s="32"/>
      <c r="B557" s="3">
        <v>489</v>
      </c>
    </row>
    <row r="558" spans="1:2" x14ac:dyDescent="0.2">
      <c r="A558" s="32"/>
      <c r="B558" s="3">
        <v>490</v>
      </c>
    </row>
    <row r="559" spans="1:2" x14ac:dyDescent="0.2">
      <c r="A559" s="32"/>
      <c r="B559" s="3">
        <v>491</v>
      </c>
    </row>
    <row r="560" spans="1:2" x14ac:dyDescent="0.2">
      <c r="A560" s="32"/>
      <c r="B560" s="3">
        <v>492</v>
      </c>
    </row>
    <row r="561" spans="1:2" x14ac:dyDescent="0.2">
      <c r="A561" s="32"/>
      <c r="B561" s="3">
        <v>493</v>
      </c>
    </row>
    <row r="562" spans="1:2" x14ac:dyDescent="0.2">
      <c r="A562" s="32"/>
      <c r="B562" s="3">
        <v>494</v>
      </c>
    </row>
    <row r="563" spans="1:2" x14ac:dyDescent="0.2">
      <c r="A563" s="32"/>
      <c r="B563" s="3">
        <v>495</v>
      </c>
    </row>
    <row r="564" spans="1:2" x14ac:dyDescent="0.2">
      <c r="A564" s="32"/>
      <c r="B564" s="3">
        <v>496</v>
      </c>
    </row>
    <row r="565" spans="1:2" x14ac:dyDescent="0.2">
      <c r="A565" s="32"/>
      <c r="B565" s="3">
        <v>497</v>
      </c>
    </row>
    <row r="566" spans="1:2" x14ac:dyDescent="0.2">
      <c r="A566" s="32"/>
      <c r="B566" s="3">
        <v>498</v>
      </c>
    </row>
    <row r="567" spans="1:2" x14ac:dyDescent="0.2">
      <c r="A567" s="32"/>
      <c r="B567" s="3">
        <v>499</v>
      </c>
    </row>
    <row r="568" spans="1:2" x14ac:dyDescent="0.2">
      <c r="A568" s="32"/>
      <c r="B568" s="3">
        <v>500</v>
      </c>
    </row>
    <row r="569" spans="1:2" x14ac:dyDescent="0.2">
      <c r="A569" s="32"/>
      <c r="B569" s="3">
        <v>501</v>
      </c>
    </row>
    <row r="570" spans="1:2" x14ac:dyDescent="0.2">
      <c r="A570" s="32"/>
      <c r="B570" s="3">
        <v>502</v>
      </c>
    </row>
    <row r="571" spans="1:2" x14ac:dyDescent="0.2">
      <c r="A571" s="32"/>
      <c r="B571" s="3">
        <v>503</v>
      </c>
    </row>
    <row r="572" spans="1:2" x14ac:dyDescent="0.2">
      <c r="A572" s="32"/>
      <c r="B572" s="3">
        <v>504</v>
      </c>
    </row>
    <row r="573" spans="1:2" x14ac:dyDescent="0.2">
      <c r="A573" s="32"/>
      <c r="B573" s="3">
        <v>505</v>
      </c>
    </row>
    <row r="574" spans="1:2" x14ac:dyDescent="0.2">
      <c r="A574" s="32"/>
      <c r="B574" s="3">
        <v>506</v>
      </c>
    </row>
    <row r="575" spans="1:2" x14ac:dyDescent="0.2">
      <c r="A575" s="32"/>
      <c r="B575" s="3">
        <v>507</v>
      </c>
    </row>
    <row r="576" spans="1:2" x14ac:dyDescent="0.2">
      <c r="A576" s="32"/>
      <c r="B576" s="3">
        <v>508</v>
      </c>
    </row>
    <row r="577" spans="1:2" x14ac:dyDescent="0.2">
      <c r="A577" s="32"/>
      <c r="B577" s="3">
        <v>509</v>
      </c>
    </row>
    <row r="578" spans="1:2" x14ac:dyDescent="0.2">
      <c r="A578" s="32"/>
      <c r="B578" s="3">
        <v>510</v>
      </c>
    </row>
    <row r="579" spans="1:2" x14ac:dyDescent="0.2">
      <c r="A579" s="32"/>
      <c r="B579" s="3">
        <v>511</v>
      </c>
    </row>
    <row r="580" spans="1:2" x14ac:dyDescent="0.2">
      <c r="A580" s="32"/>
      <c r="B580" s="3">
        <v>512</v>
      </c>
    </row>
    <row r="581" spans="1:2" x14ac:dyDescent="0.2">
      <c r="A581" s="32"/>
      <c r="B581" s="3">
        <v>513</v>
      </c>
    </row>
    <row r="582" spans="1:2" x14ac:dyDescent="0.2">
      <c r="A582" s="32"/>
      <c r="B582" s="3">
        <v>514</v>
      </c>
    </row>
    <row r="583" spans="1:2" x14ac:dyDescent="0.2">
      <c r="A583" s="32"/>
      <c r="B583" s="3">
        <v>515</v>
      </c>
    </row>
    <row r="584" spans="1:2" x14ac:dyDescent="0.2">
      <c r="A584" s="32"/>
      <c r="B584" s="3">
        <v>516</v>
      </c>
    </row>
    <row r="585" spans="1:2" x14ac:dyDescent="0.2">
      <c r="A585" s="32"/>
      <c r="B585" s="3">
        <v>517</v>
      </c>
    </row>
    <row r="586" spans="1:2" x14ac:dyDescent="0.2">
      <c r="A586" s="32"/>
      <c r="B586" s="3">
        <v>518</v>
      </c>
    </row>
    <row r="587" spans="1:2" x14ac:dyDescent="0.2">
      <c r="A587" s="32"/>
      <c r="B587" s="3">
        <v>519</v>
      </c>
    </row>
    <row r="588" spans="1:2" x14ac:dyDescent="0.2">
      <c r="A588" s="32"/>
      <c r="B588" s="3">
        <v>520</v>
      </c>
    </row>
    <row r="589" spans="1:2" x14ac:dyDescent="0.2">
      <c r="A589" s="32"/>
      <c r="B589" s="3">
        <v>521</v>
      </c>
    </row>
    <row r="590" spans="1:2" x14ac:dyDescent="0.2">
      <c r="A590" s="32"/>
      <c r="B590" s="3">
        <v>522</v>
      </c>
    </row>
    <row r="591" spans="1:2" x14ac:dyDescent="0.2">
      <c r="A591" s="32"/>
      <c r="B591" s="3">
        <v>523</v>
      </c>
    </row>
    <row r="592" spans="1:2" x14ac:dyDescent="0.2">
      <c r="A592" s="32"/>
      <c r="B592" s="3">
        <v>524</v>
      </c>
    </row>
    <row r="593" spans="1:2" x14ac:dyDescent="0.2">
      <c r="A593" s="32"/>
      <c r="B593" s="3">
        <v>525</v>
      </c>
    </row>
    <row r="594" spans="1:2" x14ac:dyDescent="0.2">
      <c r="A594" s="32"/>
      <c r="B594" s="3">
        <v>526</v>
      </c>
    </row>
    <row r="595" spans="1:2" x14ac:dyDescent="0.2">
      <c r="A595" s="32"/>
      <c r="B595" s="3">
        <v>527</v>
      </c>
    </row>
    <row r="596" spans="1:2" x14ac:dyDescent="0.2">
      <c r="A596" s="32"/>
      <c r="B596" s="3">
        <v>528</v>
      </c>
    </row>
    <row r="597" spans="1:2" x14ac:dyDescent="0.2">
      <c r="A597" s="32"/>
      <c r="B597" s="3">
        <v>529</v>
      </c>
    </row>
    <row r="598" spans="1:2" x14ac:dyDescent="0.2">
      <c r="A598" s="32"/>
      <c r="B598" s="3">
        <v>530</v>
      </c>
    </row>
    <row r="599" spans="1:2" x14ac:dyDescent="0.2">
      <c r="A599" s="32"/>
      <c r="B599" s="3">
        <v>531</v>
      </c>
    </row>
    <row r="600" spans="1:2" x14ac:dyDescent="0.2">
      <c r="A600" s="32"/>
      <c r="B600" s="3">
        <v>532</v>
      </c>
    </row>
    <row r="601" spans="1:2" x14ac:dyDescent="0.2">
      <c r="A601" s="32"/>
      <c r="B601" s="3">
        <v>533</v>
      </c>
    </row>
    <row r="602" spans="1:2" x14ac:dyDescent="0.2">
      <c r="A602" s="32"/>
      <c r="B602" s="3">
        <v>534</v>
      </c>
    </row>
    <row r="603" spans="1:2" x14ac:dyDescent="0.2">
      <c r="A603" s="32"/>
      <c r="B603" s="3">
        <v>535</v>
      </c>
    </row>
    <row r="604" spans="1:2" x14ac:dyDescent="0.2">
      <c r="A604" s="32"/>
      <c r="B604" s="3">
        <v>536</v>
      </c>
    </row>
    <row r="605" spans="1:2" x14ac:dyDescent="0.2">
      <c r="A605" s="32"/>
      <c r="B605" s="3">
        <v>537</v>
      </c>
    </row>
    <row r="606" spans="1:2" x14ac:dyDescent="0.2">
      <c r="A606" s="32"/>
      <c r="B606" s="3">
        <v>538</v>
      </c>
    </row>
    <row r="607" spans="1:2" x14ac:dyDescent="0.2">
      <c r="A607" s="32"/>
      <c r="B607" s="3">
        <v>539</v>
      </c>
    </row>
    <row r="608" spans="1:2" x14ac:dyDescent="0.2">
      <c r="A608" s="32"/>
      <c r="B608" s="3">
        <v>540</v>
      </c>
    </row>
    <row r="609" spans="1:2" x14ac:dyDescent="0.2">
      <c r="A609" s="32"/>
      <c r="B609" s="3">
        <v>541</v>
      </c>
    </row>
    <row r="610" spans="1:2" x14ac:dyDescent="0.2">
      <c r="A610" s="32"/>
      <c r="B610" s="3">
        <v>542</v>
      </c>
    </row>
    <row r="611" spans="1:2" x14ac:dyDescent="0.2">
      <c r="A611" s="32"/>
      <c r="B611" s="3">
        <v>543</v>
      </c>
    </row>
    <row r="612" spans="1:2" x14ac:dyDescent="0.2">
      <c r="A612" s="32"/>
      <c r="B612" s="3">
        <v>544</v>
      </c>
    </row>
    <row r="613" spans="1:2" x14ac:dyDescent="0.2">
      <c r="A613" s="32"/>
      <c r="B613" s="3">
        <v>545</v>
      </c>
    </row>
    <row r="614" spans="1:2" x14ac:dyDescent="0.2">
      <c r="A614" s="32"/>
      <c r="B614" s="3">
        <v>546</v>
      </c>
    </row>
    <row r="615" spans="1:2" x14ac:dyDescent="0.2">
      <c r="A615" s="32"/>
      <c r="B615" s="3">
        <v>547</v>
      </c>
    </row>
    <row r="616" spans="1:2" x14ac:dyDescent="0.2">
      <c r="A616" s="32"/>
      <c r="B616" s="3">
        <v>548</v>
      </c>
    </row>
    <row r="617" spans="1:2" x14ac:dyDescent="0.2">
      <c r="A617" s="32"/>
      <c r="B617" s="3">
        <v>549</v>
      </c>
    </row>
    <row r="618" spans="1:2" x14ac:dyDescent="0.2">
      <c r="A618" s="32"/>
      <c r="B618" s="3">
        <v>550</v>
      </c>
    </row>
    <row r="619" spans="1:2" x14ac:dyDescent="0.2">
      <c r="A619" s="32"/>
      <c r="B619" s="3">
        <v>551</v>
      </c>
    </row>
    <row r="620" spans="1:2" x14ac:dyDescent="0.2">
      <c r="A620" s="32"/>
      <c r="B620" s="3">
        <v>552</v>
      </c>
    </row>
    <row r="621" spans="1:2" x14ac:dyDescent="0.2">
      <c r="A621" s="32"/>
      <c r="B621" s="3">
        <v>553</v>
      </c>
    </row>
    <row r="622" spans="1:2" x14ac:dyDescent="0.2">
      <c r="A622" s="32"/>
      <c r="B622" s="3">
        <v>554</v>
      </c>
    </row>
    <row r="623" spans="1:2" x14ac:dyDescent="0.2">
      <c r="A623" s="32"/>
      <c r="B623" s="3">
        <v>555</v>
      </c>
    </row>
    <row r="624" spans="1:2" x14ac:dyDescent="0.2">
      <c r="A624" s="32"/>
      <c r="B624" s="3">
        <v>556</v>
      </c>
    </row>
    <row r="625" spans="1:2" x14ac:dyDescent="0.2">
      <c r="A625" s="32"/>
      <c r="B625" s="3">
        <v>557</v>
      </c>
    </row>
    <row r="626" spans="1:2" x14ac:dyDescent="0.2">
      <c r="A626" s="32"/>
      <c r="B626" s="3">
        <v>558</v>
      </c>
    </row>
    <row r="627" spans="1:2" x14ac:dyDescent="0.2">
      <c r="A627" s="32"/>
      <c r="B627" s="3">
        <v>559</v>
      </c>
    </row>
    <row r="628" spans="1:2" x14ac:dyDescent="0.2">
      <c r="A628" s="32"/>
      <c r="B628" s="3">
        <v>560</v>
      </c>
    </row>
    <row r="629" spans="1:2" x14ac:dyDescent="0.2">
      <c r="A629" s="32"/>
      <c r="B629" s="3">
        <v>561</v>
      </c>
    </row>
    <row r="630" spans="1:2" x14ac:dyDescent="0.2">
      <c r="A630" s="32"/>
      <c r="B630" s="3">
        <v>562</v>
      </c>
    </row>
    <row r="631" spans="1:2" x14ac:dyDescent="0.2">
      <c r="A631" s="32"/>
      <c r="B631" s="3">
        <v>563</v>
      </c>
    </row>
    <row r="632" spans="1:2" x14ac:dyDescent="0.2">
      <c r="A632" s="32"/>
      <c r="B632" s="3">
        <v>564</v>
      </c>
    </row>
    <row r="633" spans="1:2" x14ac:dyDescent="0.2">
      <c r="A633" s="32"/>
      <c r="B633" s="3">
        <v>565</v>
      </c>
    </row>
    <row r="634" spans="1:2" x14ac:dyDescent="0.2">
      <c r="A634" s="32"/>
      <c r="B634" s="3">
        <v>566</v>
      </c>
    </row>
    <row r="635" spans="1:2" x14ac:dyDescent="0.2">
      <c r="A635" s="32"/>
      <c r="B635" s="3">
        <v>567</v>
      </c>
    </row>
    <row r="636" spans="1:2" x14ac:dyDescent="0.2">
      <c r="A636" s="32"/>
      <c r="B636" s="3">
        <v>568</v>
      </c>
    </row>
    <row r="637" spans="1:2" x14ac:dyDescent="0.2">
      <c r="A637" s="32"/>
      <c r="B637" s="3">
        <v>569</v>
      </c>
    </row>
    <row r="638" spans="1:2" x14ac:dyDescent="0.2">
      <c r="A638" s="32"/>
      <c r="B638" s="3">
        <v>570</v>
      </c>
    </row>
    <row r="639" spans="1:2" x14ac:dyDescent="0.2">
      <c r="A639" s="32"/>
      <c r="B639" s="3">
        <v>571</v>
      </c>
    </row>
    <row r="640" spans="1:2" x14ac:dyDescent="0.2">
      <c r="A640" s="32"/>
      <c r="B640" s="3">
        <v>572</v>
      </c>
    </row>
    <row r="641" spans="1:2" x14ac:dyDescent="0.2">
      <c r="A641" s="32"/>
      <c r="B641" s="3">
        <v>573</v>
      </c>
    </row>
    <row r="642" spans="1:2" x14ac:dyDescent="0.2">
      <c r="A642" s="32"/>
      <c r="B642" s="3">
        <v>574</v>
      </c>
    </row>
    <row r="643" spans="1:2" x14ac:dyDescent="0.2">
      <c r="A643" s="32"/>
      <c r="B643" s="3">
        <v>575</v>
      </c>
    </row>
    <row r="644" spans="1:2" x14ac:dyDescent="0.2">
      <c r="A644" s="32"/>
      <c r="B644" s="3">
        <v>576</v>
      </c>
    </row>
    <row r="645" spans="1:2" x14ac:dyDescent="0.2">
      <c r="A645" s="32"/>
      <c r="B645" s="3">
        <v>577</v>
      </c>
    </row>
    <row r="646" spans="1:2" x14ac:dyDescent="0.2">
      <c r="A646" s="32"/>
      <c r="B646" s="3">
        <v>578</v>
      </c>
    </row>
    <row r="647" spans="1:2" x14ac:dyDescent="0.2">
      <c r="A647" s="32"/>
      <c r="B647" s="3">
        <v>579</v>
      </c>
    </row>
    <row r="648" spans="1:2" x14ac:dyDescent="0.2">
      <c r="A648" s="32"/>
      <c r="B648" s="3">
        <v>580</v>
      </c>
    </row>
    <row r="649" spans="1:2" x14ac:dyDescent="0.2">
      <c r="A649" s="32"/>
      <c r="B649" s="3">
        <v>581</v>
      </c>
    </row>
    <row r="650" spans="1:2" x14ac:dyDescent="0.2">
      <c r="A650" s="32"/>
      <c r="B650" s="3">
        <v>582</v>
      </c>
    </row>
    <row r="651" spans="1:2" x14ac:dyDescent="0.2">
      <c r="A651" s="32"/>
      <c r="B651" s="3">
        <v>583</v>
      </c>
    </row>
    <row r="652" spans="1:2" x14ac:dyDescent="0.2">
      <c r="A652" s="32"/>
      <c r="B652" s="3">
        <v>584</v>
      </c>
    </row>
    <row r="653" spans="1:2" x14ac:dyDescent="0.2">
      <c r="A653" s="32"/>
      <c r="B653" s="3">
        <v>585</v>
      </c>
    </row>
    <row r="654" spans="1:2" x14ac:dyDescent="0.2">
      <c r="A654" s="32"/>
      <c r="B654" s="3">
        <v>586</v>
      </c>
    </row>
    <row r="655" spans="1:2" x14ac:dyDescent="0.2">
      <c r="A655" s="32"/>
      <c r="B655" s="3">
        <v>587</v>
      </c>
    </row>
    <row r="656" spans="1:2" x14ac:dyDescent="0.2">
      <c r="A656" s="32"/>
      <c r="B656" s="3">
        <v>588</v>
      </c>
    </row>
    <row r="657" spans="1:2" x14ac:dyDescent="0.2">
      <c r="A657" s="32"/>
      <c r="B657" s="3">
        <v>589</v>
      </c>
    </row>
    <row r="658" spans="1:2" x14ac:dyDescent="0.2">
      <c r="A658" s="32"/>
      <c r="B658" s="3">
        <v>590</v>
      </c>
    </row>
    <row r="659" spans="1:2" x14ac:dyDescent="0.2">
      <c r="A659" s="32"/>
      <c r="B659" s="3">
        <v>591</v>
      </c>
    </row>
    <row r="660" spans="1:2" x14ac:dyDescent="0.2">
      <c r="A660" s="32"/>
      <c r="B660" s="3">
        <v>592</v>
      </c>
    </row>
    <row r="661" spans="1:2" x14ac:dyDescent="0.2">
      <c r="A661" s="32"/>
      <c r="B661" s="3">
        <v>593</v>
      </c>
    </row>
    <row r="662" spans="1:2" x14ac:dyDescent="0.2">
      <c r="A662" s="32"/>
      <c r="B662" s="3">
        <v>594</v>
      </c>
    </row>
    <row r="663" spans="1:2" x14ac:dyDescent="0.2">
      <c r="A663" s="32"/>
      <c r="B663" s="3">
        <v>595</v>
      </c>
    </row>
    <row r="664" spans="1:2" x14ac:dyDescent="0.2">
      <c r="A664" s="32"/>
      <c r="B664" s="3">
        <v>596</v>
      </c>
    </row>
    <row r="665" spans="1:2" x14ac:dyDescent="0.2">
      <c r="A665" s="32"/>
      <c r="B665" s="3">
        <v>597</v>
      </c>
    </row>
    <row r="666" spans="1:2" x14ac:dyDescent="0.2">
      <c r="A666" s="32"/>
      <c r="B666" s="3">
        <v>598</v>
      </c>
    </row>
    <row r="667" spans="1:2" x14ac:dyDescent="0.2">
      <c r="A667" s="32"/>
      <c r="B667" s="3">
        <v>599</v>
      </c>
    </row>
    <row r="668" spans="1:2" x14ac:dyDescent="0.2">
      <c r="A668" s="32"/>
      <c r="B668" s="3">
        <v>600</v>
      </c>
    </row>
    <row r="669" spans="1:2" x14ac:dyDescent="0.2">
      <c r="A669" s="32"/>
      <c r="B669" s="3">
        <v>601</v>
      </c>
    </row>
    <row r="670" spans="1:2" x14ac:dyDescent="0.2">
      <c r="A670" s="32"/>
      <c r="B670" s="3">
        <v>602</v>
      </c>
    </row>
    <row r="671" spans="1:2" x14ac:dyDescent="0.2">
      <c r="A671" s="32"/>
      <c r="B671" s="3">
        <v>603</v>
      </c>
    </row>
    <row r="672" spans="1:2" x14ac:dyDescent="0.2">
      <c r="A672" s="32"/>
      <c r="B672" s="3">
        <v>604</v>
      </c>
    </row>
    <row r="673" spans="1:2" x14ac:dyDescent="0.2">
      <c r="A673" s="32"/>
      <c r="B673" s="3">
        <v>605</v>
      </c>
    </row>
    <row r="674" spans="1:2" x14ac:dyDescent="0.2">
      <c r="A674" s="32"/>
      <c r="B674" s="3">
        <v>606</v>
      </c>
    </row>
    <row r="675" spans="1:2" x14ac:dyDescent="0.2">
      <c r="A675" s="32"/>
      <c r="B675" s="3">
        <v>607</v>
      </c>
    </row>
    <row r="676" spans="1:2" x14ac:dyDescent="0.2">
      <c r="A676" s="32"/>
      <c r="B676" s="3">
        <v>608</v>
      </c>
    </row>
    <row r="677" spans="1:2" x14ac:dyDescent="0.2">
      <c r="A677" s="32"/>
      <c r="B677" s="3">
        <v>609</v>
      </c>
    </row>
    <row r="678" spans="1:2" x14ac:dyDescent="0.2">
      <c r="A678" s="32"/>
      <c r="B678" s="3">
        <v>610</v>
      </c>
    </row>
    <row r="679" spans="1:2" x14ac:dyDescent="0.2">
      <c r="A679" s="32"/>
      <c r="B679" s="3">
        <v>611</v>
      </c>
    </row>
    <row r="680" spans="1:2" x14ac:dyDescent="0.2">
      <c r="A680" s="32"/>
      <c r="B680" s="3">
        <v>612</v>
      </c>
    </row>
    <row r="681" spans="1:2" x14ac:dyDescent="0.2">
      <c r="A681" s="32"/>
      <c r="B681" s="3">
        <v>613</v>
      </c>
    </row>
    <row r="682" spans="1:2" x14ac:dyDescent="0.2">
      <c r="A682" s="32"/>
      <c r="B682" s="3">
        <v>614</v>
      </c>
    </row>
    <row r="683" spans="1:2" x14ac:dyDescent="0.2">
      <c r="A683" s="32"/>
      <c r="B683" s="3">
        <v>615</v>
      </c>
    </row>
    <row r="684" spans="1:2" x14ac:dyDescent="0.2">
      <c r="A684" s="32"/>
      <c r="B684" s="3">
        <v>616</v>
      </c>
    </row>
    <row r="685" spans="1:2" x14ac:dyDescent="0.2">
      <c r="A685" s="32"/>
      <c r="B685" s="3">
        <v>617</v>
      </c>
    </row>
    <row r="686" spans="1:2" x14ac:dyDescent="0.2">
      <c r="A686" s="32"/>
      <c r="B686" s="3">
        <v>618</v>
      </c>
    </row>
    <row r="687" spans="1:2" x14ac:dyDescent="0.2">
      <c r="A687" s="32"/>
      <c r="B687" s="3">
        <v>619</v>
      </c>
    </row>
    <row r="688" spans="1:2" x14ac:dyDescent="0.2">
      <c r="A688" s="32"/>
      <c r="B688" s="3">
        <v>620</v>
      </c>
    </row>
    <row r="689" spans="1:2" x14ac:dyDescent="0.2">
      <c r="A689" s="32"/>
      <c r="B689" s="3">
        <v>621</v>
      </c>
    </row>
    <row r="690" spans="1:2" x14ac:dyDescent="0.2">
      <c r="A690" s="32"/>
      <c r="B690" s="3">
        <v>622</v>
      </c>
    </row>
    <row r="691" spans="1:2" x14ac:dyDescent="0.2">
      <c r="A691" s="32"/>
      <c r="B691" s="3">
        <v>623</v>
      </c>
    </row>
    <row r="692" spans="1:2" x14ac:dyDescent="0.2">
      <c r="A692" s="32"/>
      <c r="B692" s="3">
        <v>624</v>
      </c>
    </row>
    <row r="693" spans="1:2" x14ac:dyDescent="0.2">
      <c r="A693" s="32"/>
      <c r="B693" s="3">
        <v>625</v>
      </c>
    </row>
    <row r="694" spans="1:2" x14ac:dyDescent="0.2">
      <c r="A694" s="32"/>
      <c r="B694" s="3">
        <v>626</v>
      </c>
    </row>
    <row r="695" spans="1:2" x14ac:dyDescent="0.2">
      <c r="A695" s="32"/>
      <c r="B695" s="3">
        <v>627</v>
      </c>
    </row>
    <row r="696" spans="1:2" x14ac:dyDescent="0.2">
      <c r="A696" s="32"/>
      <c r="B696" s="3">
        <v>628</v>
      </c>
    </row>
    <row r="697" spans="1:2" x14ac:dyDescent="0.2">
      <c r="A697" s="32"/>
      <c r="B697" s="3">
        <v>629</v>
      </c>
    </row>
    <row r="698" spans="1:2" x14ac:dyDescent="0.2">
      <c r="A698" s="32"/>
      <c r="B698" s="3">
        <v>630</v>
      </c>
    </row>
    <row r="699" spans="1:2" x14ac:dyDescent="0.2">
      <c r="A699" s="32"/>
      <c r="B699" s="3">
        <v>631</v>
      </c>
    </row>
    <row r="700" spans="1:2" x14ac:dyDescent="0.2">
      <c r="A700" s="32"/>
      <c r="B700" s="3">
        <v>632</v>
      </c>
    </row>
    <row r="701" spans="1:2" x14ac:dyDescent="0.2">
      <c r="A701" s="32"/>
      <c r="B701" s="3">
        <v>633</v>
      </c>
    </row>
    <row r="702" spans="1:2" x14ac:dyDescent="0.2">
      <c r="A702" s="32"/>
      <c r="B702" s="3">
        <v>634</v>
      </c>
    </row>
    <row r="703" spans="1:2" x14ac:dyDescent="0.2">
      <c r="A703" s="32"/>
      <c r="B703" s="3">
        <v>635</v>
      </c>
    </row>
    <row r="704" spans="1:2" x14ac:dyDescent="0.2">
      <c r="A704" s="32"/>
      <c r="B704" s="3">
        <v>636</v>
      </c>
    </row>
    <row r="705" spans="1:2" x14ac:dyDescent="0.2">
      <c r="A705" s="32"/>
      <c r="B705" s="3">
        <v>637</v>
      </c>
    </row>
    <row r="706" spans="1:2" x14ac:dyDescent="0.2">
      <c r="A706" s="32"/>
      <c r="B706" s="3">
        <v>638</v>
      </c>
    </row>
    <row r="707" spans="1:2" x14ac:dyDescent="0.2">
      <c r="A707" s="32"/>
      <c r="B707" s="3">
        <v>639</v>
      </c>
    </row>
    <row r="708" spans="1:2" x14ac:dyDescent="0.2">
      <c r="A708" s="32"/>
      <c r="B708" s="3">
        <v>640</v>
      </c>
    </row>
    <row r="709" spans="1:2" x14ac:dyDescent="0.2">
      <c r="A709" s="32"/>
      <c r="B709" s="3">
        <v>641</v>
      </c>
    </row>
    <row r="710" spans="1:2" x14ac:dyDescent="0.2">
      <c r="A710" s="32"/>
      <c r="B710" s="3">
        <v>642</v>
      </c>
    </row>
    <row r="711" spans="1:2" x14ac:dyDescent="0.2">
      <c r="A711" s="32"/>
      <c r="B711" s="3">
        <v>643</v>
      </c>
    </row>
    <row r="712" spans="1:2" x14ac:dyDescent="0.2">
      <c r="A712" s="32"/>
      <c r="B712" s="3">
        <v>644</v>
      </c>
    </row>
    <row r="713" spans="1:2" x14ac:dyDescent="0.2">
      <c r="A713" s="32"/>
      <c r="B713" s="3">
        <v>645</v>
      </c>
    </row>
    <row r="714" spans="1:2" x14ac:dyDescent="0.2">
      <c r="A714" s="32"/>
      <c r="B714" s="3">
        <v>646</v>
      </c>
    </row>
    <row r="715" spans="1:2" x14ac:dyDescent="0.2">
      <c r="A715" s="32"/>
      <c r="B715" s="3">
        <v>647</v>
      </c>
    </row>
    <row r="716" spans="1:2" x14ac:dyDescent="0.2">
      <c r="A716" s="32"/>
      <c r="B716" s="3">
        <v>648</v>
      </c>
    </row>
    <row r="717" spans="1:2" x14ac:dyDescent="0.2">
      <c r="A717" s="32"/>
      <c r="B717" s="3">
        <v>649</v>
      </c>
    </row>
    <row r="718" spans="1:2" x14ac:dyDescent="0.2">
      <c r="A718" s="32"/>
      <c r="B718" s="3">
        <v>650</v>
      </c>
    </row>
    <row r="719" spans="1:2" x14ac:dyDescent="0.2">
      <c r="A719" s="32"/>
      <c r="B719" s="3">
        <v>651</v>
      </c>
    </row>
    <row r="720" spans="1:2" x14ac:dyDescent="0.2">
      <c r="A720" s="32"/>
      <c r="B720" s="3">
        <v>652</v>
      </c>
    </row>
    <row r="721" spans="1:2" x14ac:dyDescent="0.2">
      <c r="A721" s="32"/>
      <c r="B721" s="3">
        <v>653</v>
      </c>
    </row>
    <row r="722" spans="1:2" x14ac:dyDescent="0.2">
      <c r="A722" s="32"/>
      <c r="B722" s="3">
        <v>654</v>
      </c>
    </row>
    <row r="723" spans="1:2" x14ac:dyDescent="0.2">
      <c r="A723" s="32"/>
      <c r="B723" s="3">
        <v>655</v>
      </c>
    </row>
    <row r="724" spans="1:2" x14ac:dyDescent="0.2">
      <c r="A724" s="32"/>
      <c r="B724" s="3">
        <v>656</v>
      </c>
    </row>
    <row r="725" spans="1:2" x14ac:dyDescent="0.2">
      <c r="A725" s="32"/>
      <c r="B725" s="3">
        <v>657</v>
      </c>
    </row>
    <row r="726" spans="1:2" x14ac:dyDescent="0.2">
      <c r="A726" s="32"/>
      <c r="B726" s="3">
        <v>658</v>
      </c>
    </row>
    <row r="727" spans="1:2" x14ac:dyDescent="0.2">
      <c r="A727" s="32"/>
      <c r="B727" s="3">
        <v>659</v>
      </c>
    </row>
    <row r="728" spans="1:2" x14ac:dyDescent="0.2">
      <c r="A728" s="32"/>
      <c r="B728" s="3">
        <v>660</v>
      </c>
    </row>
    <row r="729" spans="1:2" x14ac:dyDescent="0.2">
      <c r="A729" s="32"/>
      <c r="B729" s="3">
        <v>661</v>
      </c>
    </row>
    <row r="730" spans="1:2" x14ac:dyDescent="0.2">
      <c r="A730" s="32"/>
      <c r="B730" s="3">
        <v>662</v>
      </c>
    </row>
    <row r="731" spans="1:2" x14ac:dyDescent="0.2">
      <c r="A731" s="32"/>
      <c r="B731" s="3">
        <v>663</v>
      </c>
    </row>
    <row r="732" spans="1:2" x14ac:dyDescent="0.2">
      <c r="A732" s="32"/>
      <c r="B732" s="3">
        <v>664</v>
      </c>
    </row>
    <row r="733" spans="1:2" x14ac:dyDescent="0.2">
      <c r="A733" s="32"/>
      <c r="B733" s="3">
        <v>665</v>
      </c>
    </row>
    <row r="734" spans="1:2" x14ac:dyDescent="0.2">
      <c r="A734" s="32"/>
      <c r="B734" s="3">
        <v>666</v>
      </c>
    </row>
    <row r="735" spans="1:2" x14ac:dyDescent="0.2">
      <c r="A735" s="32"/>
      <c r="B735" s="3">
        <v>667</v>
      </c>
    </row>
    <row r="736" spans="1:2" x14ac:dyDescent="0.2">
      <c r="A736" s="32"/>
      <c r="B736" s="3">
        <v>668</v>
      </c>
    </row>
    <row r="737" spans="1:2" x14ac:dyDescent="0.2">
      <c r="A737" s="32"/>
      <c r="B737" s="3">
        <v>669</v>
      </c>
    </row>
    <row r="738" spans="1:2" x14ac:dyDescent="0.2">
      <c r="A738" s="32"/>
      <c r="B738" s="3">
        <v>670</v>
      </c>
    </row>
    <row r="739" spans="1:2" x14ac:dyDescent="0.2">
      <c r="A739" s="32"/>
      <c r="B739" s="3">
        <v>671</v>
      </c>
    </row>
    <row r="740" spans="1:2" x14ac:dyDescent="0.2">
      <c r="A740" s="32"/>
      <c r="B740" s="3">
        <v>672</v>
      </c>
    </row>
    <row r="741" spans="1:2" x14ac:dyDescent="0.2">
      <c r="A741" s="32"/>
      <c r="B741" s="3">
        <v>673</v>
      </c>
    </row>
    <row r="742" spans="1:2" x14ac:dyDescent="0.2">
      <c r="A742" s="32"/>
      <c r="B742" s="3">
        <v>674</v>
      </c>
    </row>
    <row r="743" spans="1:2" x14ac:dyDescent="0.2">
      <c r="A743" s="32"/>
      <c r="B743" s="3">
        <v>675</v>
      </c>
    </row>
    <row r="744" spans="1:2" x14ac:dyDescent="0.2">
      <c r="A744" s="32"/>
      <c r="B744" s="3">
        <v>676</v>
      </c>
    </row>
    <row r="745" spans="1:2" x14ac:dyDescent="0.2">
      <c r="A745" s="32"/>
      <c r="B745" s="3">
        <v>677</v>
      </c>
    </row>
    <row r="746" spans="1:2" x14ac:dyDescent="0.2">
      <c r="A746" s="32"/>
      <c r="B746" s="3">
        <v>678</v>
      </c>
    </row>
    <row r="747" spans="1:2" x14ac:dyDescent="0.2">
      <c r="A747" s="32"/>
      <c r="B747" s="3">
        <v>679</v>
      </c>
    </row>
    <row r="748" spans="1:2" x14ac:dyDescent="0.2">
      <c r="A748" s="32"/>
      <c r="B748" s="3">
        <v>680</v>
      </c>
    </row>
    <row r="749" spans="1:2" x14ac:dyDescent="0.2">
      <c r="A749" s="32"/>
      <c r="B749" s="3">
        <v>681</v>
      </c>
    </row>
    <row r="750" spans="1:2" x14ac:dyDescent="0.2">
      <c r="A750" s="32"/>
      <c r="B750" s="3">
        <v>682</v>
      </c>
    </row>
    <row r="751" spans="1:2" x14ac:dyDescent="0.2">
      <c r="A751" s="32"/>
      <c r="B751" s="3">
        <v>683</v>
      </c>
    </row>
    <row r="752" spans="1:2" x14ac:dyDescent="0.2">
      <c r="A752" s="32"/>
      <c r="B752" s="3">
        <v>684</v>
      </c>
    </row>
    <row r="753" spans="1:2" x14ac:dyDescent="0.2">
      <c r="A753" s="32"/>
      <c r="B753" s="3">
        <v>685</v>
      </c>
    </row>
    <row r="754" spans="1:2" x14ac:dyDescent="0.2">
      <c r="A754" s="32"/>
      <c r="B754" s="3">
        <v>686</v>
      </c>
    </row>
    <row r="755" spans="1:2" x14ac:dyDescent="0.2">
      <c r="A755" s="32"/>
      <c r="B755" s="3">
        <v>687</v>
      </c>
    </row>
    <row r="756" spans="1:2" x14ac:dyDescent="0.2">
      <c r="A756" s="32"/>
      <c r="B756" s="3">
        <v>688</v>
      </c>
    </row>
    <row r="757" spans="1:2" x14ac:dyDescent="0.2">
      <c r="A757" s="32"/>
      <c r="B757" s="3">
        <v>689</v>
      </c>
    </row>
    <row r="758" spans="1:2" x14ac:dyDescent="0.2">
      <c r="A758" s="32"/>
      <c r="B758" s="3">
        <v>690</v>
      </c>
    </row>
    <row r="759" spans="1:2" x14ac:dyDescent="0.2">
      <c r="A759" s="32"/>
      <c r="B759" s="3">
        <v>691</v>
      </c>
    </row>
    <row r="760" spans="1:2" x14ac:dyDescent="0.2">
      <c r="A760" s="32"/>
      <c r="B760" s="3">
        <v>692</v>
      </c>
    </row>
    <row r="761" spans="1:2" x14ac:dyDescent="0.2">
      <c r="A761" s="32"/>
      <c r="B761" s="3">
        <v>693</v>
      </c>
    </row>
    <row r="762" spans="1:2" x14ac:dyDescent="0.2">
      <c r="A762" s="32"/>
      <c r="B762" s="3">
        <v>694</v>
      </c>
    </row>
    <row r="763" spans="1:2" x14ac:dyDescent="0.2">
      <c r="A763" s="32"/>
      <c r="B763" s="3">
        <v>695</v>
      </c>
    </row>
    <row r="764" spans="1:2" x14ac:dyDescent="0.2">
      <c r="A764" s="32"/>
      <c r="B764" s="3">
        <v>696</v>
      </c>
    </row>
    <row r="765" spans="1:2" x14ac:dyDescent="0.2">
      <c r="A765" s="32"/>
      <c r="B765" s="3">
        <v>697</v>
      </c>
    </row>
    <row r="766" spans="1:2" x14ac:dyDescent="0.2">
      <c r="A766" s="32"/>
      <c r="B766" s="3">
        <v>698</v>
      </c>
    </row>
    <row r="767" spans="1:2" x14ac:dyDescent="0.2">
      <c r="A767" s="32"/>
      <c r="B767" s="3">
        <v>699</v>
      </c>
    </row>
    <row r="768" spans="1:2" x14ac:dyDescent="0.2">
      <c r="A768" s="32"/>
      <c r="B768" s="3">
        <v>700</v>
      </c>
    </row>
    <row r="769" spans="1:2" x14ac:dyDescent="0.2">
      <c r="A769" s="32"/>
      <c r="B769" s="3">
        <v>701</v>
      </c>
    </row>
    <row r="770" spans="1:2" x14ac:dyDescent="0.2">
      <c r="A770" s="32"/>
      <c r="B770" s="3">
        <v>702</v>
      </c>
    </row>
    <row r="771" spans="1:2" x14ac:dyDescent="0.2">
      <c r="A771" s="32"/>
      <c r="B771" s="3">
        <v>703</v>
      </c>
    </row>
    <row r="772" spans="1:2" x14ac:dyDescent="0.2">
      <c r="A772" s="32"/>
      <c r="B772" s="3">
        <v>704</v>
      </c>
    </row>
    <row r="773" spans="1:2" x14ac:dyDescent="0.2">
      <c r="A773" s="32"/>
      <c r="B773" s="3">
        <v>705</v>
      </c>
    </row>
    <row r="774" spans="1:2" x14ac:dyDescent="0.2">
      <c r="A774" s="32"/>
      <c r="B774" s="3">
        <v>706</v>
      </c>
    </row>
    <row r="775" spans="1:2" x14ac:dyDescent="0.2">
      <c r="A775" s="32"/>
      <c r="B775" s="3">
        <v>707</v>
      </c>
    </row>
    <row r="776" spans="1:2" x14ac:dyDescent="0.2">
      <c r="A776" s="32"/>
      <c r="B776" s="3">
        <v>708</v>
      </c>
    </row>
    <row r="777" spans="1:2" x14ac:dyDescent="0.2">
      <c r="A777" s="32"/>
      <c r="B777" s="3">
        <v>709</v>
      </c>
    </row>
    <row r="778" spans="1:2" x14ac:dyDescent="0.2">
      <c r="A778" s="32"/>
      <c r="B778" s="3">
        <v>710</v>
      </c>
    </row>
    <row r="779" spans="1:2" x14ac:dyDescent="0.2">
      <c r="A779" s="32"/>
      <c r="B779" s="3">
        <v>711</v>
      </c>
    </row>
    <row r="780" spans="1:2" x14ac:dyDescent="0.2">
      <c r="A780" s="32"/>
      <c r="B780" s="3">
        <v>712</v>
      </c>
    </row>
    <row r="781" spans="1:2" x14ac:dyDescent="0.2">
      <c r="A781" s="32"/>
      <c r="B781" s="3">
        <v>713</v>
      </c>
    </row>
    <row r="782" spans="1:2" x14ac:dyDescent="0.2">
      <c r="A782" s="32"/>
      <c r="B782" s="3">
        <v>714</v>
      </c>
    </row>
    <row r="783" spans="1:2" x14ac:dyDescent="0.2">
      <c r="A783" s="32"/>
      <c r="B783" s="3">
        <v>715</v>
      </c>
    </row>
    <row r="784" spans="1:2" x14ac:dyDescent="0.2">
      <c r="A784" s="32"/>
      <c r="B784" s="3">
        <v>716</v>
      </c>
    </row>
    <row r="785" spans="1:2" x14ac:dyDescent="0.2">
      <c r="A785" s="32"/>
      <c r="B785" s="3">
        <v>717</v>
      </c>
    </row>
    <row r="786" spans="1:2" x14ac:dyDescent="0.2">
      <c r="A786" s="32"/>
      <c r="B786" s="3">
        <v>718</v>
      </c>
    </row>
    <row r="787" spans="1:2" x14ac:dyDescent="0.2">
      <c r="A787" s="32"/>
      <c r="B787" s="3">
        <v>719</v>
      </c>
    </row>
    <row r="788" spans="1:2" x14ac:dyDescent="0.2">
      <c r="A788" s="32"/>
      <c r="B788" s="3">
        <v>720</v>
      </c>
    </row>
    <row r="789" spans="1:2" x14ac:dyDescent="0.2">
      <c r="A789" s="32"/>
      <c r="B789" s="3">
        <v>721</v>
      </c>
    </row>
    <row r="790" spans="1:2" x14ac:dyDescent="0.2">
      <c r="A790" s="32"/>
      <c r="B790" s="3">
        <v>722</v>
      </c>
    </row>
    <row r="791" spans="1:2" x14ac:dyDescent="0.2">
      <c r="A791" s="32"/>
      <c r="B791" s="3">
        <v>723</v>
      </c>
    </row>
    <row r="792" spans="1:2" x14ac:dyDescent="0.2">
      <c r="A792" s="32"/>
      <c r="B792" s="3">
        <v>724</v>
      </c>
    </row>
    <row r="793" spans="1:2" x14ac:dyDescent="0.2">
      <c r="A793" s="32"/>
      <c r="B793" s="3">
        <v>725</v>
      </c>
    </row>
    <row r="794" spans="1:2" x14ac:dyDescent="0.2">
      <c r="A794" s="32"/>
      <c r="B794" s="3">
        <v>726</v>
      </c>
    </row>
    <row r="795" spans="1:2" x14ac:dyDescent="0.2">
      <c r="A795" s="32"/>
      <c r="B795" s="3">
        <v>727</v>
      </c>
    </row>
    <row r="796" spans="1:2" x14ac:dyDescent="0.2">
      <c r="A796" s="32"/>
      <c r="B796" s="3">
        <v>728</v>
      </c>
    </row>
    <row r="797" spans="1:2" x14ac:dyDescent="0.2">
      <c r="A797" s="32"/>
      <c r="B797" s="3">
        <v>729</v>
      </c>
    </row>
    <row r="798" spans="1:2" x14ac:dyDescent="0.2">
      <c r="A798" s="32"/>
      <c r="B798" s="3">
        <v>730</v>
      </c>
    </row>
    <row r="799" spans="1:2" x14ac:dyDescent="0.2">
      <c r="A799" s="32"/>
      <c r="B799" s="3">
        <v>731</v>
      </c>
    </row>
    <row r="800" spans="1:2" x14ac:dyDescent="0.2">
      <c r="A800" s="32"/>
      <c r="B800" s="3">
        <v>732</v>
      </c>
    </row>
    <row r="801" spans="1:2" x14ac:dyDescent="0.2">
      <c r="A801" s="32"/>
      <c r="B801" s="3">
        <v>733</v>
      </c>
    </row>
    <row r="802" spans="1:2" x14ac:dyDescent="0.2">
      <c r="A802" s="32"/>
      <c r="B802" s="3">
        <v>734</v>
      </c>
    </row>
    <row r="803" spans="1:2" x14ac:dyDescent="0.2">
      <c r="A803" s="32"/>
      <c r="B803" s="3">
        <v>735</v>
      </c>
    </row>
    <row r="804" spans="1:2" x14ac:dyDescent="0.2">
      <c r="A804" s="32"/>
      <c r="B804" s="3">
        <v>736</v>
      </c>
    </row>
    <row r="805" spans="1:2" x14ac:dyDescent="0.2">
      <c r="A805" s="32"/>
      <c r="B805" s="3">
        <v>737</v>
      </c>
    </row>
    <row r="806" spans="1:2" x14ac:dyDescent="0.2">
      <c r="A806" s="32"/>
      <c r="B806" s="3">
        <v>738</v>
      </c>
    </row>
    <row r="807" spans="1:2" x14ac:dyDescent="0.2">
      <c r="A807" s="32"/>
      <c r="B807" s="3">
        <v>739</v>
      </c>
    </row>
    <row r="808" spans="1:2" x14ac:dyDescent="0.2">
      <c r="A808" s="32"/>
      <c r="B808" s="3">
        <v>740</v>
      </c>
    </row>
    <row r="809" spans="1:2" x14ac:dyDescent="0.2">
      <c r="A809" s="32"/>
      <c r="B809" s="3">
        <v>741</v>
      </c>
    </row>
    <row r="810" spans="1:2" x14ac:dyDescent="0.2">
      <c r="A810" s="32"/>
      <c r="B810" s="3">
        <v>742</v>
      </c>
    </row>
    <row r="811" spans="1:2" x14ac:dyDescent="0.2">
      <c r="A811" s="32"/>
      <c r="B811" s="3">
        <v>743</v>
      </c>
    </row>
    <row r="812" spans="1:2" x14ac:dyDescent="0.2">
      <c r="A812" s="32"/>
      <c r="B812" s="3">
        <v>744</v>
      </c>
    </row>
    <row r="813" spans="1:2" x14ac:dyDescent="0.2">
      <c r="A813" s="32"/>
      <c r="B813" s="3">
        <v>745</v>
      </c>
    </row>
    <row r="814" spans="1:2" x14ac:dyDescent="0.2">
      <c r="A814" s="32"/>
      <c r="B814" s="3">
        <v>746</v>
      </c>
    </row>
    <row r="815" spans="1:2" x14ac:dyDescent="0.2">
      <c r="A815" s="32"/>
      <c r="B815" s="3">
        <v>747</v>
      </c>
    </row>
    <row r="816" spans="1:2" x14ac:dyDescent="0.2">
      <c r="A816" s="32"/>
      <c r="B816" s="3">
        <v>748</v>
      </c>
    </row>
    <row r="817" spans="1:2" x14ac:dyDescent="0.2">
      <c r="A817" s="32"/>
      <c r="B817" s="3">
        <v>749</v>
      </c>
    </row>
    <row r="818" spans="1:2" x14ac:dyDescent="0.2">
      <c r="A818" s="32"/>
      <c r="B818" s="3">
        <v>750</v>
      </c>
    </row>
    <row r="819" spans="1:2" x14ac:dyDescent="0.2">
      <c r="A819" s="32"/>
      <c r="B819" s="3">
        <v>751</v>
      </c>
    </row>
    <row r="820" spans="1:2" x14ac:dyDescent="0.2">
      <c r="A820" s="32"/>
      <c r="B820" s="3">
        <v>752</v>
      </c>
    </row>
    <row r="821" spans="1:2" x14ac:dyDescent="0.2">
      <c r="A821" s="32"/>
      <c r="B821" s="3">
        <v>753</v>
      </c>
    </row>
    <row r="822" spans="1:2" x14ac:dyDescent="0.2">
      <c r="A822" s="32"/>
      <c r="B822" s="3">
        <v>754</v>
      </c>
    </row>
    <row r="823" spans="1:2" x14ac:dyDescent="0.2">
      <c r="A823" s="32"/>
      <c r="B823" s="3">
        <v>755</v>
      </c>
    </row>
    <row r="824" spans="1:2" x14ac:dyDescent="0.2">
      <c r="A824" s="32"/>
      <c r="B824" s="3">
        <v>756</v>
      </c>
    </row>
    <row r="825" spans="1:2" x14ac:dyDescent="0.2">
      <c r="A825" s="32"/>
      <c r="B825" s="3">
        <v>757</v>
      </c>
    </row>
    <row r="826" spans="1:2" x14ac:dyDescent="0.2">
      <c r="A826" s="32"/>
      <c r="B826" s="3">
        <v>758</v>
      </c>
    </row>
    <row r="827" spans="1:2" x14ac:dyDescent="0.2">
      <c r="A827" s="32"/>
      <c r="B827" s="3">
        <v>759</v>
      </c>
    </row>
    <row r="828" spans="1:2" x14ac:dyDescent="0.2">
      <c r="A828" s="32"/>
      <c r="B828" s="3">
        <v>760</v>
      </c>
    </row>
    <row r="829" spans="1:2" x14ac:dyDescent="0.2">
      <c r="A829" s="32"/>
      <c r="B829" s="3">
        <v>761</v>
      </c>
    </row>
    <row r="830" spans="1:2" x14ac:dyDescent="0.2">
      <c r="A830" s="32"/>
      <c r="B830" s="3">
        <v>762</v>
      </c>
    </row>
    <row r="831" spans="1:2" x14ac:dyDescent="0.2">
      <c r="A831" s="32"/>
      <c r="B831" s="3">
        <v>763</v>
      </c>
    </row>
    <row r="832" spans="1:2" x14ac:dyDescent="0.2">
      <c r="A832" s="32"/>
      <c r="B832" s="3">
        <v>764</v>
      </c>
    </row>
    <row r="833" spans="1:2" x14ac:dyDescent="0.2">
      <c r="A833" s="32"/>
      <c r="B833" s="3">
        <v>765</v>
      </c>
    </row>
    <row r="834" spans="1:2" x14ac:dyDescent="0.2">
      <c r="A834" s="32"/>
      <c r="B834" s="3">
        <v>766</v>
      </c>
    </row>
    <row r="835" spans="1:2" x14ac:dyDescent="0.2">
      <c r="A835" s="32"/>
      <c r="B835" s="3">
        <v>767</v>
      </c>
    </row>
    <row r="836" spans="1:2" x14ac:dyDescent="0.2">
      <c r="A836" s="32"/>
      <c r="B836" s="3">
        <v>768</v>
      </c>
    </row>
    <row r="837" spans="1:2" x14ac:dyDescent="0.2">
      <c r="A837" s="32"/>
      <c r="B837" s="3">
        <v>769</v>
      </c>
    </row>
    <row r="838" spans="1:2" x14ac:dyDescent="0.2">
      <c r="A838" s="32"/>
      <c r="B838" s="3">
        <v>770</v>
      </c>
    </row>
    <row r="839" spans="1:2" x14ac:dyDescent="0.2">
      <c r="A839" s="32"/>
      <c r="B839" s="3">
        <v>771</v>
      </c>
    </row>
    <row r="840" spans="1:2" x14ac:dyDescent="0.2">
      <c r="A840" s="32"/>
      <c r="B840" s="3">
        <v>772</v>
      </c>
    </row>
    <row r="841" spans="1:2" x14ac:dyDescent="0.2">
      <c r="A841" s="32"/>
      <c r="B841" s="3">
        <v>773</v>
      </c>
    </row>
    <row r="842" spans="1:2" x14ac:dyDescent="0.2">
      <c r="A842" s="32"/>
      <c r="B842" s="3">
        <v>774</v>
      </c>
    </row>
    <row r="843" spans="1:2" x14ac:dyDescent="0.2">
      <c r="A843" s="32"/>
      <c r="B843" s="3">
        <v>775</v>
      </c>
    </row>
    <row r="844" spans="1:2" x14ac:dyDescent="0.2">
      <c r="A844" s="32"/>
      <c r="B844" s="3">
        <v>776</v>
      </c>
    </row>
    <row r="845" spans="1:2" x14ac:dyDescent="0.2">
      <c r="A845" s="32"/>
      <c r="B845" s="3">
        <v>777</v>
      </c>
    </row>
    <row r="846" spans="1:2" x14ac:dyDescent="0.2">
      <c r="A846" s="32"/>
      <c r="B846" s="3">
        <v>778</v>
      </c>
    </row>
    <row r="847" spans="1:2" x14ac:dyDescent="0.2">
      <c r="A847" s="32"/>
      <c r="B847" s="3">
        <v>779</v>
      </c>
    </row>
    <row r="848" spans="1:2" x14ac:dyDescent="0.2">
      <c r="A848" s="32"/>
      <c r="B848" s="3">
        <v>780</v>
      </c>
    </row>
    <row r="849" spans="1:2" x14ac:dyDescent="0.2">
      <c r="A849" s="32"/>
      <c r="B849" s="3">
        <v>781</v>
      </c>
    </row>
    <row r="850" spans="1:2" x14ac:dyDescent="0.2">
      <c r="A850" s="32"/>
      <c r="B850" s="3">
        <v>782</v>
      </c>
    </row>
    <row r="851" spans="1:2" x14ac:dyDescent="0.2">
      <c r="A851" s="32"/>
      <c r="B851" s="3">
        <v>783</v>
      </c>
    </row>
    <row r="852" spans="1:2" x14ac:dyDescent="0.2">
      <c r="A852" s="32"/>
      <c r="B852" s="3">
        <v>784</v>
      </c>
    </row>
    <row r="853" spans="1:2" x14ac:dyDescent="0.2">
      <c r="A853" s="32"/>
      <c r="B853" s="3">
        <v>785</v>
      </c>
    </row>
    <row r="854" spans="1:2" x14ac:dyDescent="0.2">
      <c r="A854" s="32"/>
      <c r="B854" s="3">
        <v>786</v>
      </c>
    </row>
    <row r="855" spans="1:2" x14ac:dyDescent="0.2">
      <c r="A855" s="32"/>
      <c r="B855" s="3">
        <v>787</v>
      </c>
    </row>
    <row r="856" spans="1:2" x14ac:dyDescent="0.2">
      <c r="A856" s="32"/>
      <c r="B856" s="3">
        <v>788</v>
      </c>
    </row>
    <row r="857" spans="1:2" x14ac:dyDescent="0.2">
      <c r="A857" s="32"/>
      <c r="B857" s="3">
        <v>789</v>
      </c>
    </row>
    <row r="858" spans="1:2" x14ac:dyDescent="0.2">
      <c r="A858" s="32"/>
      <c r="B858" s="3">
        <v>790</v>
      </c>
    </row>
    <row r="859" spans="1:2" x14ac:dyDescent="0.2">
      <c r="A859" s="32"/>
      <c r="B859" s="3">
        <v>791</v>
      </c>
    </row>
    <row r="860" spans="1:2" x14ac:dyDescent="0.2">
      <c r="A860" s="32"/>
      <c r="B860" s="3">
        <v>792</v>
      </c>
    </row>
    <row r="861" spans="1:2" x14ac:dyDescent="0.2">
      <c r="A861" s="32"/>
      <c r="B861" s="3">
        <v>793</v>
      </c>
    </row>
    <row r="862" spans="1:2" x14ac:dyDescent="0.2">
      <c r="A862" s="32"/>
      <c r="B862" s="3">
        <v>794</v>
      </c>
    </row>
    <row r="863" spans="1:2" x14ac:dyDescent="0.2">
      <c r="A863" s="32"/>
      <c r="B863" s="3">
        <v>795</v>
      </c>
    </row>
    <row r="864" spans="1:2" x14ac:dyDescent="0.2">
      <c r="A864" s="32"/>
      <c r="B864" s="3">
        <v>796</v>
      </c>
    </row>
    <row r="865" spans="1:2" x14ac:dyDescent="0.2">
      <c r="A865" s="32"/>
      <c r="B865" s="3">
        <v>797</v>
      </c>
    </row>
    <row r="866" spans="1:2" x14ac:dyDescent="0.2">
      <c r="A866" s="32"/>
      <c r="B866" s="3">
        <v>798</v>
      </c>
    </row>
    <row r="867" spans="1:2" x14ac:dyDescent="0.2">
      <c r="A867" s="32"/>
      <c r="B867" s="3">
        <v>799</v>
      </c>
    </row>
    <row r="868" spans="1:2" x14ac:dyDescent="0.2">
      <c r="A868" s="32"/>
      <c r="B868" s="3">
        <v>800</v>
      </c>
    </row>
    <row r="869" spans="1:2" x14ac:dyDescent="0.2">
      <c r="A869" s="32"/>
      <c r="B869" s="3">
        <v>801</v>
      </c>
    </row>
    <row r="870" spans="1:2" x14ac:dyDescent="0.2">
      <c r="A870" s="32"/>
      <c r="B870" s="3">
        <v>802</v>
      </c>
    </row>
    <row r="871" spans="1:2" x14ac:dyDescent="0.2">
      <c r="A871" s="32"/>
      <c r="B871" s="3">
        <v>803</v>
      </c>
    </row>
    <row r="872" spans="1:2" x14ac:dyDescent="0.2">
      <c r="A872" s="32"/>
      <c r="B872" s="3">
        <v>804</v>
      </c>
    </row>
    <row r="873" spans="1:2" x14ac:dyDescent="0.2">
      <c r="A873" s="32"/>
      <c r="B873" s="3">
        <v>805</v>
      </c>
    </row>
    <row r="874" spans="1:2" x14ac:dyDescent="0.2">
      <c r="A874" s="32"/>
      <c r="B874" s="3">
        <v>806</v>
      </c>
    </row>
    <row r="875" spans="1:2" x14ac:dyDescent="0.2">
      <c r="A875" s="32"/>
      <c r="B875" s="3">
        <v>807</v>
      </c>
    </row>
    <row r="876" spans="1:2" x14ac:dyDescent="0.2">
      <c r="A876" s="32"/>
      <c r="B876" s="3">
        <v>808</v>
      </c>
    </row>
    <row r="877" spans="1:2" x14ac:dyDescent="0.2">
      <c r="A877" s="32"/>
      <c r="B877" s="3">
        <v>809</v>
      </c>
    </row>
    <row r="878" spans="1:2" x14ac:dyDescent="0.2">
      <c r="A878" s="32"/>
      <c r="B878" s="3">
        <v>810</v>
      </c>
    </row>
    <row r="879" spans="1:2" x14ac:dyDescent="0.2">
      <c r="A879" s="32"/>
      <c r="B879" s="3">
        <v>811</v>
      </c>
    </row>
    <row r="880" spans="1:2" x14ac:dyDescent="0.2">
      <c r="A880" s="32"/>
      <c r="B880" s="3">
        <v>812</v>
      </c>
    </row>
    <row r="881" spans="1:2" x14ac:dyDescent="0.2">
      <c r="A881" s="32"/>
      <c r="B881" s="3">
        <v>813</v>
      </c>
    </row>
    <row r="882" spans="1:2" x14ac:dyDescent="0.2">
      <c r="A882" s="32"/>
      <c r="B882" s="3">
        <v>814</v>
      </c>
    </row>
    <row r="883" spans="1:2" x14ac:dyDescent="0.2">
      <c r="A883" s="32"/>
      <c r="B883" s="3">
        <v>815</v>
      </c>
    </row>
    <row r="884" spans="1:2" x14ac:dyDescent="0.2">
      <c r="A884" s="32"/>
      <c r="B884" s="3">
        <v>816</v>
      </c>
    </row>
    <row r="885" spans="1:2" x14ac:dyDescent="0.2">
      <c r="A885" s="32"/>
      <c r="B885" s="3">
        <v>817</v>
      </c>
    </row>
    <row r="886" spans="1:2" x14ac:dyDescent="0.2">
      <c r="A886" s="32"/>
      <c r="B886" s="3">
        <v>818</v>
      </c>
    </row>
    <row r="887" spans="1:2" x14ac:dyDescent="0.2">
      <c r="A887" s="32"/>
      <c r="B887" s="3">
        <v>819</v>
      </c>
    </row>
    <row r="888" spans="1:2" x14ac:dyDescent="0.2">
      <c r="A888" s="32"/>
      <c r="B888" s="3">
        <v>820</v>
      </c>
    </row>
    <row r="889" spans="1:2" x14ac:dyDescent="0.2">
      <c r="A889" s="32"/>
      <c r="B889" s="3">
        <v>821</v>
      </c>
    </row>
    <row r="890" spans="1:2" x14ac:dyDescent="0.2">
      <c r="A890" s="32"/>
      <c r="B890" s="3">
        <v>822</v>
      </c>
    </row>
    <row r="891" spans="1:2" x14ac:dyDescent="0.2">
      <c r="A891" s="32"/>
      <c r="B891" s="3">
        <v>823</v>
      </c>
    </row>
    <row r="892" spans="1:2" x14ac:dyDescent="0.2">
      <c r="A892" s="32"/>
      <c r="B892" s="3">
        <v>824</v>
      </c>
    </row>
    <row r="893" spans="1:2" x14ac:dyDescent="0.2">
      <c r="A893" s="32"/>
      <c r="B893" s="3">
        <v>825</v>
      </c>
    </row>
    <row r="894" spans="1:2" x14ac:dyDescent="0.2">
      <c r="A894" s="32"/>
      <c r="B894" s="3">
        <v>826</v>
      </c>
    </row>
    <row r="895" spans="1:2" x14ac:dyDescent="0.2">
      <c r="A895" s="32"/>
      <c r="B895" s="3">
        <v>827</v>
      </c>
    </row>
    <row r="896" spans="1:2" x14ac:dyDescent="0.2">
      <c r="A896" s="32"/>
      <c r="B896" s="3">
        <v>828</v>
      </c>
    </row>
    <row r="897" spans="1:2" x14ac:dyDescent="0.2">
      <c r="A897" s="32"/>
      <c r="B897" s="3">
        <v>829</v>
      </c>
    </row>
    <row r="898" spans="1:2" x14ac:dyDescent="0.2">
      <c r="A898" s="32"/>
      <c r="B898" s="3">
        <v>830</v>
      </c>
    </row>
    <row r="899" spans="1:2" x14ac:dyDescent="0.2">
      <c r="A899" s="32"/>
      <c r="B899" s="3">
        <v>831</v>
      </c>
    </row>
    <row r="900" spans="1:2" x14ac:dyDescent="0.2">
      <c r="A900" s="32"/>
      <c r="B900" s="3">
        <v>832</v>
      </c>
    </row>
    <row r="901" spans="1:2" x14ac:dyDescent="0.2">
      <c r="A901" s="32"/>
      <c r="B901" s="3">
        <v>833</v>
      </c>
    </row>
    <row r="902" spans="1:2" x14ac:dyDescent="0.2">
      <c r="A902" s="32"/>
      <c r="B902" s="3">
        <v>834</v>
      </c>
    </row>
    <row r="903" spans="1:2" x14ac:dyDescent="0.2">
      <c r="A903" s="32"/>
      <c r="B903" s="3">
        <v>835</v>
      </c>
    </row>
    <row r="904" spans="1:2" x14ac:dyDescent="0.2">
      <c r="A904" s="32"/>
      <c r="B904" s="3">
        <v>836</v>
      </c>
    </row>
    <row r="905" spans="1:2" x14ac:dyDescent="0.2">
      <c r="A905" s="32"/>
      <c r="B905" s="3">
        <v>837</v>
      </c>
    </row>
    <row r="906" spans="1:2" x14ac:dyDescent="0.2">
      <c r="A906" s="32"/>
      <c r="B906" s="3">
        <v>838</v>
      </c>
    </row>
    <row r="907" spans="1:2" x14ac:dyDescent="0.2">
      <c r="A907" s="32"/>
      <c r="B907" s="3">
        <v>839</v>
      </c>
    </row>
    <row r="908" spans="1:2" x14ac:dyDescent="0.2">
      <c r="A908" s="32"/>
      <c r="B908" s="3">
        <v>840</v>
      </c>
    </row>
    <row r="909" spans="1:2" x14ac:dyDescent="0.2">
      <c r="A909" s="32"/>
      <c r="B909" s="3">
        <v>841</v>
      </c>
    </row>
    <row r="910" spans="1:2" x14ac:dyDescent="0.2">
      <c r="A910" s="32"/>
      <c r="B910" s="3">
        <v>842</v>
      </c>
    </row>
    <row r="911" spans="1:2" x14ac:dyDescent="0.2">
      <c r="A911" s="32"/>
      <c r="B911" s="3">
        <v>843</v>
      </c>
    </row>
    <row r="912" spans="1:2" x14ac:dyDescent="0.2">
      <c r="A912" s="32"/>
      <c r="B912" s="3">
        <v>844</v>
      </c>
    </row>
    <row r="913" spans="1:2" x14ac:dyDescent="0.2">
      <c r="A913" s="32"/>
      <c r="B913" s="3">
        <v>845</v>
      </c>
    </row>
    <row r="914" spans="1:2" x14ac:dyDescent="0.2">
      <c r="A914" s="32"/>
      <c r="B914" s="3">
        <v>846</v>
      </c>
    </row>
    <row r="915" spans="1:2" x14ac:dyDescent="0.2">
      <c r="A915" s="32"/>
      <c r="B915" s="3">
        <v>847</v>
      </c>
    </row>
    <row r="916" spans="1:2" x14ac:dyDescent="0.2">
      <c r="A916" s="32"/>
      <c r="B916" s="3">
        <v>848</v>
      </c>
    </row>
    <row r="917" spans="1:2" x14ac:dyDescent="0.2">
      <c r="A917" s="32"/>
      <c r="B917" s="3">
        <v>849</v>
      </c>
    </row>
    <row r="918" spans="1:2" x14ac:dyDescent="0.2">
      <c r="A918" s="32"/>
      <c r="B918" s="3">
        <v>850</v>
      </c>
    </row>
    <row r="919" spans="1:2" x14ac:dyDescent="0.2">
      <c r="A919" s="32"/>
      <c r="B919" s="3">
        <v>851</v>
      </c>
    </row>
    <row r="920" spans="1:2" x14ac:dyDescent="0.2">
      <c r="A920" s="32"/>
      <c r="B920" s="3">
        <v>852</v>
      </c>
    </row>
    <row r="921" spans="1:2" x14ac:dyDescent="0.2">
      <c r="A921" s="32"/>
      <c r="B921" s="3">
        <v>853</v>
      </c>
    </row>
    <row r="922" spans="1:2" x14ac:dyDescent="0.2">
      <c r="A922" s="32"/>
      <c r="B922" s="3">
        <v>854</v>
      </c>
    </row>
    <row r="923" spans="1:2" x14ac:dyDescent="0.2">
      <c r="A923" s="32"/>
      <c r="B923" s="3">
        <v>855</v>
      </c>
    </row>
    <row r="924" spans="1:2" x14ac:dyDescent="0.2">
      <c r="A924" s="32"/>
      <c r="B924" s="3">
        <v>856</v>
      </c>
    </row>
    <row r="925" spans="1:2" x14ac:dyDescent="0.2">
      <c r="A925" s="32"/>
      <c r="B925" s="3">
        <v>857</v>
      </c>
    </row>
    <row r="926" spans="1:2" x14ac:dyDescent="0.2">
      <c r="A926" s="32"/>
      <c r="B926" s="3">
        <v>858</v>
      </c>
    </row>
    <row r="927" spans="1:2" x14ac:dyDescent="0.2">
      <c r="A927" s="32"/>
      <c r="B927" s="3">
        <v>859</v>
      </c>
    </row>
    <row r="928" spans="1:2" x14ac:dyDescent="0.2">
      <c r="A928" s="32"/>
      <c r="B928" s="3">
        <v>860</v>
      </c>
    </row>
    <row r="929" spans="1:2" x14ac:dyDescent="0.2">
      <c r="A929" s="32"/>
      <c r="B929" s="3">
        <v>861</v>
      </c>
    </row>
    <row r="930" spans="1:2" x14ac:dyDescent="0.2">
      <c r="A930" s="32"/>
      <c r="B930" s="3">
        <v>862</v>
      </c>
    </row>
    <row r="931" spans="1:2" x14ac:dyDescent="0.2">
      <c r="A931" s="32"/>
      <c r="B931" s="3">
        <v>863</v>
      </c>
    </row>
    <row r="932" spans="1:2" x14ac:dyDescent="0.2">
      <c r="A932" s="32"/>
      <c r="B932" s="3">
        <v>864</v>
      </c>
    </row>
    <row r="933" spans="1:2" x14ac:dyDescent="0.2">
      <c r="A933" s="32"/>
      <c r="B933" s="3">
        <v>865</v>
      </c>
    </row>
    <row r="934" spans="1:2" x14ac:dyDescent="0.2">
      <c r="A934" s="32"/>
      <c r="B934" s="3">
        <v>866</v>
      </c>
    </row>
    <row r="935" spans="1:2" x14ac:dyDescent="0.2">
      <c r="A935" s="32"/>
      <c r="B935" s="3">
        <v>867</v>
      </c>
    </row>
    <row r="936" spans="1:2" x14ac:dyDescent="0.2">
      <c r="A936" s="32"/>
      <c r="B936" s="3">
        <v>868</v>
      </c>
    </row>
    <row r="937" spans="1:2" x14ac:dyDescent="0.2">
      <c r="A937" s="32"/>
      <c r="B937" s="3">
        <v>869</v>
      </c>
    </row>
    <row r="938" spans="1:2" x14ac:dyDescent="0.2">
      <c r="A938" s="32"/>
      <c r="B938" s="3">
        <v>870</v>
      </c>
    </row>
    <row r="939" spans="1:2" x14ac:dyDescent="0.2">
      <c r="A939" s="32"/>
      <c r="B939" s="3">
        <v>871</v>
      </c>
    </row>
    <row r="940" spans="1:2" x14ac:dyDescent="0.2">
      <c r="A940" s="32"/>
      <c r="B940" s="3">
        <v>872</v>
      </c>
    </row>
    <row r="941" spans="1:2" x14ac:dyDescent="0.2">
      <c r="A941" s="32"/>
      <c r="B941" s="3">
        <v>873</v>
      </c>
    </row>
    <row r="942" spans="1:2" x14ac:dyDescent="0.2">
      <c r="A942" s="32"/>
      <c r="B942" s="3">
        <v>874</v>
      </c>
    </row>
    <row r="943" spans="1:2" x14ac:dyDescent="0.2">
      <c r="A943" s="32"/>
      <c r="B943" s="3">
        <v>875</v>
      </c>
    </row>
    <row r="944" spans="1:2" x14ac:dyDescent="0.2">
      <c r="A944" s="32"/>
      <c r="B944" s="3">
        <v>876</v>
      </c>
    </row>
    <row r="945" spans="1:2" x14ac:dyDescent="0.2">
      <c r="A945" s="32"/>
      <c r="B945" s="3">
        <v>877</v>
      </c>
    </row>
    <row r="946" spans="1:2" x14ac:dyDescent="0.2">
      <c r="A946" s="32"/>
      <c r="B946" s="3">
        <v>878</v>
      </c>
    </row>
    <row r="947" spans="1:2" x14ac:dyDescent="0.2">
      <c r="A947" s="32"/>
      <c r="B947" s="3">
        <v>879</v>
      </c>
    </row>
    <row r="948" spans="1:2" x14ac:dyDescent="0.2">
      <c r="A948" s="32"/>
      <c r="B948" s="3">
        <v>880</v>
      </c>
    </row>
    <row r="949" spans="1:2" x14ac:dyDescent="0.2">
      <c r="A949" s="32"/>
      <c r="B949" s="3">
        <v>881</v>
      </c>
    </row>
    <row r="950" spans="1:2" x14ac:dyDescent="0.2">
      <c r="A950" s="32"/>
      <c r="B950" s="3">
        <v>882</v>
      </c>
    </row>
    <row r="951" spans="1:2" x14ac:dyDescent="0.2">
      <c r="A951" s="32"/>
      <c r="B951" s="3">
        <v>883</v>
      </c>
    </row>
    <row r="952" spans="1:2" x14ac:dyDescent="0.2">
      <c r="A952" s="32"/>
      <c r="B952" s="3">
        <v>884</v>
      </c>
    </row>
    <row r="953" spans="1:2" x14ac:dyDescent="0.2">
      <c r="A953" s="32"/>
      <c r="B953" s="3">
        <v>885</v>
      </c>
    </row>
    <row r="954" spans="1:2" x14ac:dyDescent="0.2">
      <c r="A954" s="32"/>
      <c r="B954" s="3">
        <v>886</v>
      </c>
    </row>
    <row r="955" spans="1:2" x14ac:dyDescent="0.2">
      <c r="A955" s="32"/>
      <c r="B955" s="3">
        <v>887</v>
      </c>
    </row>
    <row r="956" spans="1:2" x14ac:dyDescent="0.2">
      <c r="A956" s="32"/>
      <c r="B956" s="3">
        <v>888</v>
      </c>
    </row>
    <row r="957" spans="1:2" x14ac:dyDescent="0.2">
      <c r="A957" s="32"/>
      <c r="B957" s="3">
        <v>889</v>
      </c>
    </row>
    <row r="958" spans="1:2" x14ac:dyDescent="0.2">
      <c r="A958" s="32"/>
      <c r="B958" s="3">
        <v>890</v>
      </c>
    </row>
    <row r="959" spans="1:2" x14ac:dyDescent="0.2">
      <c r="A959" s="32"/>
      <c r="B959" s="3">
        <v>891</v>
      </c>
    </row>
    <row r="960" spans="1:2" x14ac:dyDescent="0.2">
      <c r="A960" s="32"/>
      <c r="B960" s="3">
        <v>892</v>
      </c>
    </row>
    <row r="961" spans="1:2" x14ac:dyDescent="0.2">
      <c r="A961" s="32"/>
      <c r="B961" s="3">
        <v>893</v>
      </c>
    </row>
    <row r="962" spans="1:2" x14ac:dyDescent="0.2">
      <c r="A962" s="32"/>
      <c r="B962" s="3">
        <v>894</v>
      </c>
    </row>
    <row r="963" spans="1:2" x14ac:dyDescent="0.2">
      <c r="A963" s="32"/>
      <c r="B963" s="3">
        <v>895</v>
      </c>
    </row>
    <row r="964" spans="1:2" x14ac:dyDescent="0.2">
      <c r="A964" s="32"/>
      <c r="B964" s="3">
        <v>896</v>
      </c>
    </row>
    <row r="965" spans="1:2" x14ac:dyDescent="0.2">
      <c r="A965" s="32"/>
      <c r="B965" s="3">
        <v>897</v>
      </c>
    </row>
    <row r="966" spans="1:2" x14ac:dyDescent="0.2">
      <c r="A966" s="32"/>
      <c r="B966" s="3">
        <v>898</v>
      </c>
    </row>
    <row r="967" spans="1:2" x14ac:dyDescent="0.2">
      <c r="A967" s="32"/>
      <c r="B967" s="3">
        <v>899</v>
      </c>
    </row>
    <row r="968" spans="1:2" x14ac:dyDescent="0.2">
      <c r="A968" s="32"/>
      <c r="B968" s="3">
        <v>900</v>
      </c>
    </row>
    <row r="969" spans="1:2" x14ac:dyDescent="0.2">
      <c r="A969" s="32"/>
      <c r="B969" s="3">
        <v>901</v>
      </c>
    </row>
    <row r="970" spans="1:2" x14ac:dyDescent="0.2">
      <c r="A970" s="32"/>
      <c r="B970" s="3">
        <v>902</v>
      </c>
    </row>
    <row r="971" spans="1:2" x14ac:dyDescent="0.2">
      <c r="A971" s="32"/>
      <c r="B971" s="3">
        <v>903</v>
      </c>
    </row>
    <row r="972" spans="1:2" x14ac:dyDescent="0.2">
      <c r="A972" s="32"/>
      <c r="B972" s="3">
        <v>904</v>
      </c>
    </row>
    <row r="973" spans="1:2" x14ac:dyDescent="0.2">
      <c r="A973" s="32"/>
      <c r="B973" s="3">
        <v>905</v>
      </c>
    </row>
    <row r="974" spans="1:2" x14ac:dyDescent="0.2">
      <c r="A974" s="32"/>
      <c r="B974" s="3">
        <v>906</v>
      </c>
    </row>
    <row r="975" spans="1:2" x14ac:dyDescent="0.2">
      <c r="A975" s="32"/>
      <c r="B975" s="3">
        <v>907</v>
      </c>
    </row>
    <row r="976" spans="1:2" x14ac:dyDescent="0.2">
      <c r="A976" s="32"/>
      <c r="B976" s="3">
        <v>908</v>
      </c>
    </row>
    <row r="977" spans="1:2" x14ac:dyDescent="0.2">
      <c r="A977" s="32"/>
      <c r="B977" s="3">
        <v>909</v>
      </c>
    </row>
    <row r="978" spans="1:2" x14ac:dyDescent="0.2">
      <c r="A978" s="32"/>
      <c r="B978" s="3">
        <v>910</v>
      </c>
    </row>
    <row r="979" spans="1:2" x14ac:dyDescent="0.2">
      <c r="A979" s="32"/>
      <c r="B979" s="3">
        <v>911</v>
      </c>
    </row>
    <row r="980" spans="1:2" x14ac:dyDescent="0.2">
      <c r="A980" s="32"/>
      <c r="B980" s="3">
        <v>912</v>
      </c>
    </row>
    <row r="981" spans="1:2" x14ac:dyDescent="0.2">
      <c r="A981" s="32"/>
      <c r="B981" s="3">
        <v>913</v>
      </c>
    </row>
    <row r="982" spans="1:2" x14ac:dyDescent="0.2">
      <c r="A982" s="32"/>
      <c r="B982" s="3">
        <v>914</v>
      </c>
    </row>
    <row r="983" spans="1:2" x14ac:dyDescent="0.2">
      <c r="A983" s="32"/>
      <c r="B983" s="3">
        <v>915</v>
      </c>
    </row>
    <row r="984" spans="1:2" x14ac:dyDescent="0.2">
      <c r="A984" s="32"/>
      <c r="B984" s="3">
        <v>916</v>
      </c>
    </row>
    <row r="985" spans="1:2" x14ac:dyDescent="0.2">
      <c r="A985" s="32"/>
      <c r="B985" s="3">
        <v>917</v>
      </c>
    </row>
    <row r="986" spans="1:2" x14ac:dyDescent="0.2">
      <c r="A986" s="32"/>
      <c r="B986" s="3">
        <v>918</v>
      </c>
    </row>
    <row r="987" spans="1:2" ht="13.5" thickBot="1" x14ac:dyDescent="0.25">
      <c r="A987" s="33"/>
      <c r="B987" s="2">
        <v>919</v>
      </c>
    </row>
    <row r="988" spans="1:2" ht="13.5" thickTop="1" x14ac:dyDescent="0.2"/>
  </sheetData>
  <sheetProtection password="83AF" sheet="1" objects="1" scenarios="1" formatRows="0"/>
  <mergeCells count="3">
    <mergeCell ref="AI3:AT3"/>
    <mergeCell ref="AI31:AK31"/>
    <mergeCell ref="AD1:AE1"/>
  </mergeCells>
  <phoneticPr fontId="4" type="noConversion"/>
  <conditionalFormatting sqref="AW36">
    <cfRule type="cellIs" dxfId="1" priority="1" stopIfTrue="1" operator="equal">
      <formula>"caution"</formula>
    </cfRule>
    <cfRule type="cellIs" dxfId="0" priority="2" stopIfTrue="1" operator="equal">
      <formula>""</formula>
    </cfRule>
  </conditionalFormatting>
  <hyperlinks>
    <hyperlink ref="G471" r:id="rId1" display="=@sum(G63:G469"/>
  </hyperlinks>
  <printOptions gridLines="1"/>
  <pageMargins left="0.75" right="0.75" top="0.6" bottom="0.5" header="0.5" footer="0.5"/>
  <pageSetup scale="70" orientation="landscape"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TITLE PAGE</vt:lpstr>
      <vt:lpstr>LOCATION</vt:lpstr>
      <vt:lpstr>LEASEHOLDER Provided Data</vt:lpstr>
      <vt:lpstr>METOCEAN</vt:lpstr>
      <vt:lpstr>GEOTECH</vt:lpstr>
      <vt:lpstr>STRUCTURE</vt:lpstr>
      <vt:lpstr>OPTIONAL NTL INFO</vt:lpstr>
      <vt:lpstr>ASSESSMENT RESULTS</vt:lpstr>
      <vt:lpstr>Factors</vt:lpstr>
      <vt:lpstr>Equations</vt:lpstr>
      <vt:lpstr>Zone Wind Speeds</vt:lpstr>
      <vt:lpstr>'ASSESSMENT RESULTS'!Print_Area</vt:lpstr>
      <vt:lpstr>Equations!Print_Area</vt:lpstr>
      <vt:lpstr>GEOTECH!Print_Area</vt:lpstr>
      <vt:lpstr>'LEASEHOLDER Provided Data'!Print_Area</vt:lpstr>
      <vt:lpstr>LOCATION!Print_Area</vt:lpstr>
      <vt:lpstr>METOCEAN!Print_Area</vt:lpstr>
      <vt:lpstr>'OPTIONAL NTL INFO'!Print_Area</vt:lpstr>
      <vt:lpstr>STRUCTURE!Print_Area</vt:lpstr>
      <vt:lpstr>'TITLE PAGE'!Print_Area</vt:lpstr>
      <vt:lpstr>'ASSESSMENT RESULTS'!Print_Titles</vt:lpstr>
      <vt:lpstr>GEOTECH!Print_Titles</vt:lpstr>
      <vt:lpstr>'LEASEHOLDER Provided Data'!Print_Titles</vt:lpstr>
    </vt:vector>
  </TitlesOfParts>
  <Company>Frontier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Malcolm Sharples</dc:creator>
  <cp:lastModifiedBy>Reibeling, Richard J</cp:lastModifiedBy>
  <cp:lastPrinted>2009-03-24T23:05:09Z</cp:lastPrinted>
  <dcterms:created xsi:type="dcterms:W3CDTF">2008-08-02T18:24:10Z</dcterms:created>
  <dcterms:modified xsi:type="dcterms:W3CDTF">2017-02-06T15:42:07Z</dcterms:modified>
</cp:coreProperties>
</file>